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49530" windowHeight="18285" activeTab="28"/>
  </bookViews>
  <sheets>
    <sheet name="01" sheetId="17" r:id="rId1"/>
    <sheet name="02" sheetId="39" r:id="rId2"/>
    <sheet name="03" sheetId="40" r:id="rId3"/>
    <sheet name="04" sheetId="41" r:id="rId4"/>
    <sheet name="05" sheetId="43" r:id="rId5"/>
    <sheet name="06" sheetId="42" r:id="rId6"/>
    <sheet name="07" sheetId="44" r:id="rId7"/>
    <sheet name="08" sheetId="45" r:id="rId8"/>
    <sheet name="09" sheetId="46" r:id="rId9"/>
    <sheet name="10" sheetId="47" r:id="rId10"/>
    <sheet name="11" sheetId="48" r:id="rId11"/>
    <sheet name="12" sheetId="49" r:id="rId12"/>
    <sheet name="13" sheetId="50" r:id="rId13"/>
    <sheet name="14" sheetId="51" r:id="rId14"/>
    <sheet name="15" sheetId="52" r:id="rId15"/>
    <sheet name="16" sheetId="53" r:id="rId16"/>
    <sheet name="17" sheetId="54" r:id="rId17"/>
    <sheet name="18" sheetId="55" r:id="rId18"/>
    <sheet name="19" sheetId="56" r:id="rId19"/>
    <sheet name="20" sheetId="57" r:id="rId20"/>
    <sheet name="21" sheetId="58" r:id="rId21"/>
    <sheet name="22" sheetId="59" r:id="rId22"/>
    <sheet name="23" sheetId="60" r:id="rId23"/>
    <sheet name="24" sheetId="62" r:id="rId24"/>
    <sheet name="25" sheetId="63" r:id="rId25"/>
    <sheet name="26" sheetId="64" r:id="rId26"/>
    <sheet name="27" sheetId="65" r:id="rId27"/>
    <sheet name="28" sheetId="66" r:id="rId28"/>
    <sheet name="29" sheetId="67" r:id="rId29"/>
    <sheet name="30" sheetId="68" r:id="rId30"/>
    <sheet name="00" sheetId="69" r:id="rId31"/>
    <sheet name="sample" sheetId="38" r:id="rId32"/>
    <sheet name="Sheet4" sheetId="19" r:id="rId33"/>
  </sheets>
  <externalReferences>
    <externalReference r:id="rId34"/>
    <externalReference r:id="rId35"/>
  </externalReferences>
  <definedNames>
    <definedName name="IPP" localSheetId="30">#REF!</definedName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1">#REF!</definedName>
    <definedName name="IPP">#REF!</definedName>
    <definedName name="ippp" localSheetId="30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1">#REF!</definedName>
    <definedName name="ippp">#REF!</definedName>
    <definedName name="sdasdf" localSheetId="30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1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R111" i="69" l="1"/>
  <c r="R48" i="69"/>
  <c r="Q111" i="69"/>
  <c r="P111" i="69"/>
  <c r="N111" i="69"/>
  <c r="AF271" i="69"/>
  <c r="AE271" i="69"/>
  <c r="AD271" i="69"/>
  <c r="AC271" i="69"/>
  <c r="AB271" i="69"/>
  <c r="AA271" i="69"/>
  <c r="Z271" i="69"/>
  <c r="Y271" i="69"/>
  <c r="X271" i="69"/>
  <c r="W271" i="69"/>
  <c r="V271" i="69"/>
  <c r="U271" i="69"/>
  <c r="T271" i="69"/>
  <c r="S271" i="69"/>
  <c r="R271" i="69"/>
  <c r="Q271" i="69"/>
  <c r="P271" i="69"/>
  <c r="O271" i="69"/>
  <c r="N271" i="69"/>
  <c r="M271" i="69"/>
  <c r="L271" i="69"/>
  <c r="K271" i="69"/>
  <c r="J271" i="69"/>
  <c r="I271" i="69"/>
  <c r="H271" i="69"/>
  <c r="G271" i="69"/>
  <c r="F271" i="69"/>
  <c r="E271" i="69"/>
  <c r="D271" i="69"/>
  <c r="C271" i="69"/>
  <c r="B271" i="69"/>
  <c r="A271" i="69"/>
  <c r="AF270" i="69"/>
  <c r="AE270" i="69"/>
  <c r="AD270" i="69"/>
  <c r="AC270" i="69"/>
  <c r="AB270" i="69"/>
  <c r="AA270" i="69"/>
  <c r="Z270" i="69"/>
  <c r="Y270" i="69"/>
  <c r="X270" i="69"/>
  <c r="W270" i="69"/>
  <c r="V270" i="69"/>
  <c r="U270" i="69"/>
  <c r="T270" i="69"/>
  <c r="S270" i="69"/>
  <c r="R270" i="69"/>
  <c r="Q270" i="69"/>
  <c r="P270" i="69"/>
  <c r="O270" i="69"/>
  <c r="N270" i="69"/>
  <c r="M270" i="69"/>
  <c r="L270" i="69"/>
  <c r="K270" i="69"/>
  <c r="J270" i="69"/>
  <c r="I270" i="69"/>
  <c r="H270" i="69"/>
  <c r="G270" i="69"/>
  <c r="F270" i="69"/>
  <c r="E270" i="69"/>
  <c r="D270" i="69"/>
  <c r="C270" i="69"/>
  <c r="B270" i="69"/>
  <c r="A270" i="69"/>
  <c r="AF269" i="69"/>
  <c r="AE269" i="69"/>
  <c r="AD269" i="69"/>
  <c r="AC269" i="69"/>
  <c r="AB269" i="69"/>
  <c r="AA269" i="69"/>
  <c r="Z269" i="69"/>
  <c r="Y269" i="69"/>
  <c r="X269" i="69"/>
  <c r="W269" i="69"/>
  <c r="V269" i="69"/>
  <c r="U269" i="69"/>
  <c r="T269" i="69"/>
  <c r="S269" i="69"/>
  <c r="R269" i="69"/>
  <c r="Q269" i="69"/>
  <c r="P269" i="69"/>
  <c r="O269" i="69"/>
  <c r="N269" i="69"/>
  <c r="M269" i="69"/>
  <c r="L269" i="69"/>
  <c r="K269" i="69"/>
  <c r="J269" i="69"/>
  <c r="I269" i="69"/>
  <c r="H269" i="69"/>
  <c r="G269" i="69"/>
  <c r="F269" i="69"/>
  <c r="E269" i="69"/>
  <c r="D269" i="69"/>
  <c r="C269" i="69"/>
  <c r="B269" i="69"/>
  <c r="A269" i="69"/>
  <c r="AF268" i="69"/>
  <c r="AE268" i="69"/>
  <c r="AD268" i="69"/>
  <c r="AC268" i="69"/>
  <c r="AB268" i="69"/>
  <c r="AA268" i="69"/>
  <c r="Z268" i="69"/>
  <c r="Y268" i="69"/>
  <c r="X268" i="69"/>
  <c r="W268" i="69"/>
  <c r="V268" i="69"/>
  <c r="U268" i="69"/>
  <c r="T268" i="69"/>
  <c r="S268" i="69"/>
  <c r="R268" i="69"/>
  <c r="Q268" i="69"/>
  <c r="P268" i="69"/>
  <c r="O268" i="69"/>
  <c r="N268" i="69"/>
  <c r="M268" i="69"/>
  <c r="L268" i="69"/>
  <c r="K268" i="69"/>
  <c r="J268" i="69"/>
  <c r="I268" i="69"/>
  <c r="H268" i="69"/>
  <c r="G268" i="69"/>
  <c r="F268" i="69"/>
  <c r="E268" i="69"/>
  <c r="D268" i="69"/>
  <c r="C268" i="69"/>
  <c r="B268" i="69"/>
  <c r="A268" i="69"/>
  <c r="AE267" i="69"/>
  <c r="AD267" i="69"/>
  <c r="AC267" i="69"/>
  <c r="AB267" i="69"/>
  <c r="AA267" i="69"/>
  <c r="Z267" i="69"/>
  <c r="Y267" i="69"/>
  <c r="X267" i="69"/>
  <c r="W267" i="69"/>
  <c r="V267" i="69"/>
  <c r="U267" i="69"/>
  <c r="T267" i="69"/>
  <c r="S267" i="69"/>
  <c r="R267" i="69"/>
  <c r="Q267" i="69"/>
  <c r="P267" i="69"/>
  <c r="C267" i="69"/>
  <c r="B267" i="69"/>
  <c r="S242" i="69"/>
  <c r="AG232" i="69"/>
  <c r="AF232" i="69"/>
  <c r="AE232" i="69"/>
  <c r="AD232" i="69"/>
  <c r="AC232" i="69"/>
  <c r="AB232" i="69"/>
  <c r="AA232" i="69"/>
  <c r="Z232" i="69"/>
  <c r="Y232" i="69"/>
  <c r="X232" i="69"/>
  <c r="W232" i="69"/>
  <c r="V232" i="69"/>
  <c r="U232" i="69"/>
  <c r="T232" i="69"/>
  <c r="S232" i="69"/>
  <c r="R232" i="69"/>
  <c r="Q232" i="69"/>
  <c r="D232" i="69"/>
  <c r="C232" i="69"/>
  <c r="G231" i="69"/>
  <c r="F267" i="69" s="1"/>
  <c r="F231" i="69"/>
  <c r="E267" i="69" s="1"/>
  <c r="E231" i="69"/>
  <c r="D267" i="69" s="1"/>
  <c r="D231" i="69"/>
  <c r="B231" i="69"/>
  <c r="AF267" i="69" s="1"/>
  <c r="E230" i="69"/>
  <c r="F230" i="69" s="1"/>
  <c r="G230" i="69" s="1"/>
  <c r="H230" i="69" s="1"/>
  <c r="I230" i="69" s="1"/>
  <c r="J230" i="69" s="1"/>
  <c r="K230" i="69" s="1"/>
  <c r="L230" i="69" s="1"/>
  <c r="M230" i="69" s="1"/>
  <c r="N230" i="69" s="1"/>
  <c r="O230" i="69" s="1"/>
  <c r="P230" i="69" s="1"/>
  <c r="D230" i="69"/>
  <c r="B230" i="69"/>
  <c r="D229" i="69"/>
  <c r="E229" i="69" s="1"/>
  <c r="F229" i="69" s="1"/>
  <c r="G229" i="69" s="1"/>
  <c r="H229" i="69" s="1"/>
  <c r="I229" i="69" s="1"/>
  <c r="B229" i="69"/>
  <c r="E228" i="69"/>
  <c r="F228" i="69" s="1"/>
  <c r="G228" i="69" s="1"/>
  <c r="H228" i="69" s="1"/>
  <c r="D228" i="69"/>
  <c r="B228" i="69"/>
  <c r="G227" i="69"/>
  <c r="H227" i="69" s="1"/>
  <c r="I227" i="69" s="1"/>
  <c r="J227" i="69" s="1"/>
  <c r="K227" i="69" s="1"/>
  <c r="L227" i="69" s="1"/>
  <c r="M227" i="69" s="1"/>
  <c r="N227" i="69" s="1"/>
  <c r="O227" i="69" s="1"/>
  <c r="P227" i="69" s="1"/>
  <c r="F227" i="69"/>
  <c r="E227" i="69"/>
  <c r="D227" i="69"/>
  <c r="B227" i="69"/>
  <c r="E226" i="69"/>
  <c r="F226" i="69" s="1"/>
  <c r="D226" i="69"/>
  <c r="B226" i="69"/>
  <c r="B232" i="69" s="1"/>
  <c r="AG224" i="69"/>
  <c r="AF224" i="69"/>
  <c r="AE224" i="69"/>
  <c r="AD224" i="69"/>
  <c r="AC224" i="69"/>
  <c r="AB224" i="69"/>
  <c r="AA224" i="69"/>
  <c r="Z224" i="69"/>
  <c r="Y224" i="69"/>
  <c r="X224" i="69"/>
  <c r="W224" i="69"/>
  <c r="V224" i="69"/>
  <c r="U224" i="69"/>
  <c r="T224" i="69"/>
  <c r="S224" i="69"/>
  <c r="R224" i="69"/>
  <c r="Q224" i="69"/>
  <c r="P224" i="69"/>
  <c r="O224" i="69"/>
  <c r="N224" i="69"/>
  <c r="M224" i="69"/>
  <c r="L224" i="69"/>
  <c r="K224" i="69"/>
  <c r="J224" i="69"/>
  <c r="I224" i="69"/>
  <c r="H224" i="69"/>
  <c r="G224" i="69"/>
  <c r="F224" i="69"/>
  <c r="E224" i="69"/>
  <c r="D224" i="69"/>
  <c r="C224" i="69"/>
  <c r="B224" i="69"/>
  <c r="AI117" i="69"/>
  <c r="AH117" i="69"/>
  <c r="AI116" i="69"/>
  <c r="AH116" i="69"/>
  <c r="AI115" i="69"/>
  <c r="AH115" i="69"/>
  <c r="AI114" i="69"/>
  <c r="AH114" i="69"/>
  <c r="AI113" i="69"/>
  <c r="AH113" i="69"/>
  <c r="AI112" i="69"/>
  <c r="AH112" i="69"/>
  <c r="AI111" i="69"/>
  <c r="AH111" i="69"/>
  <c r="AI110" i="69"/>
  <c r="AH110" i="69"/>
  <c r="AI109" i="69"/>
  <c r="AH109" i="69"/>
  <c r="AF108" i="69"/>
  <c r="AE108" i="69"/>
  <c r="AD108" i="69"/>
  <c r="AC108" i="69"/>
  <c r="AB108" i="69"/>
  <c r="AA108" i="69"/>
  <c r="Z108" i="69"/>
  <c r="Y108" i="69"/>
  <c r="X108" i="69"/>
  <c r="W108" i="69"/>
  <c r="V108" i="69"/>
  <c r="U108" i="69"/>
  <c r="T108" i="69"/>
  <c r="S108" i="69"/>
  <c r="R108" i="69"/>
  <c r="Q108" i="69"/>
  <c r="E108" i="69"/>
  <c r="D108" i="69"/>
  <c r="C108" i="69"/>
  <c r="B108" i="69"/>
  <c r="AI107" i="69"/>
  <c r="AH107" i="69"/>
  <c r="AI106" i="69"/>
  <c r="AH106" i="69"/>
  <c r="AI105" i="69"/>
  <c r="AH105" i="69"/>
  <c r="AI104" i="69"/>
  <c r="AH104" i="69"/>
  <c r="AI103" i="69"/>
  <c r="AH103" i="69"/>
  <c r="AI102" i="69"/>
  <c r="AH102" i="69"/>
  <c r="AI101" i="69"/>
  <c r="AH101" i="69"/>
  <c r="AI100" i="69"/>
  <c r="AH100" i="69"/>
  <c r="AI99" i="69"/>
  <c r="AH99" i="69"/>
  <c r="AI97" i="69"/>
  <c r="AH97" i="69"/>
  <c r="AI96" i="69"/>
  <c r="AH96" i="69"/>
  <c r="AI95" i="69"/>
  <c r="AH95" i="69"/>
  <c r="AI94" i="69"/>
  <c r="AH94" i="69"/>
  <c r="AI93" i="69"/>
  <c r="AH93" i="69"/>
  <c r="AI92" i="69"/>
  <c r="AH92" i="69"/>
  <c r="AI91" i="69"/>
  <c r="AH91" i="69"/>
  <c r="AI88" i="69"/>
  <c r="AH88" i="69"/>
  <c r="AI86" i="69"/>
  <c r="AH86" i="69"/>
  <c r="AG86" i="69"/>
  <c r="AI85" i="69"/>
  <c r="AH85" i="69"/>
  <c r="AI84" i="69"/>
  <c r="AH84" i="69"/>
  <c r="AI83" i="69"/>
  <c r="AH83" i="69"/>
  <c r="AN82" i="69"/>
  <c r="AG82" i="69"/>
  <c r="AF82" i="69"/>
  <c r="AF98" i="69" s="1"/>
  <c r="AE82" i="69"/>
  <c r="AE98" i="69" s="1"/>
  <c r="AD82" i="69"/>
  <c r="AD98" i="69" s="1"/>
  <c r="AC82" i="69"/>
  <c r="AC98" i="69" s="1"/>
  <c r="AB82" i="69"/>
  <c r="AB98" i="69" s="1"/>
  <c r="AA82" i="69"/>
  <c r="AA98" i="69" s="1"/>
  <c r="Z82" i="69"/>
  <c r="Z98" i="69" s="1"/>
  <c r="Y82" i="69"/>
  <c r="Y98" i="69" s="1"/>
  <c r="X82" i="69"/>
  <c r="X98" i="69" s="1"/>
  <c r="W82" i="69"/>
  <c r="W98" i="69" s="1"/>
  <c r="V82" i="69"/>
  <c r="V98" i="69" s="1"/>
  <c r="U82" i="69"/>
  <c r="U98" i="69" s="1"/>
  <c r="T82" i="69"/>
  <c r="T98" i="69" s="1"/>
  <c r="S82" i="69"/>
  <c r="S98" i="69" s="1"/>
  <c r="R82" i="69"/>
  <c r="R98" i="69" s="1"/>
  <c r="Q82" i="69"/>
  <c r="Q98" i="69" s="1"/>
  <c r="P82" i="69"/>
  <c r="P98" i="69" s="1"/>
  <c r="O82" i="69"/>
  <c r="O98" i="69" s="1"/>
  <c r="N82" i="69"/>
  <c r="N98" i="69" s="1"/>
  <c r="M82" i="69"/>
  <c r="M98" i="69" s="1"/>
  <c r="L82" i="69"/>
  <c r="L98" i="69" s="1"/>
  <c r="K82" i="69"/>
  <c r="K98" i="69" s="1"/>
  <c r="J82" i="69"/>
  <c r="J98" i="69" s="1"/>
  <c r="I82" i="69"/>
  <c r="I98" i="69" s="1"/>
  <c r="H82" i="69"/>
  <c r="H98" i="69" s="1"/>
  <c r="G82" i="69"/>
  <c r="G98" i="69" s="1"/>
  <c r="F82" i="69"/>
  <c r="F98" i="69" s="1"/>
  <c r="E82" i="69"/>
  <c r="E98" i="69" s="1"/>
  <c r="D82" i="69"/>
  <c r="D98" i="69" s="1"/>
  <c r="C82" i="69"/>
  <c r="C98" i="69" s="1"/>
  <c r="B82" i="69"/>
  <c r="B98" i="69" s="1"/>
  <c r="AI81" i="69"/>
  <c r="AH81" i="69"/>
  <c r="AN80" i="69"/>
  <c r="AI80" i="69"/>
  <c r="AH80" i="69"/>
  <c r="AN79" i="69"/>
  <c r="AN81" i="69" s="1"/>
  <c r="AI79" i="69"/>
  <c r="AH79" i="69"/>
  <c r="AI78" i="69"/>
  <c r="AH78" i="69"/>
  <c r="AI77" i="69"/>
  <c r="AH77" i="69"/>
  <c r="AI76" i="69"/>
  <c r="AH76" i="69"/>
  <c r="AI75" i="69"/>
  <c r="AH75" i="69"/>
  <c r="AI74" i="69"/>
  <c r="AH74" i="69"/>
  <c r="AI73" i="69"/>
  <c r="AH73" i="69"/>
  <c r="AI72" i="69"/>
  <c r="AH72" i="69"/>
  <c r="AI71" i="69"/>
  <c r="AH71" i="69"/>
  <c r="AG70" i="69"/>
  <c r="AF70" i="69"/>
  <c r="AE70" i="69"/>
  <c r="AD70" i="69"/>
  <c r="AC70" i="69"/>
  <c r="AB70" i="69"/>
  <c r="AA70" i="69"/>
  <c r="Z70" i="69"/>
  <c r="Y70" i="69"/>
  <c r="X70" i="69"/>
  <c r="W70" i="69"/>
  <c r="V70" i="69"/>
  <c r="U70" i="69"/>
  <c r="T70" i="69"/>
  <c r="S70" i="69"/>
  <c r="R70" i="69"/>
  <c r="Q70" i="69"/>
  <c r="P70" i="69"/>
  <c r="O70" i="69"/>
  <c r="N70" i="69"/>
  <c r="M70" i="69"/>
  <c r="L70" i="69"/>
  <c r="B70" i="69"/>
  <c r="AI69" i="69"/>
  <c r="AH69" i="69"/>
  <c r="AI68" i="69"/>
  <c r="AH68" i="69"/>
  <c r="AI67" i="69"/>
  <c r="AH67" i="69"/>
  <c r="AF66" i="69"/>
  <c r="AE66" i="69"/>
  <c r="AD66" i="69"/>
  <c r="AC66" i="69"/>
  <c r="AB66" i="69"/>
  <c r="AA66" i="69"/>
  <c r="Z66" i="69"/>
  <c r="Y66" i="69"/>
  <c r="X66" i="69"/>
  <c r="W66" i="69"/>
  <c r="V66" i="69"/>
  <c r="U66" i="69"/>
  <c r="T66" i="69"/>
  <c r="S66" i="69"/>
  <c r="R66" i="69"/>
  <c r="Q66" i="69"/>
  <c r="P66" i="69"/>
  <c r="O66" i="69"/>
  <c r="N66" i="69"/>
  <c r="M66" i="69"/>
  <c r="L66" i="69"/>
  <c r="K66" i="69"/>
  <c r="J66" i="69"/>
  <c r="I66" i="69"/>
  <c r="H66" i="69"/>
  <c r="G66" i="69"/>
  <c r="F66" i="69"/>
  <c r="E66" i="69"/>
  <c r="D66" i="69"/>
  <c r="C66" i="69"/>
  <c r="B66" i="69"/>
  <c r="AI65" i="69"/>
  <c r="AH65" i="69"/>
  <c r="AG65" i="69"/>
  <c r="AG66" i="69" s="1"/>
  <c r="AG3" i="69" s="1"/>
  <c r="AI64" i="69"/>
  <c r="AH64" i="69"/>
  <c r="AI63" i="69"/>
  <c r="AH63" i="69"/>
  <c r="AI62" i="69"/>
  <c r="AH62" i="69"/>
  <c r="AI61" i="69"/>
  <c r="AH61" i="69"/>
  <c r="AI60" i="69"/>
  <c r="AH60" i="69"/>
  <c r="AI59" i="69"/>
  <c r="AH59" i="69"/>
  <c r="AI58" i="69"/>
  <c r="AH58" i="69"/>
  <c r="AI57" i="69"/>
  <c r="AH57" i="69"/>
  <c r="AI56" i="69"/>
  <c r="AH56" i="69"/>
  <c r="AI55" i="69"/>
  <c r="AH55" i="69"/>
  <c r="AI54" i="69"/>
  <c r="AH54" i="69"/>
  <c r="AI53" i="69"/>
  <c r="AH53" i="69"/>
  <c r="AG52" i="69"/>
  <c r="AF52" i="69"/>
  <c r="AE52" i="69"/>
  <c r="AD52" i="69"/>
  <c r="AC52" i="69"/>
  <c r="AB52" i="69"/>
  <c r="AA52" i="69"/>
  <c r="Z52" i="69"/>
  <c r="Y52" i="69"/>
  <c r="X52" i="69"/>
  <c r="W52" i="69"/>
  <c r="V52" i="69"/>
  <c r="U52" i="69"/>
  <c r="T52" i="69"/>
  <c r="S52" i="69"/>
  <c r="R52" i="69"/>
  <c r="Q52" i="69"/>
  <c r="P52" i="69"/>
  <c r="O52" i="69"/>
  <c r="N52" i="69"/>
  <c r="M52" i="69"/>
  <c r="L52" i="69"/>
  <c r="K52" i="69"/>
  <c r="J52" i="69"/>
  <c r="I52" i="69"/>
  <c r="H52" i="69"/>
  <c r="G52" i="69"/>
  <c r="F52" i="69"/>
  <c r="E52" i="69"/>
  <c r="D52" i="69"/>
  <c r="C52" i="69"/>
  <c r="B52" i="69"/>
  <c r="AI51" i="69"/>
  <c r="AH51" i="69"/>
  <c r="AI50" i="69"/>
  <c r="AH50" i="69"/>
  <c r="AI49" i="69"/>
  <c r="AH49" i="69"/>
  <c r="AG48" i="69"/>
  <c r="AF48" i="69"/>
  <c r="AF87" i="69" s="1"/>
  <c r="AF89" i="69" s="1"/>
  <c r="AE48" i="69"/>
  <c r="AE87" i="69" s="1"/>
  <c r="AE89" i="69" s="1"/>
  <c r="AD48" i="69"/>
  <c r="AD87" i="69" s="1"/>
  <c r="AD89" i="69" s="1"/>
  <c r="AC48" i="69"/>
  <c r="AC87" i="69" s="1"/>
  <c r="AC89" i="69" s="1"/>
  <c r="AB48" i="69"/>
  <c r="AB87" i="69" s="1"/>
  <c r="AB89" i="69" s="1"/>
  <c r="AA48" i="69"/>
  <c r="AA87" i="69" s="1"/>
  <c r="AA89" i="69" s="1"/>
  <c r="Z48" i="69"/>
  <c r="Z87" i="69" s="1"/>
  <c r="Z89" i="69" s="1"/>
  <c r="Y48" i="69"/>
  <c r="Y87" i="69" s="1"/>
  <c r="Y89" i="69" s="1"/>
  <c r="X48" i="69"/>
  <c r="X87" i="69" s="1"/>
  <c r="X89" i="69" s="1"/>
  <c r="W48" i="69"/>
  <c r="W87" i="69" s="1"/>
  <c r="W89" i="69" s="1"/>
  <c r="V48" i="69"/>
  <c r="V87" i="69" s="1"/>
  <c r="V89" i="69" s="1"/>
  <c r="U48" i="69"/>
  <c r="U87" i="69" s="1"/>
  <c r="U89" i="69" s="1"/>
  <c r="T48" i="69"/>
  <c r="T87" i="69" s="1"/>
  <c r="T89" i="69" s="1"/>
  <c r="S48" i="69"/>
  <c r="S87" i="69" s="1"/>
  <c r="S89" i="69" s="1"/>
  <c r="Q48" i="69"/>
  <c r="P48" i="69"/>
  <c r="O48" i="69"/>
  <c r="N48" i="69"/>
  <c r="M48" i="69"/>
  <c r="L48" i="69"/>
  <c r="K48" i="69"/>
  <c r="J48" i="69"/>
  <c r="I48" i="69"/>
  <c r="H48" i="69"/>
  <c r="G48" i="69"/>
  <c r="F48" i="69"/>
  <c r="E48" i="69"/>
  <c r="D48" i="69"/>
  <c r="D87" i="69" s="1"/>
  <c r="D89" i="69" s="1"/>
  <c r="C48" i="69"/>
  <c r="C87" i="69" s="1"/>
  <c r="C89" i="69" s="1"/>
  <c r="B48" i="69"/>
  <c r="B87" i="69" s="1"/>
  <c r="AI47" i="69"/>
  <c r="AH47" i="69"/>
  <c r="AI46" i="69"/>
  <c r="AH46" i="69"/>
  <c r="AI45" i="69"/>
  <c r="AH45" i="69"/>
  <c r="AI44" i="69"/>
  <c r="AH44" i="69"/>
  <c r="AI43" i="69"/>
  <c r="AH43" i="69"/>
  <c r="AI42" i="69"/>
  <c r="AH42" i="69"/>
  <c r="AI41" i="69"/>
  <c r="AH41" i="69"/>
  <c r="AI40" i="69"/>
  <c r="AH40" i="69"/>
  <c r="AI39" i="69"/>
  <c r="AH39" i="69"/>
  <c r="AI38" i="69"/>
  <c r="AH38" i="69"/>
  <c r="AI37" i="69"/>
  <c r="AH37" i="69"/>
  <c r="AI36" i="69"/>
  <c r="AH36" i="69"/>
  <c r="AI35" i="69"/>
  <c r="AH35" i="69"/>
  <c r="AI34" i="69"/>
  <c r="AH34" i="69"/>
  <c r="AI33" i="69"/>
  <c r="AH33" i="69"/>
  <c r="AI32" i="69"/>
  <c r="AH32" i="69"/>
  <c r="AI31" i="69"/>
  <c r="AH31" i="69"/>
  <c r="AI30" i="69"/>
  <c r="AH30" i="69"/>
  <c r="AI29" i="69"/>
  <c r="AH29" i="69"/>
  <c r="AI28" i="69"/>
  <c r="AH28" i="69"/>
  <c r="AI27" i="69"/>
  <c r="AH27" i="69"/>
  <c r="AI26" i="69"/>
  <c r="AH26" i="69"/>
  <c r="AI25" i="69"/>
  <c r="AH25" i="69"/>
  <c r="AI24" i="69"/>
  <c r="AH24" i="69"/>
  <c r="AI23" i="69"/>
  <c r="AH23" i="69"/>
  <c r="AI22" i="69"/>
  <c r="AH22" i="69"/>
  <c r="AI21" i="69"/>
  <c r="AH21" i="69"/>
  <c r="AI20" i="69"/>
  <c r="AH20" i="69"/>
  <c r="AI19" i="69"/>
  <c r="AH19" i="69"/>
  <c r="AI18" i="69"/>
  <c r="AH18" i="69"/>
  <c r="AI17" i="69"/>
  <c r="AH17" i="69"/>
  <c r="AI16" i="69"/>
  <c r="AH16" i="69"/>
  <c r="AI15" i="69"/>
  <c r="AH15" i="69"/>
  <c r="AI14" i="69"/>
  <c r="AH14" i="69"/>
  <c r="AI13" i="69"/>
  <c r="AH13" i="69"/>
  <c r="AI12" i="69"/>
  <c r="AH12" i="69"/>
  <c r="AI11" i="69"/>
  <c r="AH11" i="69"/>
  <c r="AF5" i="69"/>
  <c r="AE5" i="69"/>
  <c r="AD5" i="69"/>
  <c r="AC5" i="69"/>
  <c r="AB5" i="69"/>
  <c r="AA5" i="69"/>
  <c r="Z5" i="69"/>
  <c r="Y5" i="69"/>
  <c r="X5" i="69"/>
  <c r="W5" i="69"/>
  <c r="V5" i="69"/>
  <c r="U5" i="69"/>
  <c r="T5" i="69"/>
  <c r="S5" i="69"/>
  <c r="R5" i="69"/>
  <c r="Q5" i="69"/>
  <c r="J5" i="69"/>
  <c r="C5" i="69"/>
  <c r="B5" i="69"/>
  <c r="AG4" i="69"/>
  <c r="K4" i="69"/>
  <c r="E4" i="69"/>
  <c r="H4" i="69" s="1"/>
  <c r="B4" i="69"/>
  <c r="S243" i="69" s="1"/>
  <c r="AG2" i="69"/>
  <c r="AG6" i="69" s="1"/>
  <c r="Y111" i="68"/>
  <c r="X111" i="68"/>
  <c r="W111" i="68"/>
  <c r="V111" i="68"/>
  <c r="U111" i="68"/>
  <c r="T111" i="68"/>
  <c r="B108" i="68"/>
  <c r="B82" i="68"/>
  <c r="B98" i="68" s="1"/>
  <c r="B70" i="68"/>
  <c r="B66" i="68"/>
  <c r="B52" i="68"/>
  <c r="B48" i="68"/>
  <c r="AI105" i="68"/>
  <c r="AI101" i="68"/>
  <c r="AF271" i="68"/>
  <c r="AE271" i="68"/>
  <c r="AD271" i="68"/>
  <c r="AC271" i="68"/>
  <c r="AB271" i="68"/>
  <c r="AA271" i="68"/>
  <c r="Z271" i="68"/>
  <c r="Y271" i="68"/>
  <c r="X271" i="68"/>
  <c r="W271" i="68"/>
  <c r="V271" i="68"/>
  <c r="U271" i="68"/>
  <c r="T271" i="68"/>
  <c r="S271" i="68"/>
  <c r="R271" i="68"/>
  <c r="Q271" i="68"/>
  <c r="P271" i="68"/>
  <c r="O271" i="68"/>
  <c r="N271" i="68"/>
  <c r="M271" i="68"/>
  <c r="L271" i="68"/>
  <c r="K271" i="68"/>
  <c r="J271" i="68"/>
  <c r="I271" i="68"/>
  <c r="H271" i="68"/>
  <c r="G271" i="68"/>
  <c r="F271" i="68"/>
  <c r="E271" i="68"/>
  <c r="D271" i="68"/>
  <c r="C271" i="68"/>
  <c r="B271" i="68"/>
  <c r="A271" i="68"/>
  <c r="AF270" i="68"/>
  <c r="AE270" i="68"/>
  <c r="AD270" i="68"/>
  <c r="AC270" i="68"/>
  <c r="AB270" i="68"/>
  <c r="AA270" i="68"/>
  <c r="Z270" i="68"/>
  <c r="Y270" i="68"/>
  <c r="X270" i="68"/>
  <c r="W270" i="68"/>
  <c r="V270" i="68"/>
  <c r="U270" i="68"/>
  <c r="T270" i="68"/>
  <c r="S270" i="68"/>
  <c r="R270" i="68"/>
  <c r="Q270" i="68"/>
  <c r="P270" i="68"/>
  <c r="O270" i="68"/>
  <c r="N270" i="68"/>
  <c r="M270" i="68"/>
  <c r="L270" i="68"/>
  <c r="K270" i="68"/>
  <c r="J270" i="68"/>
  <c r="I270" i="68"/>
  <c r="H270" i="68"/>
  <c r="G270" i="68"/>
  <c r="F270" i="68"/>
  <c r="E270" i="68"/>
  <c r="D270" i="68"/>
  <c r="C270" i="68"/>
  <c r="B270" i="68"/>
  <c r="A270" i="68"/>
  <c r="AF269" i="68"/>
  <c r="AE269" i="68"/>
  <c r="AD269" i="68"/>
  <c r="AC269" i="68"/>
  <c r="AB269" i="68"/>
  <c r="AA269" i="68"/>
  <c r="Z269" i="68"/>
  <c r="Y269" i="68"/>
  <c r="X269" i="68"/>
  <c r="W269" i="68"/>
  <c r="V269" i="68"/>
  <c r="U269" i="68"/>
  <c r="T269" i="68"/>
  <c r="S269" i="68"/>
  <c r="R269" i="68"/>
  <c r="Q269" i="68"/>
  <c r="P269" i="68"/>
  <c r="O269" i="68"/>
  <c r="N269" i="68"/>
  <c r="M269" i="68"/>
  <c r="L269" i="68"/>
  <c r="K269" i="68"/>
  <c r="J269" i="68"/>
  <c r="I269" i="68"/>
  <c r="H269" i="68"/>
  <c r="G269" i="68"/>
  <c r="F269" i="68"/>
  <c r="E269" i="68"/>
  <c r="D269" i="68"/>
  <c r="C269" i="68"/>
  <c r="B269" i="68"/>
  <c r="A269" i="68"/>
  <c r="AF268" i="68"/>
  <c r="AE268" i="68"/>
  <c r="AD268" i="68"/>
  <c r="AC268" i="68"/>
  <c r="AB268" i="68"/>
  <c r="AA268" i="68"/>
  <c r="Z268" i="68"/>
  <c r="Y268" i="68"/>
  <c r="X268" i="68"/>
  <c r="W268" i="68"/>
  <c r="V268" i="68"/>
  <c r="U268" i="68"/>
  <c r="T268" i="68"/>
  <c r="S268" i="68"/>
  <c r="R268" i="68"/>
  <c r="Q268" i="68"/>
  <c r="P268" i="68"/>
  <c r="O268" i="68"/>
  <c r="N268" i="68"/>
  <c r="M268" i="68"/>
  <c r="L268" i="68"/>
  <c r="K268" i="68"/>
  <c r="J268" i="68"/>
  <c r="I268" i="68"/>
  <c r="H268" i="68"/>
  <c r="G268" i="68"/>
  <c r="F268" i="68"/>
  <c r="E268" i="68"/>
  <c r="D268" i="68"/>
  <c r="C268" i="68"/>
  <c r="B268" i="68"/>
  <c r="A268" i="68"/>
  <c r="AE267" i="68"/>
  <c r="AD267" i="68"/>
  <c r="AC267" i="68"/>
  <c r="AB267" i="68"/>
  <c r="AA267" i="68"/>
  <c r="Z267" i="68"/>
  <c r="Y267" i="68"/>
  <c r="X267" i="68"/>
  <c r="W267" i="68"/>
  <c r="V267" i="68"/>
  <c r="U267" i="68"/>
  <c r="T267" i="68"/>
  <c r="S267" i="68"/>
  <c r="R267" i="68"/>
  <c r="Q267" i="68"/>
  <c r="P267" i="68"/>
  <c r="D267" i="68"/>
  <c r="C267" i="68"/>
  <c r="B267" i="68"/>
  <c r="S242" i="68"/>
  <c r="AG232" i="68"/>
  <c r="AF232" i="68"/>
  <c r="AE232" i="68"/>
  <c r="AD232" i="68"/>
  <c r="AC232" i="68"/>
  <c r="AB232" i="68"/>
  <c r="AA232" i="68"/>
  <c r="Z232" i="68"/>
  <c r="Y232" i="68"/>
  <c r="X232" i="68"/>
  <c r="W232" i="68"/>
  <c r="V232" i="68"/>
  <c r="U232" i="68"/>
  <c r="T232" i="68"/>
  <c r="S232" i="68"/>
  <c r="R232" i="68"/>
  <c r="Q232" i="68"/>
  <c r="C232" i="68"/>
  <c r="E231" i="68"/>
  <c r="F231" i="68" s="1"/>
  <c r="D231" i="68"/>
  <c r="B231" i="68"/>
  <c r="AF267" i="68" s="1"/>
  <c r="E230" i="68"/>
  <c r="F230" i="68" s="1"/>
  <c r="G230" i="68" s="1"/>
  <c r="H230" i="68" s="1"/>
  <c r="I230" i="68" s="1"/>
  <c r="J230" i="68" s="1"/>
  <c r="K230" i="68" s="1"/>
  <c r="L230" i="68" s="1"/>
  <c r="M230" i="68" s="1"/>
  <c r="N230" i="68" s="1"/>
  <c r="O230" i="68" s="1"/>
  <c r="P230" i="68" s="1"/>
  <c r="D230" i="68"/>
  <c r="B230" i="68"/>
  <c r="D229" i="68"/>
  <c r="D232" i="68" s="1"/>
  <c r="B229" i="68"/>
  <c r="E228" i="68"/>
  <c r="F228" i="68" s="1"/>
  <c r="G228" i="68" s="1"/>
  <c r="H228" i="68" s="1"/>
  <c r="D228" i="68"/>
  <c r="B228" i="68"/>
  <c r="E227" i="68"/>
  <c r="F227" i="68" s="1"/>
  <c r="G227" i="68" s="1"/>
  <c r="H227" i="68" s="1"/>
  <c r="I227" i="68" s="1"/>
  <c r="J227" i="68" s="1"/>
  <c r="K227" i="68" s="1"/>
  <c r="L227" i="68" s="1"/>
  <c r="M227" i="68" s="1"/>
  <c r="N227" i="68" s="1"/>
  <c r="O227" i="68" s="1"/>
  <c r="P227" i="68" s="1"/>
  <c r="D227" i="68"/>
  <c r="B227" i="68"/>
  <c r="E226" i="68"/>
  <c r="F226" i="68" s="1"/>
  <c r="D226" i="68"/>
  <c r="B226" i="68"/>
  <c r="B232" i="68" s="1"/>
  <c r="AG224" i="68"/>
  <c r="AF224" i="68"/>
  <c r="AE224" i="68"/>
  <c r="AD224" i="68"/>
  <c r="AC224" i="68"/>
  <c r="AB224" i="68"/>
  <c r="AA224" i="68"/>
  <c r="Z224" i="68"/>
  <c r="Y224" i="68"/>
  <c r="X224" i="68"/>
  <c r="W224" i="68"/>
  <c r="V224" i="68"/>
  <c r="U224" i="68"/>
  <c r="T224" i="68"/>
  <c r="S224" i="68"/>
  <c r="R224" i="68"/>
  <c r="Q224" i="68"/>
  <c r="P224" i="68"/>
  <c r="O224" i="68"/>
  <c r="N224" i="68"/>
  <c r="M224" i="68"/>
  <c r="L224" i="68"/>
  <c r="K224" i="68"/>
  <c r="J224" i="68"/>
  <c r="I224" i="68"/>
  <c r="H224" i="68"/>
  <c r="G224" i="68"/>
  <c r="F224" i="68"/>
  <c r="E224" i="68"/>
  <c r="D224" i="68"/>
  <c r="C224" i="68"/>
  <c r="AI116" i="68"/>
  <c r="AH116" i="68"/>
  <c r="AI115" i="68"/>
  <c r="AH115" i="68"/>
  <c r="AI114" i="68"/>
  <c r="AH114" i="68"/>
  <c r="AI113" i="68"/>
  <c r="AH113" i="68"/>
  <c r="AI112" i="68"/>
  <c r="AH112" i="68"/>
  <c r="AI111" i="68"/>
  <c r="AH111" i="68"/>
  <c r="AI110" i="68"/>
  <c r="AH110" i="68"/>
  <c r="AI109" i="68"/>
  <c r="AH109" i="68"/>
  <c r="AF108" i="68"/>
  <c r="AE108" i="68"/>
  <c r="AD108" i="68"/>
  <c r="AC108" i="68"/>
  <c r="AB108" i="68"/>
  <c r="AA108" i="68"/>
  <c r="Y108" i="68"/>
  <c r="X108" i="68"/>
  <c r="W108" i="68"/>
  <c r="V108" i="68"/>
  <c r="U108" i="68"/>
  <c r="T108" i="68"/>
  <c r="S108" i="68"/>
  <c r="R108" i="68"/>
  <c r="Q108" i="68"/>
  <c r="D108" i="68"/>
  <c r="C108" i="68"/>
  <c r="AI107" i="68"/>
  <c r="AH107" i="68"/>
  <c r="AI106" i="68"/>
  <c r="AH106" i="68"/>
  <c r="AI104" i="68"/>
  <c r="AH104" i="68"/>
  <c r="AI103" i="68"/>
  <c r="AH103" i="68"/>
  <c r="AI102" i="68"/>
  <c r="AH102" i="68"/>
  <c r="AI100" i="68"/>
  <c r="AH100" i="68"/>
  <c r="AI99" i="68"/>
  <c r="AH99" i="68"/>
  <c r="Q98" i="68"/>
  <c r="AI97" i="68"/>
  <c r="AH97" i="68"/>
  <c r="AI96" i="68"/>
  <c r="AH96" i="68"/>
  <c r="AI95" i="68"/>
  <c r="AH95" i="68"/>
  <c r="AI94" i="68"/>
  <c r="AH94" i="68"/>
  <c r="AI93" i="68"/>
  <c r="AH93" i="68"/>
  <c r="AI92" i="68"/>
  <c r="AH92" i="68"/>
  <c r="AI91" i="68"/>
  <c r="AH91" i="68"/>
  <c r="AI88" i="68"/>
  <c r="AH88" i="68"/>
  <c r="AI86" i="68"/>
  <c r="AH86" i="68"/>
  <c r="AG86" i="68"/>
  <c r="AG89" i="68" s="1"/>
  <c r="AI85" i="68"/>
  <c r="AH85" i="68"/>
  <c r="AI84" i="68"/>
  <c r="AH84" i="68"/>
  <c r="AI83" i="68"/>
  <c r="AH83" i="68"/>
  <c r="AN82" i="68"/>
  <c r="AG82" i="68"/>
  <c r="AF82" i="68"/>
  <c r="AF98" i="68" s="1"/>
  <c r="AE82" i="68"/>
  <c r="AE98" i="68" s="1"/>
  <c r="AD82" i="68"/>
  <c r="AD98" i="68" s="1"/>
  <c r="AC82" i="68"/>
  <c r="AC98" i="68" s="1"/>
  <c r="AB82" i="68"/>
  <c r="AB98" i="68" s="1"/>
  <c r="AA82" i="68"/>
  <c r="AA98" i="68" s="1"/>
  <c r="Y82" i="68"/>
  <c r="X5" i="68" s="1"/>
  <c r="X82" i="68"/>
  <c r="X98" i="68" s="1"/>
  <c r="W82" i="68"/>
  <c r="W98" i="68" s="1"/>
  <c r="V82" i="68"/>
  <c r="V98" i="68" s="1"/>
  <c r="U82" i="68"/>
  <c r="U98" i="68" s="1"/>
  <c r="T82" i="68"/>
  <c r="T98" i="68" s="1"/>
  <c r="S82" i="68"/>
  <c r="S98" i="68" s="1"/>
  <c r="R82" i="68"/>
  <c r="R98" i="68" s="1"/>
  <c r="Q82" i="68"/>
  <c r="P82" i="68"/>
  <c r="P98" i="68" s="1"/>
  <c r="O82" i="68"/>
  <c r="O98" i="68" s="1"/>
  <c r="N82" i="68"/>
  <c r="N98" i="68" s="1"/>
  <c r="M82" i="68"/>
  <c r="M98" i="68" s="1"/>
  <c r="L82" i="68"/>
  <c r="L98" i="68" s="1"/>
  <c r="K82" i="68"/>
  <c r="K98" i="68" s="1"/>
  <c r="J82" i="68"/>
  <c r="J98" i="68" s="1"/>
  <c r="I82" i="68"/>
  <c r="I98" i="68" s="1"/>
  <c r="H82" i="68"/>
  <c r="H98" i="68" s="1"/>
  <c r="G82" i="68"/>
  <c r="G98" i="68" s="1"/>
  <c r="F82" i="68"/>
  <c r="F98" i="68" s="1"/>
  <c r="E82" i="68"/>
  <c r="E98" i="68" s="1"/>
  <c r="D82" i="68"/>
  <c r="D98" i="68" s="1"/>
  <c r="C82" i="68"/>
  <c r="C98" i="68" s="1"/>
  <c r="AI81" i="68"/>
  <c r="AH81" i="68"/>
  <c r="AN80" i="68"/>
  <c r="AI80" i="68"/>
  <c r="AH80" i="68"/>
  <c r="AN79" i="68"/>
  <c r="AN81" i="68" s="1"/>
  <c r="AI79" i="68"/>
  <c r="AH79" i="68"/>
  <c r="AI78" i="68"/>
  <c r="AH78" i="68"/>
  <c r="AI77" i="68"/>
  <c r="AH77" i="68"/>
  <c r="AI76" i="68"/>
  <c r="AH76" i="68"/>
  <c r="AI75" i="68"/>
  <c r="AH75" i="68"/>
  <c r="AI74" i="68"/>
  <c r="AH74" i="68"/>
  <c r="AI73" i="68"/>
  <c r="AH73" i="68"/>
  <c r="AI72" i="68"/>
  <c r="AH72" i="68"/>
  <c r="AI71" i="68"/>
  <c r="AH71" i="68"/>
  <c r="AG70" i="68"/>
  <c r="AF70" i="68"/>
  <c r="AE70" i="68"/>
  <c r="AD70" i="68"/>
  <c r="AC70" i="68"/>
  <c r="AB70" i="68"/>
  <c r="AA70" i="68"/>
  <c r="Y70" i="68"/>
  <c r="X70" i="68"/>
  <c r="W70" i="68"/>
  <c r="V70" i="68"/>
  <c r="U70" i="68"/>
  <c r="T70" i="68"/>
  <c r="S70" i="68"/>
  <c r="R70" i="68"/>
  <c r="Q70" i="68"/>
  <c r="P70" i="68"/>
  <c r="O70" i="68"/>
  <c r="N70" i="68"/>
  <c r="M70" i="68"/>
  <c r="L70" i="68"/>
  <c r="AI69" i="68"/>
  <c r="AH69" i="68"/>
  <c r="AI68" i="68"/>
  <c r="AH68" i="68"/>
  <c r="AI67" i="68"/>
  <c r="AH67" i="68"/>
  <c r="AF66" i="68"/>
  <c r="AE66" i="68"/>
  <c r="AD66" i="68"/>
  <c r="AC66" i="68"/>
  <c r="AB66" i="68"/>
  <c r="AA66" i="68"/>
  <c r="Y66" i="68"/>
  <c r="X66" i="68"/>
  <c r="W66" i="68"/>
  <c r="V66" i="68"/>
  <c r="U66" i="68"/>
  <c r="T66" i="68"/>
  <c r="S66" i="68"/>
  <c r="R66" i="68"/>
  <c r="Q66" i="68"/>
  <c r="P66" i="68"/>
  <c r="O66" i="68"/>
  <c r="N66" i="68"/>
  <c r="M66" i="68"/>
  <c r="L66" i="68"/>
  <c r="K66" i="68"/>
  <c r="J66" i="68"/>
  <c r="I66" i="68"/>
  <c r="H66" i="68"/>
  <c r="G66" i="68"/>
  <c r="F66" i="68"/>
  <c r="E66" i="68"/>
  <c r="D66" i="68"/>
  <c r="C66" i="68"/>
  <c r="AI65" i="68"/>
  <c r="AH65" i="68"/>
  <c r="AG65" i="68"/>
  <c r="AG66" i="68" s="1"/>
  <c r="AG3" i="68" s="1"/>
  <c r="AI64" i="68"/>
  <c r="AH64" i="68"/>
  <c r="AI63" i="68"/>
  <c r="AH63" i="68"/>
  <c r="AI62" i="68"/>
  <c r="AH62" i="68"/>
  <c r="AI61" i="68"/>
  <c r="AH61" i="68"/>
  <c r="AI60" i="68"/>
  <c r="AH60" i="68"/>
  <c r="AI59" i="68"/>
  <c r="AH59" i="68"/>
  <c r="AI58" i="68"/>
  <c r="AH58" i="68"/>
  <c r="AI57" i="68"/>
  <c r="AH57" i="68"/>
  <c r="AI56" i="68"/>
  <c r="AH56" i="68"/>
  <c r="AI55" i="68"/>
  <c r="AH55" i="68"/>
  <c r="AI54" i="68"/>
  <c r="AH54" i="68"/>
  <c r="AI53" i="68"/>
  <c r="AH53" i="68"/>
  <c r="AG52" i="68"/>
  <c r="AF52" i="68"/>
  <c r="AE52" i="68"/>
  <c r="AD52" i="68"/>
  <c r="AC52" i="68"/>
  <c r="AB52" i="68"/>
  <c r="AA52" i="68"/>
  <c r="Y52" i="68"/>
  <c r="X52" i="68"/>
  <c r="W52" i="68"/>
  <c r="V52" i="68"/>
  <c r="U52" i="68"/>
  <c r="T52" i="68"/>
  <c r="S52" i="68"/>
  <c r="R52" i="68"/>
  <c r="Q52" i="68"/>
  <c r="P52" i="68"/>
  <c r="O52" i="68"/>
  <c r="N52" i="68"/>
  <c r="M52" i="68"/>
  <c r="L52" i="68"/>
  <c r="K52" i="68"/>
  <c r="J52" i="68"/>
  <c r="I52" i="68"/>
  <c r="H52" i="68"/>
  <c r="G52" i="68"/>
  <c r="F52" i="68"/>
  <c r="E52" i="68"/>
  <c r="D52" i="68"/>
  <c r="C52" i="68"/>
  <c r="AI51" i="68"/>
  <c r="AH51" i="68"/>
  <c r="AI50" i="68"/>
  <c r="AH50" i="68"/>
  <c r="AI49" i="68"/>
  <c r="AH49" i="68"/>
  <c r="AG48" i="68"/>
  <c r="AG87" i="68" s="1"/>
  <c r="AF48" i="68"/>
  <c r="AE48" i="68"/>
  <c r="AD48" i="68"/>
  <c r="AC48" i="68"/>
  <c r="AB48" i="68"/>
  <c r="Y48" i="68"/>
  <c r="X48" i="68"/>
  <c r="W48" i="68"/>
  <c r="V48" i="68"/>
  <c r="U48" i="68"/>
  <c r="T48" i="68"/>
  <c r="S48" i="68"/>
  <c r="R48" i="68"/>
  <c r="Q48" i="68"/>
  <c r="P48" i="68"/>
  <c r="O48" i="68"/>
  <c r="N48" i="68"/>
  <c r="M48" i="68"/>
  <c r="L48" i="68"/>
  <c r="K48" i="68"/>
  <c r="J48" i="68"/>
  <c r="I48" i="68"/>
  <c r="H48" i="68"/>
  <c r="G48" i="68"/>
  <c r="F48" i="68"/>
  <c r="E48" i="68"/>
  <c r="D48" i="68"/>
  <c r="C48" i="68"/>
  <c r="AI47" i="68"/>
  <c r="AH47" i="68"/>
  <c r="AI46" i="68"/>
  <c r="AH46" i="68"/>
  <c r="AI45" i="68"/>
  <c r="AH45" i="68"/>
  <c r="AI44" i="68"/>
  <c r="AH44" i="68"/>
  <c r="AI43" i="68"/>
  <c r="AH43" i="68"/>
  <c r="AI42" i="68"/>
  <c r="AH42" i="68"/>
  <c r="AI41" i="68"/>
  <c r="AH41" i="68"/>
  <c r="AI40" i="68"/>
  <c r="AH40" i="68"/>
  <c r="AI39" i="68"/>
  <c r="AH39" i="68"/>
  <c r="AI38" i="68"/>
  <c r="AH38" i="68"/>
  <c r="AI37" i="68"/>
  <c r="AH37" i="68"/>
  <c r="AI36" i="68"/>
  <c r="AH36" i="68"/>
  <c r="AI35" i="68"/>
  <c r="AH35" i="68"/>
  <c r="AI34" i="68"/>
  <c r="AH34" i="68"/>
  <c r="AI33" i="68"/>
  <c r="AH33" i="68"/>
  <c r="AI32" i="68"/>
  <c r="AH32" i="68"/>
  <c r="AI31" i="68"/>
  <c r="AH31" i="68"/>
  <c r="AI30" i="68"/>
  <c r="AH30" i="68"/>
  <c r="AI29" i="68"/>
  <c r="AH29" i="68"/>
  <c r="AI28" i="68"/>
  <c r="AH28" i="68"/>
  <c r="AI27" i="68"/>
  <c r="AH27" i="68"/>
  <c r="AI26" i="68"/>
  <c r="AH26" i="68"/>
  <c r="AI25" i="68"/>
  <c r="AH25" i="68"/>
  <c r="AI24" i="68"/>
  <c r="AH24" i="68"/>
  <c r="AI23" i="68"/>
  <c r="AH23" i="68"/>
  <c r="AI22" i="68"/>
  <c r="AH22" i="68"/>
  <c r="AI21" i="68"/>
  <c r="AH21" i="68"/>
  <c r="AI20" i="68"/>
  <c r="AH20" i="68"/>
  <c r="AI19" i="68"/>
  <c r="AH19" i="68"/>
  <c r="AI18" i="68"/>
  <c r="AH18" i="68"/>
  <c r="AI17" i="68"/>
  <c r="AH17" i="68"/>
  <c r="AI16" i="68"/>
  <c r="AH16" i="68"/>
  <c r="AI15" i="68"/>
  <c r="AH15" i="68"/>
  <c r="AI14" i="68"/>
  <c r="AH14" i="68"/>
  <c r="AI13" i="68"/>
  <c r="AH13" i="68"/>
  <c r="AI12" i="68"/>
  <c r="AH12" i="68"/>
  <c r="AI11" i="68"/>
  <c r="AH11" i="68"/>
  <c r="V5" i="68"/>
  <c r="R5" i="68"/>
  <c r="P5" i="68"/>
  <c r="N5" i="68"/>
  <c r="AG4" i="68"/>
  <c r="K4" i="68"/>
  <c r="E4" i="68"/>
  <c r="H4" i="68" s="1"/>
  <c r="B4" i="68"/>
  <c r="S243" i="68" s="1"/>
  <c r="Z7" i="67"/>
  <c r="AA111" i="67"/>
  <c r="Y111" i="67"/>
  <c r="X111" i="67"/>
  <c r="S52" i="67"/>
  <c r="S66" i="67"/>
  <c r="P111" i="67"/>
  <c r="R87" i="69" l="1"/>
  <c r="R89" i="69" s="1"/>
  <c r="P5" i="69"/>
  <c r="Q87" i="69"/>
  <c r="Q89" i="69" s="1"/>
  <c r="O5" i="69"/>
  <c r="P87" i="69"/>
  <c r="P89" i="69" s="1"/>
  <c r="M5" i="69"/>
  <c r="N5" i="69"/>
  <c r="O87" i="69"/>
  <c r="O89" i="69" s="1"/>
  <c r="N87" i="69"/>
  <c r="N89" i="69" s="1"/>
  <c r="M87" i="69"/>
  <c r="M89" i="69" s="1"/>
  <c r="AE246" i="69" s="1"/>
  <c r="L5" i="69"/>
  <c r="K5" i="69"/>
  <c r="L87" i="69"/>
  <c r="L89" i="69" s="1"/>
  <c r="AI70" i="69"/>
  <c r="K87" i="69"/>
  <c r="K89" i="69" s="1"/>
  <c r="K7" i="69" s="1"/>
  <c r="I5" i="69"/>
  <c r="J87" i="69"/>
  <c r="J89" i="69" s="1"/>
  <c r="J90" i="69" s="1"/>
  <c r="I87" i="69"/>
  <c r="I89" i="69" s="1"/>
  <c r="H5" i="69"/>
  <c r="G5" i="69"/>
  <c r="H87" i="69"/>
  <c r="H89" i="69" s="1"/>
  <c r="H90" i="69" s="1"/>
  <c r="F5" i="69"/>
  <c r="G87" i="69"/>
  <c r="G89" i="69" s="1"/>
  <c r="G90" i="69" s="1"/>
  <c r="E5" i="69"/>
  <c r="F87" i="69"/>
  <c r="F89" i="69" s="1"/>
  <c r="F7" i="69" s="1"/>
  <c r="AI52" i="69"/>
  <c r="D5" i="69"/>
  <c r="E87" i="69"/>
  <c r="E89" i="69" s="1"/>
  <c r="E7" i="69" s="1"/>
  <c r="AI66" i="69"/>
  <c r="T90" i="69"/>
  <c r="T7" i="69"/>
  <c r="AL246" i="69"/>
  <c r="U7" i="69"/>
  <c r="AM246" i="69"/>
  <c r="U90" i="69"/>
  <c r="J229" i="69"/>
  <c r="K229" i="69" s="1"/>
  <c r="L229" i="69" s="1"/>
  <c r="M229" i="69" s="1"/>
  <c r="N229" i="69" s="1"/>
  <c r="O229" i="69" s="1"/>
  <c r="P229" i="69" s="1"/>
  <c r="N7" i="69"/>
  <c r="AF246" i="69"/>
  <c r="N90" i="69"/>
  <c r="V7" i="69"/>
  <c r="AN246" i="69"/>
  <c r="V90" i="69"/>
  <c r="AD7" i="69"/>
  <c r="AV246" i="69"/>
  <c r="AD90" i="69"/>
  <c r="AG89" i="69"/>
  <c r="L90" i="69"/>
  <c r="L7" i="69"/>
  <c r="AD246" i="69"/>
  <c r="Y246" i="69"/>
  <c r="AG246" i="69"/>
  <c r="O90" i="69"/>
  <c r="O7" i="69"/>
  <c r="AO246" i="69"/>
  <c r="W90" i="69"/>
  <c r="W7" i="69"/>
  <c r="AW246" i="69"/>
  <c r="AE90" i="69"/>
  <c r="AE7" i="69"/>
  <c r="AI98" i="69"/>
  <c r="AH98" i="69"/>
  <c r="P90" i="69"/>
  <c r="P7" i="69"/>
  <c r="AH246" i="69"/>
  <c r="X90" i="69"/>
  <c r="X7" i="69"/>
  <c r="AP246" i="69"/>
  <c r="AF90" i="69"/>
  <c r="AF7" i="69"/>
  <c r="AX246" i="69"/>
  <c r="AB90" i="69"/>
  <c r="AB7" i="69"/>
  <c r="AT246" i="69"/>
  <c r="AC7" i="69"/>
  <c r="AU246" i="69"/>
  <c r="AC90" i="69"/>
  <c r="I90" i="69"/>
  <c r="I7" i="69"/>
  <c r="AA246" i="69"/>
  <c r="Q90" i="69"/>
  <c r="Q7" i="69"/>
  <c r="AI246" i="69"/>
  <c r="Y90" i="69"/>
  <c r="Y7" i="69"/>
  <c r="AQ246" i="69"/>
  <c r="AG87" i="69"/>
  <c r="B89" i="69"/>
  <c r="AB246" i="69"/>
  <c r="R90" i="69"/>
  <c r="R7" i="69"/>
  <c r="AJ246" i="69"/>
  <c r="Z90" i="69"/>
  <c r="Z7" i="69"/>
  <c r="AR246" i="69"/>
  <c r="D90" i="69"/>
  <c r="D7" i="69"/>
  <c r="V246" i="69"/>
  <c r="C90" i="69"/>
  <c r="C7" i="69"/>
  <c r="U246" i="69"/>
  <c r="K90" i="69"/>
  <c r="S90" i="69"/>
  <c r="S7" i="69"/>
  <c r="AK246" i="69"/>
  <c r="AA90" i="69"/>
  <c r="AA7" i="69"/>
  <c r="AS246" i="69"/>
  <c r="G226" i="69"/>
  <c r="F108" i="69"/>
  <c r="F232" i="69"/>
  <c r="AH70" i="69"/>
  <c r="E232" i="69"/>
  <c r="D243" i="69"/>
  <c r="AH66" i="69"/>
  <c r="AH82" i="69"/>
  <c r="AH48" i="69"/>
  <c r="AH52" i="69"/>
  <c r="AI82" i="69"/>
  <c r="H231" i="69"/>
  <c r="AI48" i="69"/>
  <c r="AE5" i="68"/>
  <c r="AF87" i="68"/>
  <c r="AF89" i="68" s="1"/>
  <c r="AD87" i="68"/>
  <c r="AD89" i="68" s="1"/>
  <c r="AC5" i="68"/>
  <c r="AD5" i="68"/>
  <c r="AE87" i="68"/>
  <c r="AE89" i="68" s="1"/>
  <c r="AB5" i="68"/>
  <c r="AC87" i="68"/>
  <c r="AC89" i="68" s="1"/>
  <c r="AB87" i="68"/>
  <c r="AB89" i="68" s="1"/>
  <c r="AA5" i="68"/>
  <c r="Z5" i="68"/>
  <c r="AA87" i="68"/>
  <c r="AA89" i="68" s="1"/>
  <c r="Y98" i="68"/>
  <c r="Y87" i="68"/>
  <c r="Y89" i="68" s="1"/>
  <c r="Y7" i="68" s="1"/>
  <c r="W5" i="68"/>
  <c r="X87" i="68"/>
  <c r="X89" i="68" s="1"/>
  <c r="W87" i="68"/>
  <c r="W89" i="68" s="1"/>
  <c r="U5" i="68"/>
  <c r="V87" i="68"/>
  <c r="V89" i="68" s="1"/>
  <c r="T5" i="68"/>
  <c r="U87" i="68"/>
  <c r="U89" i="68" s="1"/>
  <c r="S5" i="68"/>
  <c r="T87" i="68"/>
  <c r="T89" i="68" s="1"/>
  <c r="S87" i="68"/>
  <c r="S89" i="68" s="1"/>
  <c r="AI70" i="68"/>
  <c r="R87" i="68"/>
  <c r="R89" i="68" s="1"/>
  <c r="Q87" i="68"/>
  <c r="Q89" i="68" s="1"/>
  <c r="O5" i="68"/>
  <c r="P87" i="68"/>
  <c r="P89" i="68" s="1"/>
  <c r="O87" i="68"/>
  <c r="O89" i="68" s="1"/>
  <c r="M5" i="68"/>
  <c r="N87" i="68"/>
  <c r="N89" i="68" s="1"/>
  <c r="L5" i="68"/>
  <c r="M87" i="68"/>
  <c r="M89" i="68" s="1"/>
  <c r="M90" i="68" s="1"/>
  <c r="K5" i="68"/>
  <c r="L87" i="68"/>
  <c r="L89" i="68" s="1"/>
  <c r="L7" i="68" s="1"/>
  <c r="J5" i="68"/>
  <c r="K87" i="68"/>
  <c r="K89" i="68" s="1"/>
  <c r="AC246" i="68" s="1"/>
  <c r="J87" i="68"/>
  <c r="J89" i="68" s="1"/>
  <c r="J90" i="68" s="1"/>
  <c r="H5" i="68"/>
  <c r="G5" i="68"/>
  <c r="AI52" i="68"/>
  <c r="H87" i="68"/>
  <c r="H89" i="68" s="1"/>
  <c r="H7" i="68" s="1"/>
  <c r="F5" i="68"/>
  <c r="G87" i="68"/>
  <c r="G89" i="68" s="1"/>
  <c r="G7" i="68" s="1"/>
  <c r="E5" i="68"/>
  <c r="F87" i="68"/>
  <c r="F89" i="68" s="1"/>
  <c r="X246" i="68" s="1"/>
  <c r="I87" i="68"/>
  <c r="I89" i="68" s="1"/>
  <c r="AA246" i="68" s="1"/>
  <c r="E87" i="68"/>
  <c r="E89" i="68" s="1"/>
  <c r="E7" i="68" s="1"/>
  <c r="D5" i="68"/>
  <c r="C5" i="68"/>
  <c r="D87" i="68"/>
  <c r="D89" i="68" s="1"/>
  <c r="D90" i="68" s="1"/>
  <c r="B5" i="68"/>
  <c r="AI66" i="68"/>
  <c r="C87" i="68"/>
  <c r="C89" i="68" s="1"/>
  <c r="U246" i="68" s="1"/>
  <c r="AF5" i="68"/>
  <c r="B87" i="68"/>
  <c r="B89" i="68" s="1"/>
  <c r="B90" i="68" s="1"/>
  <c r="AH101" i="68"/>
  <c r="AH105" i="68"/>
  <c r="AH117" i="68"/>
  <c r="AI117" i="68"/>
  <c r="AG246" i="68"/>
  <c r="O90" i="68"/>
  <c r="O7" i="68"/>
  <c r="G231" i="68"/>
  <c r="E267" i="68"/>
  <c r="P7" i="68"/>
  <c r="AH246" i="68"/>
  <c r="P90" i="68"/>
  <c r="X7" i="68"/>
  <c r="X90" i="68"/>
  <c r="AP246" i="68"/>
  <c r="AF90" i="68"/>
  <c r="AF7" i="68"/>
  <c r="AX246" i="68"/>
  <c r="AW246" i="68"/>
  <c r="AE90" i="68"/>
  <c r="AE7" i="68"/>
  <c r="F7" i="68"/>
  <c r="R7" i="68"/>
  <c r="R90" i="68"/>
  <c r="AJ246" i="68"/>
  <c r="AR246" i="68"/>
  <c r="Z7" i="68"/>
  <c r="N7" i="68"/>
  <c r="AF246" i="68"/>
  <c r="N90" i="68"/>
  <c r="Y246" i="68"/>
  <c r="Q90" i="68"/>
  <c r="Q7" i="68"/>
  <c r="AI246" i="68"/>
  <c r="G226" i="68"/>
  <c r="F108" i="68"/>
  <c r="S90" i="68"/>
  <c r="AK246" i="68"/>
  <c r="S7" i="68"/>
  <c r="AS246" i="68"/>
  <c r="AA90" i="68"/>
  <c r="AA7" i="68"/>
  <c r="V7" i="68"/>
  <c r="AN246" i="68"/>
  <c r="V90" i="68"/>
  <c r="AO246" i="68"/>
  <c r="W90" i="68"/>
  <c r="W7" i="68"/>
  <c r="Y90" i="68"/>
  <c r="AB90" i="68"/>
  <c r="AB7" i="68"/>
  <c r="AT246" i="68"/>
  <c r="AD7" i="68"/>
  <c r="AV246" i="68"/>
  <c r="AD90" i="68"/>
  <c r="T90" i="68"/>
  <c r="T7" i="68"/>
  <c r="AL246" i="68"/>
  <c r="U7" i="68"/>
  <c r="AM246" i="68"/>
  <c r="U90" i="68"/>
  <c r="AC7" i="68"/>
  <c r="AU246" i="68"/>
  <c r="AC90" i="68"/>
  <c r="AH82" i="68"/>
  <c r="I5" i="68"/>
  <c r="Q5" i="68"/>
  <c r="Y5" i="68"/>
  <c r="AH70" i="68"/>
  <c r="D243" i="68"/>
  <c r="AH66" i="68"/>
  <c r="AG2" i="68"/>
  <c r="AG6" i="68" s="1"/>
  <c r="E108" i="68"/>
  <c r="AH48" i="68"/>
  <c r="AH52" i="68"/>
  <c r="AI82" i="68"/>
  <c r="AI48" i="68"/>
  <c r="E229" i="68"/>
  <c r="F229" i="68" s="1"/>
  <c r="G229" i="68" s="1"/>
  <c r="H229" i="68" s="1"/>
  <c r="I229" i="68" s="1"/>
  <c r="O111" i="67"/>
  <c r="M7" i="69" l="1"/>
  <c r="M90" i="69"/>
  <c r="AQ246" i="68"/>
  <c r="AC246" i="69"/>
  <c r="J7" i="69"/>
  <c r="Z246" i="69"/>
  <c r="H7" i="69"/>
  <c r="G7" i="69"/>
  <c r="B241" i="69"/>
  <c r="C241" i="69"/>
  <c r="F90" i="69"/>
  <c r="X246" i="69"/>
  <c r="AH87" i="69"/>
  <c r="AI87" i="69"/>
  <c r="E90" i="69"/>
  <c r="W246" i="69"/>
  <c r="H226" i="69"/>
  <c r="G108" i="69"/>
  <c r="G232" i="69"/>
  <c r="G267" i="69"/>
  <c r="I231" i="69"/>
  <c r="B90" i="69"/>
  <c r="AI89" i="69"/>
  <c r="AH89" i="69"/>
  <c r="B7" i="69"/>
  <c r="A7" i="69" s="1"/>
  <c r="T246" i="69"/>
  <c r="M7" i="68"/>
  <c r="AE246" i="68"/>
  <c r="L90" i="68"/>
  <c r="AD246" i="68"/>
  <c r="K7" i="68"/>
  <c r="K90" i="68"/>
  <c r="AB246" i="68"/>
  <c r="J7" i="68"/>
  <c r="I90" i="68"/>
  <c r="I7" i="68"/>
  <c r="C241" i="68"/>
  <c r="H90" i="68"/>
  <c r="Z246" i="68"/>
  <c r="G90" i="68"/>
  <c r="B241" i="68"/>
  <c r="F90" i="68"/>
  <c r="V246" i="68"/>
  <c r="D7" i="68"/>
  <c r="E90" i="68"/>
  <c r="W246" i="68"/>
  <c r="C90" i="68"/>
  <c r="C7" i="68"/>
  <c r="AI87" i="68"/>
  <c r="AH87" i="68"/>
  <c r="B224" i="68"/>
  <c r="J229" i="68"/>
  <c r="K229" i="68" s="1"/>
  <c r="L229" i="68" s="1"/>
  <c r="M229" i="68" s="1"/>
  <c r="N229" i="68" s="1"/>
  <c r="O229" i="68" s="1"/>
  <c r="P229" i="68" s="1"/>
  <c r="AH89" i="68"/>
  <c r="AI89" i="68"/>
  <c r="B7" i="68"/>
  <c r="T246" i="68"/>
  <c r="F267" i="68"/>
  <c r="H231" i="68"/>
  <c r="H226" i="68"/>
  <c r="G108" i="68"/>
  <c r="G232" i="68"/>
  <c r="F232" i="68"/>
  <c r="E232" i="68"/>
  <c r="AH98" i="68"/>
  <c r="AI98" i="68"/>
  <c r="N111" i="67"/>
  <c r="K6" i="69" l="1"/>
  <c r="H267" i="69"/>
  <c r="J231" i="69"/>
  <c r="I226" i="69"/>
  <c r="H108" i="69"/>
  <c r="H232" i="69"/>
  <c r="AI90" i="69"/>
  <c r="AH90" i="69"/>
  <c r="K6" i="68"/>
  <c r="A7" i="68"/>
  <c r="I226" i="68"/>
  <c r="H108" i="68"/>
  <c r="H232" i="68"/>
  <c r="AI90" i="68"/>
  <c r="AH90" i="68"/>
  <c r="G267" i="68"/>
  <c r="I231" i="68"/>
  <c r="D111" i="67"/>
  <c r="D48" i="67"/>
  <c r="C111" i="67"/>
  <c r="C66" i="67"/>
  <c r="C70" i="67"/>
  <c r="B111" i="67"/>
  <c r="B82" i="67"/>
  <c r="B98" i="67" s="1"/>
  <c r="B70" i="67"/>
  <c r="B66" i="67"/>
  <c r="B52" i="67"/>
  <c r="B48" i="67"/>
  <c r="AF271" i="67"/>
  <c r="AE271" i="67"/>
  <c r="AD271" i="67"/>
  <c r="AC271" i="67"/>
  <c r="AB271" i="67"/>
  <c r="AA271" i="67"/>
  <c r="Z271" i="67"/>
  <c r="Y271" i="67"/>
  <c r="X271" i="67"/>
  <c r="W271" i="67"/>
  <c r="V271" i="67"/>
  <c r="U271" i="67"/>
  <c r="T271" i="67"/>
  <c r="S271" i="67"/>
  <c r="R271" i="67"/>
  <c r="Q271" i="67"/>
  <c r="P271" i="67"/>
  <c r="O271" i="67"/>
  <c r="N271" i="67"/>
  <c r="M271" i="67"/>
  <c r="L271" i="67"/>
  <c r="K271" i="67"/>
  <c r="J271" i="67"/>
  <c r="I271" i="67"/>
  <c r="H271" i="67"/>
  <c r="G271" i="67"/>
  <c r="F271" i="67"/>
  <c r="E271" i="67"/>
  <c r="D271" i="67"/>
  <c r="C271" i="67"/>
  <c r="B271" i="67"/>
  <c r="A271" i="67"/>
  <c r="AF270" i="67"/>
  <c r="AE270" i="67"/>
  <c r="AD270" i="67"/>
  <c r="AC270" i="67"/>
  <c r="AB270" i="67"/>
  <c r="AA270" i="67"/>
  <c r="Z270" i="67"/>
  <c r="Y270" i="67"/>
  <c r="X270" i="67"/>
  <c r="W270" i="67"/>
  <c r="V270" i="67"/>
  <c r="U270" i="67"/>
  <c r="T270" i="67"/>
  <c r="S270" i="67"/>
  <c r="R270" i="67"/>
  <c r="Q270" i="67"/>
  <c r="P270" i="67"/>
  <c r="O270" i="67"/>
  <c r="N270" i="67"/>
  <c r="M270" i="67"/>
  <c r="L270" i="67"/>
  <c r="K270" i="67"/>
  <c r="J270" i="67"/>
  <c r="I270" i="67"/>
  <c r="H270" i="67"/>
  <c r="G270" i="67"/>
  <c r="F270" i="67"/>
  <c r="E270" i="67"/>
  <c r="D270" i="67"/>
  <c r="C270" i="67"/>
  <c r="B270" i="67"/>
  <c r="A270" i="67"/>
  <c r="AF269" i="67"/>
  <c r="AE269" i="67"/>
  <c r="AD269" i="67"/>
  <c r="AC269" i="67"/>
  <c r="AB269" i="67"/>
  <c r="AA269" i="67"/>
  <c r="Z269" i="67"/>
  <c r="Y269" i="67"/>
  <c r="X269" i="67"/>
  <c r="W269" i="67"/>
  <c r="V269" i="67"/>
  <c r="U269" i="67"/>
  <c r="T269" i="67"/>
  <c r="S269" i="67"/>
  <c r="R269" i="67"/>
  <c r="Q269" i="67"/>
  <c r="P269" i="67"/>
  <c r="O269" i="67"/>
  <c r="N269" i="67"/>
  <c r="M269" i="67"/>
  <c r="L269" i="67"/>
  <c r="K269" i="67"/>
  <c r="J269" i="67"/>
  <c r="I269" i="67"/>
  <c r="H269" i="67"/>
  <c r="G269" i="67"/>
  <c r="F269" i="67"/>
  <c r="E269" i="67"/>
  <c r="D269" i="67"/>
  <c r="C269" i="67"/>
  <c r="B269" i="67"/>
  <c r="A269" i="67"/>
  <c r="AF268" i="67"/>
  <c r="AE268" i="67"/>
  <c r="AD268" i="67"/>
  <c r="AC268" i="67"/>
  <c r="AB268" i="67"/>
  <c r="AA268" i="67"/>
  <c r="Z268" i="67"/>
  <c r="Y268" i="67"/>
  <c r="X268" i="67"/>
  <c r="W268" i="67"/>
  <c r="V268" i="67"/>
  <c r="U268" i="67"/>
  <c r="T268" i="67"/>
  <c r="S268" i="67"/>
  <c r="R268" i="67"/>
  <c r="Q268" i="67"/>
  <c r="P268" i="67"/>
  <c r="O268" i="67"/>
  <c r="N268" i="67"/>
  <c r="M268" i="67"/>
  <c r="L268" i="67"/>
  <c r="K268" i="67"/>
  <c r="J268" i="67"/>
  <c r="I268" i="67"/>
  <c r="H268" i="67"/>
  <c r="G268" i="67"/>
  <c r="F268" i="67"/>
  <c r="E268" i="67"/>
  <c r="D268" i="67"/>
  <c r="C268" i="67"/>
  <c r="B268" i="67"/>
  <c r="A268" i="67"/>
  <c r="AE267" i="67"/>
  <c r="AD267" i="67"/>
  <c r="AC267" i="67"/>
  <c r="AB267" i="67"/>
  <c r="AA267" i="67"/>
  <c r="Z267" i="67"/>
  <c r="Y267" i="67"/>
  <c r="X267" i="67"/>
  <c r="W267" i="67"/>
  <c r="V267" i="67"/>
  <c r="U267" i="67"/>
  <c r="T267" i="67"/>
  <c r="S267" i="67"/>
  <c r="R267" i="67"/>
  <c r="Q267" i="67"/>
  <c r="P267" i="67"/>
  <c r="B267" i="67"/>
  <c r="S242" i="67"/>
  <c r="AG232" i="67"/>
  <c r="AG65" i="67" s="1"/>
  <c r="AG66" i="67" s="1"/>
  <c r="AG3" i="67" s="1"/>
  <c r="AF232" i="67"/>
  <c r="AE232" i="67"/>
  <c r="AD232" i="67"/>
  <c r="AC232" i="67"/>
  <c r="AB232" i="67"/>
  <c r="AA232" i="67"/>
  <c r="Z232" i="67"/>
  <c r="Y232" i="67"/>
  <c r="X232" i="67"/>
  <c r="W232" i="67"/>
  <c r="V232" i="67"/>
  <c r="U232" i="67"/>
  <c r="T232" i="67"/>
  <c r="S232" i="67"/>
  <c r="R232" i="67"/>
  <c r="Q232" i="67"/>
  <c r="C232" i="67"/>
  <c r="E231" i="67"/>
  <c r="D267" i="67" s="1"/>
  <c r="D231" i="67"/>
  <c r="C267" i="67" s="1"/>
  <c r="B231" i="67"/>
  <c r="AF267" i="67" s="1"/>
  <c r="D230" i="67"/>
  <c r="E230" i="67" s="1"/>
  <c r="F230" i="67" s="1"/>
  <c r="G230" i="67" s="1"/>
  <c r="H230" i="67" s="1"/>
  <c r="I230" i="67" s="1"/>
  <c r="J230" i="67" s="1"/>
  <c r="K230" i="67" s="1"/>
  <c r="L230" i="67" s="1"/>
  <c r="M230" i="67" s="1"/>
  <c r="N230" i="67" s="1"/>
  <c r="O230" i="67" s="1"/>
  <c r="P230" i="67" s="1"/>
  <c r="B230" i="67"/>
  <c r="D229" i="67"/>
  <c r="B229" i="67"/>
  <c r="D228" i="67"/>
  <c r="E228" i="67" s="1"/>
  <c r="F228" i="67" s="1"/>
  <c r="G228" i="67" s="1"/>
  <c r="H228" i="67" s="1"/>
  <c r="B228" i="67"/>
  <c r="E227" i="67"/>
  <c r="F227" i="67" s="1"/>
  <c r="G227" i="67" s="1"/>
  <c r="H227" i="67" s="1"/>
  <c r="I227" i="67" s="1"/>
  <c r="J227" i="67" s="1"/>
  <c r="K227" i="67" s="1"/>
  <c r="L227" i="67" s="1"/>
  <c r="M227" i="67" s="1"/>
  <c r="N227" i="67" s="1"/>
  <c r="O227" i="67" s="1"/>
  <c r="P227" i="67" s="1"/>
  <c r="D227" i="67"/>
  <c r="B227" i="67"/>
  <c r="D226" i="67"/>
  <c r="E226" i="67" s="1"/>
  <c r="B226" i="67"/>
  <c r="B108" i="67" s="1"/>
  <c r="AG224" i="67"/>
  <c r="AF224" i="67"/>
  <c r="AE224" i="67"/>
  <c r="AD224" i="67"/>
  <c r="AC224" i="67"/>
  <c r="AB224" i="67"/>
  <c r="AA224" i="67"/>
  <c r="Z224" i="67"/>
  <c r="Y224" i="67"/>
  <c r="X224" i="67"/>
  <c r="W224" i="67"/>
  <c r="V224" i="67"/>
  <c r="U224" i="67"/>
  <c r="T224" i="67"/>
  <c r="S224" i="67"/>
  <c r="R224" i="67"/>
  <c r="Q224" i="67"/>
  <c r="P224" i="67"/>
  <c r="O224" i="67"/>
  <c r="N224" i="67"/>
  <c r="M224" i="67"/>
  <c r="L224" i="67"/>
  <c r="K224" i="67"/>
  <c r="J224" i="67"/>
  <c r="I224" i="67"/>
  <c r="H224" i="67"/>
  <c r="G224" i="67"/>
  <c r="F224" i="67"/>
  <c r="E224" i="67"/>
  <c r="D224" i="67"/>
  <c r="C224" i="67"/>
  <c r="B224" i="67"/>
  <c r="AI117" i="67"/>
  <c r="AH117" i="67"/>
  <c r="AI116" i="67"/>
  <c r="AH116" i="67"/>
  <c r="AI115" i="67"/>
  <c r="AH115" i="67"/>
  <c r="AI114" i="67"/>
  <c r="AH114" i="67"/>
  <c r="AI113" i="67"/>
  <c r="AH113" i="67"/>
  <c r="AI112" i="67"/>
  <c r="AH112" i="67"/>
  <c r="AI111" i="67"/>
  <c r="AH111" i="67"/>
  <c r="AI110" i="67"/>
  <c r="AH110" i="67"/>
  <c r="AI109" i="67"/>
  <c r="AH109" i="67"/>
  <c r="AF108" i="67"/>
  <c r="AE108" i="67"/>
  <c r="AD108" i="67"/>
  <c r="AC108" i="67"/>
  <c r="AB108" i="67"/>
  <c r="AA108" i="67"/>
  <c r="Y108" i="67"/>
  <c r="X108" i="67"/>
  <c r="W108" i="67"/>
  <c r="V108" i="67"/>
  <c r="U108" i="67"/>
  <c r="T108" i="67"/>
  <c r="S108" i="67"/>
  <c r="R108" i="67"/>
  <c r="Q108" i="67"/>
  <c r="D108" i="67"/>
  <c r="C108" i="67"/>
  <c r="AI107" i="67"/>
  <c r="AH107" i="67"/>
  <c r="AI106" i="67"/>
  <c r="AH106" i="67"/>
  <c r="AI105" i="67"/>
  <c r="AH105" i="67"/>
  <c r="AI104" i="67"/>
  <c r="AH104" i="67"/>
  <c r="AI103" i="67"/>
  <c r="AH103" i="67"/>
  <c r="AI102" i="67"/>
  <c r="AH102" i="67"/>
  <c r="AI101" i="67"/>
  <c r="AH101" i="67"/>
  <c r="AI100" i="67"/>
  <c r="AH100" i="67"/>
  <c r="AI99" i="67"/>
  <c r="AH99" i="67"/>
  <c r="AI97" i="67"/>
  <c r="AH97" i="67"/>
  <c r="AI96" i="67"/>
  <c r="AH96" i="67"/>
  <c r="AI95" i="67"/>
  <c r="AH95" i="67"/>
  <c r="AI94" i="67"/>
  <c r="AH94" i="67"/>
  <c r="AI93" i="67"/>
  <c r="AH93" i="67"/>
  <c r="AI92" i="67"/>
  <c r="AH92" i="67"/>
  <c r="AI91" i="67"/>
  <c r="AH91" i="67"/>
  <c r="AI88" i="67"/>
  <c r="AH88" i="67"/>
  <c r="AI86" i="67"/>
  <c r="AH86" i="67"/>
  <c r="AG86" i="67"/>
  <c r="AI85" i="67"/>
  <c r="AH85" i="67"/>
  <c r="AI84" i="67"/>
  <c r="AH84" i="67"/>
  <c r="AI83" i="67"/>
  <c r="AH83" i="67"/>
  <c r="AN82" i="67"/>
  <c r="AG82" i="67"/>
  <c r="AF82" i="67"/>
  <c r="AE82" i="67"/>
  <c r="AE98" i="67" s="1"/>
  <c r="AD82" i="67"/>
  <c r="AD98" i="67" s="1"/>
  <c r="AC82" i="67"/>
  <c r="AC98" i="67" s="1"/>
  <c r="AB82" i="67"/>
  <c r="AB98" i="67" s="1"/>
  <c r="AA82" i="67"/>
  <c r="Z5" i="67" s="1"/>
  <c r="Y82" i="67"/>
  <c r="Y98" i="67" s="1"/>
  <c r="X82" i="67"/>
  <c r="W5" i="67" s="1"/>
  <c r="W82" i="67"/>
  <c r="W98" i="67" s="1"/>
  <c r="V82" i="67"/>
  <c r="V98" i="67" s="1"/>
  <c r="U82" i="67"/>
  <c r="U98" i="67" s="1"/>
  <c r="T82" i="67"/>
  <c r="T98" i="67" s="1"/>
  <c r="S82" i="67"/>
  <c r="S98" i="67" s="1"/>
  <c r="R82" i="67"/>
  <c r="R98" i="67" s="1"/>
  <c r="Q82" i="67"/>
  <c r="Q98" i="67" s="1"/>
  <c r="P82" i="67"/>
  <c r="O5" i="67" s="1"/>
  <c r="O82" i="67"/>
  <c r="O98" i="67" s="1"/>
  <c r="N82" i="67"/>
  <c r="N98" i="67" s="1"/>
  <c r="M82" i="67"/>
  <c r="M98" i="67" s="1"/>
  <c r="L82" i="67"/>
  <c r="L98" i="67" s="1"/>
  <c r="K82" i="67"/>
  <c r="J5" i="67" s="1"/>
  <c r="J82" i="67"/>
  <c r="J98" i="67" s="1"/>
  <c r="I82" i="67"/>
  <c r="I98" i="67" s="1"/>
  <c r="H82" i="67"/>
  <c r="G5" i="67" s="1"/>
  <c r="G82" i="67"/>
  <c r="F5" i="67" s="1"/>
  <c r="F82" i="67"/>
  <c r="F98" i="67" s="1"/>
  <c r="E82" i="67"/>
  <c r="E98" i="67" s="1"/>
  <c r="D82" i="67"/>
  <c r="D98" i="67" s="1"/>
  <c r="C82" i="67"/>
  <c r="AI81" i="67"/>
  <c r="AH81" i="67"/>
  <c r="AN80" i="67"/>
  <c r="AI80" i="67"/>
  <c r="AH80" i="67"/>
  <c r="AN79" i="67"/>
  <c r="AN81" i="67" s="1"/>
  <c r="AI79" i="67"/>
  <c r="AH79" i="67"/>
  <c r="AI78" i="67"/>
  <c r="AH78" i="67"/>
  <c r="AI77" i="67"/>
  <c r="AH77" i="67"/>
  <c r="AI76" i="67"/>
  <c r="AH76" i="67"/>
  <c r="AI75" i="67"/>
  <c r="AH75" i="67"/>
  <c r="AI74" i="67"/>
  <c r="AH74" i="67"/>
  <c r="AI73" i="67"/>
  <c r="AH73" i="67"/>
  <c r="AI72" i="67"/>
  <c r="AH72" i="67"/>
  <c r="AI71" i="67"/>
  <c r="AH71" i="67"/>
  <c r="AG70" i="67"/>
  <c r="AF70" i="67"/>
  <c r="AE70" i="67"/>
  <c r="AD70" i="67"/>
  <c r="AC70" i="67"/>
  <c r="AB70" i="67"/>
  <c r="AA70" i="67"/>
  <c r="Y70" i="67"/>
  <c r="X70" i="67"/>
  <c r="W70" i="67"/>
  <c r="V70" i="67"/>
  <c r="U70" i="67"/>
  <c r="T70" i="67"/>
  <c r="S70" i="67"/>
  <c r="R70" i="67"/>
  <c r="Q70" i="67"/>
  <c r="P70" i="67"/>
  <c r="O70" i="67"/>
  <c r="N70" i="67"/>
  <c r="M70" i="67"/>
  <c r="L70" i="67"/>
  <c r="AI69" i="67"/>
  <c r="AH69" i="67"/>
  <c r="AI68" i="67"/>
  <c r="AH68" i="67"/>
  <c r="AI67" i="67"/>
  <c r="AH67" i="67"/>
  <c r="AF66" i="67"/>
  <c r="AE66" i="67"/>
  <c r="AD66" i="67"/>
  <c r="AC66" i="67"/>
  <c r="AB66" i="67"/>
  <c r="AA66" i="67"/>
  <c r="Y66" i="67"/>
  <c r="X66" i="67"/>
  <c r="W66" i="67"/>
  <c r="V66" i="67"/>
  <c r="U66" i="67"/>
  <c r="T66" i="67"/>
  <c r="R66" i="67"/>
  <c r="Q66" i="67"/>
  <c r="P66" i="67"/>
  <c r="O66" i="67"/>
  <c r="N66" i="67"/>
  <c r="M66" i="67"/>
  <c r="L66" i="67"/>
  <c r="K66" i="67"/>
  <c r="J66" i="67"/>
  <c r="I66" i="67"/>
  <c r="H66" i="67"/>
  <c r="G66" i="67"/>
  <c r="F66" i="67"/>
  <c r="E66" i="67"/>
  <c r="D66" i="67"/>
  <c r="AI65" i="67"/>
  <c r="AH65" i="67"/>
  <c r="AI64" i="67"/>
  <c r="AH64" i="67"/>
  <c r="AI63" i="67"/>
  <c r="AH63" i="67"/>
  <c r="AI62" i="67"/>
  <c r="AH62" i="67"/>
  <c r="AI61" i="67"/>
  <c r="AH61" i="67"/>
  <c r="AI60" i="67"/>
  <c r="AH60" i="67"/>
  <c r="AI59" i="67"/>
  <c r="AH59" i="67"/>
  <c r="AI58" i="67"/>
  <c r="AH58" i="67"/>
  <c r="AI57" i="67"/>
  <c r="AH57" i="67"/>
  <c r="AI56" i="67"/>
  <c r="AH56" i="67"/>
  <c r="AI55" i="67"/>
  <c r="AH55" i="67"/>
  <c r="AI54" i="67"/>
  <c r="AH54" i="67"/>
  <c r="AI53" i="67"/>
  <c r="AH53" i="67"/>
  <c r="AG52" i="67"/>
  <c r="AF52" i="67"/>
  <c r="AE52" i="67"/>
  <c r="AD52" i="67"/>
  <c r="AC52" i="67"/>
  <c r="AB52" i="67"/>
  <c r="AA52" i="67"/>
  <c r="Y52" i="67"/>
  <c r="X52" i="67"/>
  <c r="W52" i="67"/>
  <c r="V52" i="67"/>
  <c r="U52" i="67"/>
  <c r="T52" i="67"/>
  <c r="R52" i="67"/>
  <c r="Q52" i="67"/>
  <c r="P52" i="67"/>
  <c r="O52" i="67"/>
  <c r="N52" i="67"/>
  <c r="M52" i="67"/>
  <c r="L52" i="67"/>
  <c r="K52" i="67"/>
  <c r="J52" i="67"/>
  <c r="I52" i="67"/>
  <c r="H52" i="67"/>
  <c r="G52" i="67"/>
  <c r="F52" i="67"/>
  <c r="E52" i="67"/>
  <c r="D52" i="67"/>
  <c r="C52" i="67"/>
  <c r="AI51" i="67"/>
  <c r="AH51" i="67"/>
  <c r="AI50" i="67"/>
  <c r="AH50" i="67"/>
  <c r="AI49" i="67"/>
  <c r="AH49" i="67"/>
  <c r="AG48" i="67"/>
  <c r="AF48" i="67"/>
  <c r="AE48" i="67"/>
  <c r="AD48" i="67"/>
  <c r="AC48" i="67"/>
  <c r="AB48" i="67"/>
  <c r="AA48" i="67"/>
  <c r="Y48" i="67"/>
  <c r="X48" i="67"/>
  <c r="W48" i="67"/>
  <c r="V48" i="67"/>
  <c r="U48" i="67"/>
  <c r="T48" i="67"/>
  <c r="S48" i="67"/>
  <c r="R48" i="67"/>
  <c r="Q48" i="67"/>
  <c r="P48" i="67"/>
  <c r="O48" i="67"/>
  <c r="N48" i="67"/>
  <c r="M48" i="67"/>
  <c r="L48" i="67"/>
  <c r="K48" i="67"/>
  <c r="J48" i="67"/>
  <c r="I48" i="67"/>
  <c r="H48" i="67"/>
  <c r="G48" i="67"/>
  <c r="F48" i="67"/>
  <c r="E48" i="67"/>
  <c r="C48" i="67"/>
  <c r="AI47" i="67"/>
  <c r="AH47" i="67"/>
  <c r="AI46" i="67"/>
  <c r="AH46" i="67"/>
  <c r="AI45" i="67"/>
  <c r="AH45" i="67"/>
  <c r="AI44" i="67"/>
  <c r="AH44" i="67"/>
  <c r="AI43" i="67"/>
  <c r="AH43" i="67"/>
  <c r="AI42" i="67"/>
  <c r="AH42" i="67"/>
  <c r="AI41" i="67"/>
  <c r="AH41" i="67"/>
  <c r="AI40" i="67"/>
  <c r="AH40" i="67"/>
  <c r="AI39" i="67"/>
  <c r="AH39" i="67"/>
  <c r="AI38" i="67"/>
  <c r="AH38" i="67"/>
  <c r="AI37" i="67"/>
  <c r="AH37" i="67"/>
  <c r="AI36" i="67"/>
  <c r="AH36" i="67"/>
  <c r="AI35" i="67"/>
  <c r="AH35" i="67"/>
  <c r="AI34" i="67"/>
  <c r="AH34" i="67"/>
  <c r="AI33" i="67"/>
  <c r="AH33" i="67"/>
  <c r="AI32" i="67"/>
  <c r="AH32" i="67"/>
  <c r="AI31" i="67"/>
  <c r="AH31" i="67"/>
  <c r="AI30" i="67"/>
  <c r="AH30" i="67"/>
  <c r="AI29" i="67"/>
  <c r="AH29" i="67"/>
  <c r="AI28" i="67"/>
  <c r="AH28" i="67"/>
  <c r="AI27" i="67"/>
  <c r="AH27" i="67"/>
  <c r="AI26" i="67"/>
  <c r="AH26" i="67"/>
  <c r="AI25" i="67"/>
  <c r="AH25" i="67"/>
  <c r="AI24" i="67"/>
  <c r="AH24" i="67"/>
  <c r="AI23" i="67"/>
  <c r="AH23" i="67"/>
  <c r="AI22" i="67"/>
  <c r="AH22" i="67"/>
  <c r="AI21" i="67"/>
  <c r="AH21" i="67"/>
  <c r="AI20" i="67"/>
  <c r="AH20" i="67"/>
  <c r="AI19" i="67"/>
  <c r="AH19" i="67"/>
  <c r="AI18" i="67"/>
  <c r="AH18" i="67"/>
  <c r="AI17" i="67"/>
  <c r="AH17" i="67"/>
  <c r="AI16" i="67"/>
  <c r="AH16" i="67"/>
  <c r="AI15" i="67"/>
  <c r="AH15" i="67"/>
  <c r="AI14" i="67"/>
  <c r="AH14" i="67"/>
  <c r="AI13" i="67"/>
  <c r="AH13" i="67"/>
  <c r="AI12" i="67"/>
  <c r="AH12" i="67"/>
  <c r="AI11" i="67"/>
  <c r="AH11" i="67"/>
  <c r="Y5" i="67"/>
  <c r="P5" i="67"/>
  <c r="AG4" i="67"/>
  <c r="K4" i="67"/>
  <c r="E4" i="67"/>
  <c r="H4" i="67" s="1"/>
  <c r="B4" i="67"/>
  <c r="S243" i="67" s="1"/>
  <c r="AG2" i="67"/>
  <c r="AF111" i="66"/>
  <c r="AE111" i="66"/>
  <c r="Y52" i="66"/>
  <c r="Y66" i="66"/>
  <c r="Y70" i="66"/>
  <c r="Y82" i="66"/>
  <c r="I108" i="69" l="1"/>
  <c r="J226" i="69"/>
  <c r="K231" i="69"/>
  <c r="I267" i="69"/>
  <c r="I108" i="68"/>
  <c r="J226" i="68"/>
  <c r="H267" i="68"/>
  <c r="J231" i="68"/>
  <c r="B232" i="67"/>
  <c r="AG6" i="67"/>
  <c r="D232" i="67"/>
  <c r="AF87" i="67"/>
  <c r="AF89" i="67" s="1"/>
  <c r="AF90" i="67" s="1"/>
  <c r="AC5" i="67"/>
  <c r="AD87" i="67"/>
  <c r="AD89" i="67" s="1"/>
  <c r="AD90" i="67" s="1"/>
  <c r="AB5" i="67"/>
  <c r="AC87" i="67"/>
  <c r="AC89" i="67" s="1"/>
  <c r="AC90" i="67" s="1"/>
  <c r="AD5" i="67"/>
  <c r="AE87" i="67"/>
  <c r="AE89" i="67" s="1"/>
  <c r="AW246" i="67" s="1"/>
  <c r="AB87" i="67"/>
  <c r="AB89" i="67" s="1"/>
  <c r="AT246" i="67" s="1"/>
  <c r="AA87" i="67"/>
  <c r="AA89" i="67" s="1"/>
  <c r="AA90" i="67" s="1"/>
  <c r="X5" i="67"/>
  <c r="Y87" i="67"/>
  <c r="Y89" i="67" s="1"/>
  <c r="AQ246" i="67" s="1"/>
  <c r="U5" i="67"/>
  <c r="V5" i="67"/>
  <c r="V87" i="67"/>
  <c r="V89" i="67" s="1"/>
  <c r="V90" i="67" s="1"/>
  <c r="W87" i="67"/>
  <c r="W89" i="67" s="1"/>
  <c r="AO246" i="67" s="1"/>
  <c r="U87" i="67"/>
  <c r="U89" i="67" s="1"/>
  <c r="U90" i="67" s="1"/>
  <c r="T5" i="67"/>
  <c r="T87" i="67"/>
  <c r="T89" i="67" s="1"/>
  <c r="T90" i="67" s="1"/>
  <c r="R87" i="67"/>
  <c r="R89" i="67" s="1"/>
  <c r="R7" i="67" s="1"/>
  <c r="S87" i="67"/>
  <c r="S89" i="67" s="1"/>
  <c r="AK246" i="67" s="1"/>
  <c r="Q5" i="67"/>
  <c r="Q87" i="67"/>
  <c r="Q89" i="67" s="1"/>
  <c r="Q7" i="67" s="1"/>
  <c r="N5" i="67"/>
  <c r="O87" i="67"/>
  <c r="O89" i="67" s="1"/>
  <c r="AG246" i="67" s="1"/>
  <c r="M5" i="67"/>
  <c r="AH66" i="67"/>
  <c r="N87" i="67"/>
  <c r="N89" i="67" s="1"/>
  <c r="N7" i="67" s="1"/>
  <c r="M87" i="67"/>
  <c r="M89" i="67" s="1"/>
  <c r="M90" i="67" s="1"/>
  <c r="L5" i="67"/>
  <c r="L87" i="67"/>
  <c r="L89" i="67" s="1"/>
  <c r="L90" i="67" s="1"/>
  <c r="I5" i="67"/>
  <c r="H5" i="67"/>
  <c r="J87" i="67"/>
  <c r="J89" i="67" s="1"/>
  <c r="J7" i="67" s="1"/>
  <c r="K87" i="67"/>
  <c r="K89" i="67" s="1"/>
  <c r="K7" i="67" s="1"/>
  <c r="I87" i="67"/>
  <c r="I89" i="67" s="1"/>
  <c r="I7" i="67" s="1"/>
  <c r="AI52" i="67"/>
  <c r="G98" i="67"/>
  <c r="AI70" i="67"/>
  <c r="G87" i="67"/>
  <c r="G89" i="67" s="1"/>
  <c r="Y246" i="67" s="1"/>
  <c r="E5" i="67"/>
  <c r="F87" i="67"/>
  <c r="F89" i="67" s="1"/>
  <c r="X246" i="67" s="1"/>
  <c r="D5" i="67"/>
  <c r="E87" i="67"/>
  <c r="E89" i="67" s="1"/>
  <c r="E7" i="67" s="1"/>
  <c r="AH82" i="67"/>
  <c r="D87" i="67"/>
  <c r="D89" i="67" s="1"/>
  <c r="D90" i="67" s="1"/>
  <c r="C87" i="67"/>
  <c r="C89" i="67" s="1"/>
  <c r="C7" i="67" s="1"/>
  <c r="AF5" i="67"/>
  <c r="B87" i="67"/>
  <c r="B89" i="67" s="1"/>
  <c r="B90" i="67" s="1"/>
  <c r="AI82" i="67"/>
  <c r="AA7" i="67"/>
  <c r="AC7" i="67"/>
  <c r="AG89" i="67"/>
  <c r="W7" i="67"/>
  <c r="F226" i="67"/>
  <c r="E108" i="67"/>
  <c r="AJ246" i="67"/>
  <c r="R90" i="67"/>
  <c r="O7" i="67"/>
  <c r="F7" i="67"/>
  <c r="D7" i="67"/>
  <c r="V246" i="67"/>
  <c r="AR246" i="67"/>
  <c r="S90" i="67"/>
  <c r="Y7" i="67"/>
  <c r="AG87" i="67"/>
  <c r="H87" i="67"/>
  <c r="H89" i="67" s="1"/>
  <c r="X87" i="67"/>
  <c r="X89" i="67" s="1"/>
  <c r="K98" i="67"/>
  <c r="AA98" i="67"/>
  <c r="AH70" i="67"/>
  <c r="D243" i="67"/>
  <c r="B5" i="67"/>
  <c r="C5" i="67"/>
  <c r="K5" i="67"/>
  <c r="S5" i="67"/>
  <c r="AA5" i="67"/>
  <c r="AI66" i="67"/>
  <c r="H98" i="67"/>
  <c r="P98" i="67"/>
  <c r="X98" i="67"/>
  <c r="AF98" i="67"/>
  <c r="F231" i="67"/>
  <c r="AH48" i="67"/>
  <c r="R5" i="67"/>
  <c r="AH52" i="67"/>
  <c r="P87" i="67"/>
  <c r="P89" i="67" s="1"/>
  <c r="C98" i="67"/>
  <c r="E229" i="67"/>
  <c r="F229" i="67" s="1"/>
  <c r="G229" i="67" s="1"/>
  <c r="H229" i="67" s="1"/>
  <c r="I229" i="67" s="1"/>
  <c r="AE5" i="67"/>
  <c r="AI48" i="67"/>
  <c r="N111" i="66"/>
  <c r="M111" i="66"/>
  <c r="AF271" i="66"/>
  <c r="AE271" i="66"/>
  <c r="AD271" i="66"/>
  <c r="AC271" i="66"/>
  <c r="AB271" i="66"/>
  <c r="AA271" i="66"/>
  <c r="Z271" i="66"/>
  <c r="Y271" i="66"/>
  <c r="X271" i="66"/>
  <c r="W271" i="66"/>
  <c r="V271" i="66"/>
  <c r="U271" i="66"/>
  <c r="T271" i="66"/>
  <c r="S271" i="66"/>
  <c r="R271" i="66"/>
  <c r="Q271" i="66"/>
  <c r="P271" i="66"/>
  <c r="O271" i="66"/>
  <c r="N271" i="66"/>
  <c r="M271" i="66"/>
  <c r="L271" i="66"/>
  <c r="K271" i="66"/>
  <c r="J271" i="66"/>
  <c r="I271" i="66"/>
  <c r="H271" i="66"/>
  <c r="G271" i="66"/>
  <c r="F271" i="66"/>
  <c r="E271" i="66"/>
  <c r="D271" i="66"/>
  <c r="C271" i="66"/>
  <c r="B271" i="66"/>
  <c r="A271" i="66"/>
  <c r="AF270" i="66"/>
  <c r="AE270" i="66"/>
  <c r="AD270" i="66"/>
  <c r="AC270" i="66"/>
  <c r="AB270" i="66"/>
  <c r="AA270" i="66"/>
  <c r="Z270" i="66"/>
  <c r="Y270" i="66"/>
  <c r="X270" i="66"/>
  <c r="W270" i="66"/>
  <c r="V270" i="66"/>
  <c r="U270" i="66"/>
  <c r="T270" i="66"/>
  <c r="S270" i="66"/>
  <c r="R270" i="66"/>
  <c r="Q270" i="66"/>
  <c r="P270" i="66"/>
  <c r="O270" i="66"/>
  <c r="N270" i="66"/>
  <c r="M270" i="66"/>
  <c r="L270" i="66"/>
  <c r="K270" i="66"/>
  <c r="J270" i="66"/>
  <c r="I270" i="66"/>
  <c r="H270" i="66"/>
  <c r="G270" i="66"/>
  <c r="F270" i="66"/>
  <c r="E270" i="66"/>
  <c r="D270" i="66"/>
  <c r="C270" i="66"/>
  <c r="B270" i="66"/>
  <c r="A270" i="66"/>
  <c r="AF269" i="66"/>
  <c r="AE269" i="66"/>
  <c r="AD269" i="66"/>
  <c r="AC269" i="66"/>
  <c r="AB269" i="66"/>
  <c r="AA269" i="66"/>
  <c r="Z269" i="66"/>
  <c r="Y269" i="66"/>
  <c r="X269" i="66"/>
  <c r="W269" i="66"/>
  <c r="V269" i="66"/>
  <c r="U269" i="66"/>
  <c r="T269" i="66"/>
  <c r="S269" i="66"/>
  <c r="R269" i="66"/>
  <c r="Q269" i="66"/>
  <c r="P269" i="66"/>
  <c r="O269" i="66"/>
  <c r="N269" i="66"/>
  <c r="M269" i="66"/>
  <c r="L269" i="66"/>
  <c r="K269" i="66"/>
  <c r="J269" i="66"/>
  <c r="I269" i="66"/>
  <c r="H269" i="66"/>
  <c r="G269" i="66"/>
  <c r="F269" i="66"/>
  <c r="E269" i="66"/>
  <c r="D269" i="66"/>
  <c r="C269" i="66"/>
  <c r="B269" i="66"/>
  <c r="A269" i="66"/>
  <c r="AF268" i="66"/>
  <c r="AE268" i="66"/>
  <c r="AD268" i="66"/>
  <c r="AC268" i="66"/>
  <c r="AB268" i="66"/>
  <c r="AA268" i="66"/>
  <c r="Z268" i="66"/>
  <c r="Y268" i="66"/>
  <c r="X268" i="66"/>
  <c r="W268" i="66"/>
  <c r="V268" i="66"/>
  <c r="U268" i="66"/>
  <c r="T268" i="66"/>
  <c r="S268" i="66"/>
  <c r="R268" i="66"/>
  <c r="Q268" i="66"/>
  <c r="P268" i="66"/>
  <c r="O268" i="66"/>
  <c r="N268" i="66"/>
  <c r="M268" i="66"/>
  <c r="L268" i="66"/>
  <c r="K268" i="66"/>
  <c r="J268" i="66"/>
  <c r="I268" i="66"/>
  <c r="H268" i="66"/>
  <c r="G268" i="66"/>
  <c r="F268" i="66"/>
  <c r="E268" i="66"/>
  <c r="D268" i="66"/>
  <c r="C268" i="66"/>
  <c r="B268" i="66"/>
  <c r="A268" i="66"/>
  <c r="AE267" i="66"/>
  <c r="AD267" i="66"/>
  <c r="AC267" i="66"/>
  <c r="AB267" i="66"/>
  <c r="AA267" i="66"/>
  <c r="Z267" i="66"/>
  <c r="Y267" i="66"/>
  <c r="X267" i="66"/>
  <c r="W267" i="66"/>
  <c r="V267" i="66"/>
  <c r="U267" i="66"/>
  <c r="T267" i="66"/>
  <c r="S267" i="66"/>
  <c r="R267" i="66"/>
  <c r="Q267" i="66"/>
  <c r="P267" i="66"/>
  <c r="D267" i="66"/>
  <c r="C267" i="66"/>
  <c r="B267" i="66"/>
  <c r="S242" i="66"/>
  <c r="AG232" i="66"/>
  <c r="AG65" i="66" s="1"/>
  <c r="AG66" i="66" s="1"/>
  <c r="AG3" i="66" s="1"/>
  <c r="AG6" i="66" s="1"/>
  <c r="AF232" i="66"/>
  <c r="AE232" i="66"/>
  <c r="AD232" i="66"/>
  <c r="AC232" i="66"/>
  <c r="AB232" i="66"/>
  <c r="AA232" i="66"/>
  <c r="Z232" i="66"/>
  <c r="Y232" i="66"/>
  <c r="X232" i="66"/>
  <c r="W232" i="66"/>
  <c r="V232" i="66"/>
  <c r="U232" i="66"/>
  <c r="T232" i="66"/>
  <c r="S232" i="66"/>
  <c r="R232" i="66"/>
  <c r="Q232" i="66"/>
  <c r="C232" i="66"/>
  <c r="E231" i="66"/>
  <c r="F231" i="66" s="1"/>
  <c r="D231" i="66"/>
  <c r="B231" i="66"/>
  <c r="AF267" i="66" s="1"/>
  <c r="E230" i="66"/>
  <c r="F230" i="66" s="1"/>
  <c r="G230" i="66" s="1"/>
  <c r="H230" i="66" s="1"/>
  <c r="I230" i="66" s="1"/>
  <c r="J230" i="66" s="1"/>
  <c r="K230" i="66" s="1"/>
  <c r="L230" i="66" s="1"/>
  <c r="M230" i="66" s="1"/>
  <c r="N230" i="66" s="1"/>
  <c r="O230" i="66" s="1"/>
  <c r="P230" i="66" s="1"/>
  <c r="D230" i="66"/>
  <c r="B230" i="66"/>
  <c r="D229" i="66"/>
  <c r="E229" i="66" s="1"/>
  <c r="F229" i="66" s="1"/>
  <c r="G229" i="66" s="1"/>
  <c r="H229" i="66" s="1"/>
  <c r="I229" i="66" s="1"/>
  <c r="B229" i="66"/>
  <c r="G228" i="66"/>
  <c r="H228" i="66" s="1"/>
  <c r="F228" i="66"/>
  <c r="E228" i="66"/>
  <c r="D228" i="66"/>
  <c r="B228" i="66"/>
  <c r="E227" i="66"/>
  <c r="F227" i="66" s="1"/>
  <c r="G227" i="66" s="1"/>
  <c r="H227" i="66" s="1"/>
  <c r="I227" i="66" s="1"/>
  <c r="J227" i="66" s="1"/>
  <c r="K227" i="66" s="1"/>
  <c r="L227" i="66" s="1"/>
  <c r="M227" i="66" s="1"/>
  <c r="N227" i="66" s="1"/>
  <c r="O227" i="66" s="1"/>
  <c r="P227" i="66" s="1"/>
  <c r="D227" i="66"/>
  <c r="B227" i="66"/>
  <c r="E226" i="66"/>
  <c r="F226" i="66" s="1"/>
  <c r="D226" i="66"/>
  <c r="D232" i="66" s="1"/>
  <c r="B226" i="66"/>
  <c r="B108" i="66" s="1"/>
  <c r="AG224" i="66"/>
  <c r="AF224" i="66"/>
  <c r="AE224" i="66"/>
  <c r="AD224" i="66"/>
  <c r="AC224" i="66"/>
  <c r="AB224" i="66"/>
  <c r="AA224" i="66"/>
  <c r="Z224" i="66"/>
  <c r="Y224" i="66"/>
  <c r="X224" i="66"/>
  <c r="W224" i="66"/>
  <c r="V224" i="66"/>
  <c r="U224" i="66"/>
  <c r="T224" i="66"/>
  <c r="S224" i="66"/>
  <c r="R224" i="66"/>
  <c r="Q224" i="66"/>
  <c r="P224" i="66"/>
  <c r="O224" i="66"/>
  <c r="N224" i="66"/>
  <c r="M224" i="66"/>
  <c r="L224" i="66"/>
  <c r="K224" i="66"/>
  <c r="J224" i="66"/>
  <c r="I224" i="66"/>
  <c r="H224" i="66"/>
  <c r="G224" i="66"/>
  <c r="F224" i="66"/>
  <c r="E224" i="66"/>
  <c r="D224" i="66"/>
  <c r="C224" i="66"/>
  <c r="B224" i="66"/>
  <c r="AI117" i="66"/>
  <c r="AH117" i="66"/>
  <c r="AI116" i="66"/>
  <c r="AH116" i="66"/>
  <c r="AI115" i="66"/>
  <c r="AH115" i="66"/>
  <c r="AI114" i="66"/>
  <c r="AH114" i="66"/>
  <c r="AI113" i="66"/>
  <c r="AH113" i="66"/>
  <c r="AI112" i="66"/>
  <c r="AH112" i="66"/>
  <c r="AI111" i="66"/>
  <c r="AH111" i="66"/>
  <c r="AI110" i="66"/>
  <c r="AH110" i="66"/>
  <c r="AI109" i="66"/>
  <c r="AH109" i="66"/>
  <c r="AF108" i="66"/>
  <c r="AE108" i="66"/>
  <c r="AD108" i="66"/>
  <c r="AC108" i="66"/>
  <c r="AB108" i="66"/>
  <c r="AA108" i="66"/>
  <c r="Z108" i="66"/>
  <c r="Y108" i="66"/>
  <c r="X108" i="66"/>
  <c r="W108" i="66"/>
  <c r="V108" i="66"/>
  <c r="U108" i="66"/>
  <c r="T108" i="66"/>
  <c r="S108" i="66"/>
  <c r="R108" i="66"/>
  <c r="Q108" i="66"/>
  <c r="D108" i="66"/>
  <c r="C108" i="66"/>
  <c r="AI107" i="66"/>
  <c r="AH107" i="66"/>
  <c r="AI106" i="66"/>
  <c r="AH106" i="66"/>
  <c r="AI105" i="66"/>
  <c r="AH105" i="66"/>
  <c r="AI104" i="66"/>
  <c r="AH104" i="66"/>
  <c r="AI103" i="66"/>
  <c r="AH103" i="66"/>
  <c r="AI102" i="66"/>
  <c r="AH102" i="66"/>
  <c r="AI101" i="66"/>
  <c r="AH101" i="66"/>
  <c r="AI100" i="66"/>
  <c r="AH100" i="66"/>
  <c r="AI99" i="66"/>
  <c r="AH99" i="66"/>
  <c r="AI97" i="66"/>
  <c r="AH97" i="66"/>
  <c r="AI96" i="66"/>
  <c r="AH96" i="66"/>
  <c r="AI95" i="66"/>
  <c r="AH95" i="66"/>
  <c r="AI94" i="66"/>
  <c r="AH94" i="66"/>
  <c r="AI93" i="66"/>
  <c r="AH93" i="66"/>
  <c r="AI92" i="66"/>
  <c r="AH92" i="66"/>
  <c r="AI91" i="66"/>
  <c r="AH91" i="66"/>
  <c r="AI88" i="66"/>
  <c r="AH88" i="66"/>
  <c r="AI86" i="66"/>
  <c r="AH86" i="66"/>
  <c r="AG86" i="66"/>
  <c r="AI85" i="66"/>
  <c r="AH85" i="66"/>
  <c r="AI84" i="66"/>
  <c r="AH84" i="66"/>
  <c r="AI83" i="66"/>
  <c r="AH83" i="66"/>
  <c r="AN82" i="66"/>
  <c r="AG82" i="66"/>
  <c r="AG89" i="66" s="1"/>
  <c r="AF82" i="66"/>
  <c r="AE5" i="66" s="1"/>
  <c r="AE82" i="66"/>
  <c r="AD5" i="66" s="1"/>
  <c r="AD82" i="66"/>
  <c r="AD98" i="66" s="1"/>
  <c r="AC82" i="66"/>
  <c r="AC98" i="66" s="1"/>
  <c r="AB82" i="66"/>
  <c r="AB98" i="66" s="1"/>
  <c r="AA82" i="66"/>
  <c r="AA98" i="66" s="1"/>
  <c r="Z82" i="66"/>
  <c r="Z98" i="66" s="1"/>
  <c r="X5" i="66"/>
  <c r="X82" i="66"/>
  <c r="W5" i="66" s="1"/>
  <c r="W82" i="66"/>
  <c r="V5" i="66" s="1"/>
  <c r="V82" i="66"/>
  <c r="V98" i="66" s="1"/>
  <c r="U82" i="66"/>
  <c r="T5" i="66" s="1"/>
  <c r="T82" i="66"/>
  <c r="T98" i="66" s="1"/>
  <c r="S82" i="66"/>
  <c r="S98" i="66" s="1"/>
  <c r="R82" i="66"/>
  <c r="R98" i="66" s="1"/>
  <c r="Q82" i="66"/>
  <c r="P5" i="66" s="1"/>
  <c r="P82" i="66"/>
  <c r="O5" i="66" s="1"/>
  <c r="O82" i="66"/>
  <c r="O98" i="66" s="1"/>
  <c r="N82" i="66"/>
  <c r="N98" i="66" s="1"/>
  <c r="M82" i="66"/>
  <c r="L5" i="66" s="1"/>
  <c r="L82" i="66"/>
  <c r="L98" i="66" s="1"/>
  <c r="K82" i="66"/>
  <c r="K98" i="66" s="1"/>
  <c r="J82" i="66"/>
  <c r="J98" i="66" s="1"/>
  <c r="I82" i="66"/>
  <c r="H5" i="66" s="1"/>
  <c r="H82" i="66"/>
  <c r="G5" i="66" s="1"/>
  <c r="G82" i="66"/>
  <c r="G98" i="66" s="1"/>
  <c r="F82" i="66"/>
  <c r="F98" i="66" s="1"/>
  <c r="E82" i="66"/>
  <c r="E98" i="66" s="1"/>
  <c r="D82" i="66"/>
  <c r="D98" i="66" s="1"/>
  <c r="C82" i="66"/>
  <c r="C98" i="66" s="1"/>
  <c r="B82" i="66"/>
  <c r="AF5" i="66" s="1"/>
  <c r="AN81" i="66"/>
  <c r="AI81" i="66"/>
  <c r="AH81" i="66"/>
  <c r="AN80" i="66"/>
  <c r="AI80" i="66"/>
  <c r="AH80" i="66"/>
  <c r="AN79" i="66"/>
  <c r="AI79" i="66"/>
  <c r="AH79" i="66"/>
  <c r="AI78" i="66"/>
  <c r="AH78" i="66"/>
  <c r="AI77" i="66"/>
  <c r="AH77" i="66"/>
  <c r="AI76" i="66"/>
  <c r="AH76" i="66"/>
  <c r="AI75" i="66"/>
  <c r="AH75" i="66"/>
  <c r="AI74" i="66"/>
  <c r="AH74" i="66"/>
  <c r="AI73" i="66"/>
  <c r="AH73" i="66"/>
  <c r="AI72" i="66"/>
  <c r="AH72" i="66"/>
  <c r="AI71" i="66"/>
  <c r="AH71" i="66"/>
  <c r="AG70" i="66"/>
  <c r="AF70" i="66"/>
  <c r="AE70" i="66"/>
  <c r="AD70" i="66"/>
  <c r="AC70" i="66"/>
  <c r="AB70" i="66"/>
  <c r="AA70" i="66"/>
  <c r="Z70" i="66"/>
  <c r="X70" i="66"/>
  <c r="W70" i="66"/>
  <c r="V70" i="66"/>
  <c r="U70" i="66"/>
  <c r="T70" i="66"/>
  <c r="S70" i="66"/>
  <c r="R70" i="66"/>
  <c r="Q70" i="66"/>
  <c r="P70" i="66"/>
  <c r="O70" i="66"/>
  <c r="N70" i="66"/>
  <c r="M70" i="66"/>
  <c r="L70" i="66"/>
  <c r="B70" i="66"/>
  <c r="AI69" i="66"/>
  <c r="AH69" i="66"/>
  <c r="AI68" i="66"/>
  <c r="AH68" i="66"/>
  <c r="AI67" i="66"/>
  <c r="AH67" i="66"/>
  <c r="AF66" i="66"/>
  <c r="AE66" i="66"/>
  <c r="AD66" i="66"/>
  <c r="AC66" i="66"/>
  <c r="AB66" i="66"/>
  <c r="AA66" i="66"/>
  <c r="Z66" i="66"/>
  <c r="X66" i="66"/>
  <c r="W66" i="66"/>
  <c r="V66" i="66"/>
  <c r="U66" i="66"/>
  <c r="T66" i="66"/>
  <c r="S66" i="66"/>
  <c r="R66" i="66"/>
  <c r="Q66" i="66"/>
  <c r="P66" i="66"/>
  <c r="O66" i="66"/>
  <c r="N66" i="66"/>
  <c r="M66" i="66"/>
  <c r="L66" i="66"/>
  <c r="K66" i="66"/>
  <c r="J66" i="66"/>
  <c r="I66" i="66"/>
  <c r="H66" i="66"/>
  <c r="G66" i="66"/>
  <c r="F66" i="66"/>
  <c r="E66" i="66"/>
  <c r="D66" i="66"/>
  <c r="C66" i="66"/>
  <c r="B66" i="66"/>
  <c r="AI65" i="66"/>
  <c r="AH65" i="66"/>
  <c r="AI64" i="66"/>
  <c r="AH64" i="66"/>
  <c r="AI63" i="66"/>
  <c r="AH63" i="66"/>
  <c r="AI62" i="66"/>
  <c r="AH62" i="66"/>
  <c r="AI61" i="66"/>
  <c r="AH61" i="66"/>
  <c r="AI60" i="66"/>
  <c r="AH60" i="66"/>
  <c r="AI59" i="66"/>
  <c r="AH59" i="66"/>
  <c r="AI58" i="66"/>
  <c r="AH58" i="66"/>
  <c r="AI57" i="66"/>
  <c r="AH57" i="66"/>
  <c r="AI56" i="66"/>
  <c r="AH56" i="66"/>
  <c r="AI55" i="66"/>
  <c r="AH55" i="66"/>
  <c r="AI54" i="66"/>
  <c r="AH54" i="66"/>
  <c r="AI53" i="66"/>
  <c r="AH53" i="66"/>
  <c r="AG52" i="66"/>
  <c r="AF52" i="66"/>
  <c r="AE52" i="66"/>
  <c r="AD52" i="66"/>
  <c r="AC52" i="66"/>
  <c r="AB52" i="66"/>
  <c r="AA52" i="66"/>
  <c r="Z52" i="66"/>
  <c r="X52" i="66"/>
  <c r="W52" i="66"/>
  <c r="V52" i="66"/>
  <c r="U52" i="66"/>
  <c r="T52" i="66"/>
  <c r="S52" i="66"/>
  <c r="R52" i="66"/>
  <c r="Q52" i="66"/>
  <c r="P52" i="66"/>
  <c r="O52" i="66"/>
  <c r="N52" i="66"/>
  <c r="M52" i="66"/>
  <c r="L52" i="66"/>
  <c r="K52" i="66"/>
  <c r="J52" i="66"/>
  <c r="I52" i="66"/>
  <c r="H52" i="66"/>
  <c r="G52" i="66"/>
  <c r="F52" i="66"/>
  <c r="E52" i="66"/>
  <c r="D52" i="66"/>
  <c r="C52" i="66"/>
  <c r="B52" i="66"/>
  <c r="AI51" i="66"/>
  <c r="AH51" i="66"/>
  <c r="AI50" i="66"/>
  <c r="AH50" i="66"/>
  <c r="AI49" i="66"/>
  <c r="AH49" i="66"/>
  <c r="AG48" i="66"/>
  <c r="AG87" i="66" s="1"/>
  <c r="AF48" i="66"/>
  <c r="AE48" i="66"/>
  <c r="AD48" i="66"/>
  <c r="AC48" i="66"/>
  <c r="AB48" i="66"/>
  <c r="AA48" i="66"/>
  <c r="Z48" i="66"/>
  <c r="Y48" i="66"/>
  <c r="X48" i="66"/>
  <c r="W48" i="66"/>
  <c r="V48" i="66"/>
  <c r="U48" i="66"/>
  <c r="T48" i="66"/>
  <c r="S48" i="66"/>
  <c r="R48" i="66"/>
  <c r="Q48" i="66"/>
  <c r="P48" i="66"/>
  <c r="O48" i="66"/>
  <c r="N48" i="66"/>
  <c r="M48" i="66"/>
  <c r="L48" i="66"/>
  <c r="K48" i="66"/>
  <c r="J48" i="66"/>
  <c r="I48" i="66"/>
  <c r="H48" i="66"/>
  <c r="G48" i="66"/>
  <c r="F48" i="66"/>
  <c r="E48" i="66"/>
  <c r="D48" i="66"/>
  <c r="C48" i="66"/>
  <c r="B48" i="66"/>
  <c r="AI47" i="66"/>
  <c r="AH47" i="66"/>
  <c r="AI46" i="66"/>
  <c r="AH46" i="66"/>
  <c r="AI45" i="66"/>
  <c r="AH45" i="66"/>
  <c r="AI44" i="66"/>
  <c r="AH44" i="66"/>
  <c r="AI43" i="66"/>
  <c r="AH43" i="66"/>
  <c r="AI42" i="66"/>
  <c r="AH42" i="66"/>
  <c r="AI41" i="66"/>
  <c r="AH41" i="66"/>
  <c r="AI40" i="66"/>
  <c r="AH40" i="66"/>
  <c r="AI39" i="66"/>
  <c r="AH39" i="66"/>
  <c r="AI38" i="66"/>
  <c r="AH38" i="66"/>
  <c r="AI37" i="66"/>
  <c r="AH37" i="66"/>
  <c r="AI36" i="66"/>
  <c r="AH36" i="66"/>
  <c r="AI35" i="66"/>
  <c r="AH35" i="66"/>
  <c r="AI34" i="66"/>
  <c r="AH34" i="66"/>
  <c r="AI33" i="66"/>
  <c r="AH33" i="66"/>
  <c r="AI32" i="66"/>
  <c r="AH32" i="66"/>
  <c r="AI31" i="66"/>
  <c r="AH31" i="66"/>
  <c r="AI30" i="66"/>
  <c r="AH30" i="66"/>
  <c r="AI29" i="66"/>
  <c r="AH29" i="66"/>
  <c r="AI28" i="66"/>
  <c r="AH28" i="66"/>
  <c r="AI27" i="66"/>
  <c r="AH27" i="66"/>
  <c r="AI26" i="66"/>
  <c r="AH26" i="66"/>
  <c r="AI25" i="66"/>
  <c r="AH25" i="66"/>
  <c r="AI24" i="66"/>
  <c r="AH24" i="66"/>
  <c r="AI23" i="66"/>
  <c r="AH23" i="66"/>
  <c r="AI22" i="66"/>
  <c r="AH22" i="66"/>
  <c r="AI21" i="66"/>
  <c r="AH21" i="66"/>
  <c r="AI20" i="66"/>
  <c r="AH20" i="66"/>
  <c r="AI19" i="66"/>
  <c r="AH19" i="66"/>
  <c r="AI18" i="66"/>
  <c r="AH18" i="66"/>
  <c r="AI17" i="66"/>
  <c r="AH17" i="66"/>
  <c r="AI16" i="66"/>
  <c r="AH16" i="66"/>
  <c r="AI15" i="66"/>
  <c r="AH15" i="66"/>
  <c r="AI14" i="66"/>
  <c r="AH14" i="66"/>
  <c r="AI13" i="66"/>
  <c r="AH13" i="66"/>
  <c r="AI12" i="66"/>
  <c r="AH12" i="66"/>
  <c r="AI11" i="66"/>
  <c r="AH11" i="66"/>
  <c r="AC5" i="66"/>
  <c r="AG4" i="66"/>
  <c r="K4" i="66"/>
  <c r="E4" i="66"/>
  <c r="H4" i="66" s="1"/>
  <c r="B4" i="66"/>
  <c r="S243" i="66" s="1"/>
  <c r="AG2" i="66"/>
  <c r="J267" i="69" l="1"/>
  <c r="L231" i="69"/>
  <c r="J108" i="69"/>
  <c r="K226" i="69"/>
  <c r="AB7" i="67"/>
  <c r="AB90" i="67"/>
  <c r="K231" i="68"/>
  <c r="I267" i="68"/>
  <c r="J108" i="68"/>
  <c r="K226" i="68"/>
  <c r="AX246" i="67"/>
  <c r="AU246" i="67"/>
  <c r="V7" i="67"/>
  <c r="L7" i="67"/>
  <c r="Q90" i="67"/>
  <c r="O90" i="67"/>
  <c r="AD246" i="67"/>
  <c r="AI246" i="67"/>
  <c r="U246" i="67"/>
  <c r="AS246" i="67"/>
  <c r="AE246" i="67"/>
  <c r="M7" i="67"/>
  <c r="W246" i="67"/>
  <c r="W90" i="67"/>
  <c r="AF7" i="67"/>
  <c r="Y90" i="67"/>
  <c r="AN246" i="67"/>
  <c r="AE7" i="67"/>
  <c r="AE90" i="67"/>
  <c r="AV246" i="67"/>
  <c r="AD7" i="67"/>
  <c r="AL246" i="67"/>
  <c r="U7" i="67"/>
  <c r="AM246" i="67"/>
  <c r="T7" i="67"/>
  <c r="S7" i="67"/>
  <c r="N90" i="67"/>
  <c r="AF246" i="67"/>
  <c r="J90" i="67"/>
  <c r="AC246" i="67"/>
  <c r="AB246" i="67"/>
  <c r="AA246" i="67"/>
  <c r="I90" i="67"/>
  <c r="K90" i="67"/>
  <c r="AI98" i="67"/>
  <c r="G7" i="67"/>
  <c r="G90" i="67"/>
  <c r="F90" i="67"/>
  <c r="E90" i="67"/>
  <c r="C90" i="67"/>
  <c r="AH98" i="67"/>
  <c r="H90" i="67"/>
  <c r="H7" i="67"/>
  <c r="Z246" i="67"/>
  <c r="P90" i="67"/>
  <c r="P7" i="67"/>
  <c r="AH246" i="67"/>
  <c r="B241" i="67"/>
  <c r="E232" i="67"/>
  <c r="X90" i="67"/>
  <c r="X7" i="67"/>
  <c r="AP246" i="67"/>
  <c r="E267" i="67"/>
  <c r="G231" i="67"/>
  <c r="C241" i="67"/>
  <c r="AI87" i="67"/>
  <c r="J229" i="67"/>
  <c r="K229" i="67" s="1"/>
  <c r="L229" i="67" s="1"/>
  <c r="M229" i="67" s="1"/>
  <c r="N229" i="67" s="1"/>
  <c r="O229" i="67" s="1"/>
  <c r="P229" i="67" s="1"/>
  <c r="F108" i="67"/>
  <c r="F232" i="67"/>
  <c r="G226" i="67"/>
  <c r="AI89" i="67"/>
  <c r="AH89" i="67"/>
  <c r="B7" i="67"/>
  <c r="T246" i="67"/>
  <c r="AH87" i="67"/>
  <c r="AF87" i="66"/>
  <c r="AF89" i="66" s="1"/>
  <c r="AE98" i="66"/>
  <c r="AE87" i="66"/>
  <c r="AE89" i="66" s="1"/>
  <c r="AB5" i="66"/>
  <c r="AD87" i="66"/>
  <c r="AD89" i="66" s="1"/>
  <c r="AA5" i="66"/>
  <c r="AB87" i="66"/>
  <c r="AB89" i="66" s="1"/>
  <c r="Z5" i="66"/>
  <c r="X87" i="66"/>
  <c r="X89" i="66" s="1"/>
  <c r="Y87" i="66"/>
  <c r="Y89" i="66" s="1"/>
  <c r="Y98" i="66"/>
  <c r="Z87" i="66"/>
  <c r="Z89" i="66" s="1"/>
  <c r="W98" i="66"/>
  <c r="W87" i="66"/>
  <c r="W89" i="66" s="1"/>
  <c r="U5" i="66"/>
  <c r="V87" i="66"/>
  <c r="V89" i="66" s="1"/>
  <c r="U98" i="66"/>
  <c r="S5" i="66"/>
  <c r="AI70" i="66"/>
  <c r="T87" i="66"/>
  <c r="T89" i="66" s="1"/>
  <c r="U87" i="66"/>
  <c r="U89" i="66" s="1"/>
  <c r="AC87" i="66"/>
  <c r="AC89" i="66" s="1"/>
  <c r="AU246" i="66" s="1"/>
  <c r="AA87" i="66"/>
  <c r="AA89" i="66" s="1"/>
  <c r="R5" i="66"/>
  <c r="S87" i="66"/>
  <c r="S89" i="66" s="1"/>
  <c r="R87" i="66"/>
  <c r="R89" i="66" s="1"/>
  <c r="Q98" i="66"/>
  <c r="P87" i="66"/>
  <c r="P89" i="66" s="1"/>
  <c r="P90" i="66" s="1"/>
  <c r="Q87" i="66"/>
  <c r="Q89" i="66" s="1"/>
  <c r="M5" i="66"/>
  <c r="N5" i="66"/>
  <c r="O87" i="66"/>
  <c r="O89" i="66" s="1"/>
  <c r="AH70" i="66"/>
  <c r="N87" i="66"/>
  <c r="N89" i="66" s="1"/>
  <c r="M98" i="66"/>
  <c r="M87" i="66"/>
  <c r="M89" i="66" s="1"/>
  <c r="M7" i="66" s="1"/>
  <c r="L87" i="66"/>
  <c r="L89" i="66" s="1"/>
  <c r="L7" i="66" s="1"/>
  <c r="K5" i="66"/>
  <c r="J5" i="66"/>
  <c r="K87" i="66"/>
  <c r="K89" i="66" s="1"/>
  <c r="K7" i="66" s="1"/>
  <c r="I98" i="66"/>
  <c r="I87" i="66"/>
  <c r="I89" i="66" s="1"/>
  <c r="I7" i="66" s="1"/>
  <c r="J87" i="66"/>
  <c r="J89" i="66" s="1"/>
  <c r="AB246" i="66" s="1"/>
  <c r="H87" i="66"/>
  <c r="H89" i="66" s="1"/>
  <c r="H7" i="66" s="1"/>
  <c r="F5" i="66"/>
  <c r="G87" i="66"/>
  <c r="G89" i="66" s="1"/>
  <c r="G90" i="66" s="1"/>
  <c r="E5" i="66"/>
  <c r="F87" i="66"/>
  <c r="F89" i="66" s="1"/>
  <c r="F90" i="66" s="1"/>
  <c r="D5" i="66"/>
  <c r="E87" i="66"/>
  <c r="E89" i="66" s="1"/>
  <c r="E7" i="66" s="1"/>
  <c r="C5" i="66"/>
  <c r="D87" i="66"/>
  <c r="D89" i="66" s="1"/>
  <c r="D90" i="66" s="1"/>
  <c r="AH66" i="66"/>
  <c r="B5" i="66"/>
  <c r="AI52" i="66"/>
  <c r="C87" i="66"/>
  <c r="C89" i="66" s="1"/>
  <c r="C90" i="66" s="1"/>
  <c r="B87" i="66"/>
  <c r="B89" i="66" s="1"/>
  <c r="AG246" i="66"/>
  <c r="O90" i="66"/>
  <c r="O7" i="66"/>
  <c r="AO246" i="66"/>
  <c r="W90" i="66"/>
  <c r="W7" i="66"/>
  <c r="AW246" i="66"/>
  <c r="AE90" i="66"/>
  <c r="AE7" i="66"/>
  <c r="S90" i="66"/>
  <c r="AK246" i="66"/>
  <c r="S7" i="66"/>
  <c r="AA90" i="66"/>
  <c r="AA7" i="66"/>
  <c r="AS246" i="66"/>
  <c r="T90" i="66"/>
  <c r="T7" i="66"/>
  <c r="AL246" i="66"/>
  <c r="N7" i="66"/>
  <c r="AF246" i="66"/>
  <c r="N90" i="66"/>
  <c r="G226" i="66"/>
  <c r="F232" i="66"/>
  <c r="F108" i="66"/>
  <c r="AH246" i="66"/>
  <c r="X90" i="66"/>
  <c r="X7" i="66"/>
  <c r="AP246" i="66"/>
  <c r="AF90" i="66"/>
  <c r="AF7" i="66"/>
  <c r="AX246" i="66"/>
  <c r="V7" i="66"/>
  <c r="AN246" i="66"/>
  <c r="V90" i="66"/>
  <c r="J229" i="66"/>
  <c r="K229" i="66" s="1"/>
  <c r="L229" i="66" s="1"/>
  <c r="M229" i="66" s="1"/>
  <c r="N229" i="66" s="1"/>
  <c r="O229" i="66" s="1"/>
  <c r="P229" i="66" s="1"/>
  <c r="Q90" i="66"/>
  <c r="Q7" i="66"/>
  <c r="AI246" i="66"/>
  <c r="R90" i="66"/>
  <c r="AJ246" i="66"/>
  <c r="R7" i="66"/>
  <c r="AD7" i="66"/>
  <c r="AV246" i="66"/>
  <c r="AD90" i="66"/>
  <c r="E267" i="66"/>
  <c r="G231" i="66"/>
  <c r="Y90" i="66"/>
  <c r="Y7" i="66"/>
  <c r="AQ246" i="66"/>
  <c r="AC7" i="66"/>
  <c r="U7" i="66"/>
  <c r="AM246" i="66"/>
  <c r="U90" i="66"/>
  <c r="AB90" i="66"/>
  <c r="AT246" i="66"/>
  <c r="AB7" i="66"/>
  <c r="Z90" i="66"/>
  <c r="Z7" i="66"/>
  <c r="AR246" i="66"/>
  <c r="AH82" i="66"/>
  <c r="I5" i="66"/>
  <c r="Q5" i="66"/>
  <c r="Y5" i="66"/>
  <c r="E232" i="66"/>
  <c r="D243" i="66"/>
  <c r="AI66" i="66"/>
  <c r="H98" i="66"/>
  <c r="P98" i="66"/>
  <c r="X98" i="66"/>
  <c r="AF98" i="66"/>
  <c r="E108" i="66"/>
  <c r="AH52" i="66"/>
  <c r="AI82" i="66"/>
  <c r="AI48" i="66"/>
  <c r="B232" i="66"/>
  <c r="AH48" i="66"/>
  <c r="B98" i="66"/>
  <c r="Y111" i="65"/>
  <c r="U111" i="65"/>
  <c r="T111" i="65"/>
  <c r="L226" i="69" l="1"/>
  <c r="K108" i="69"/>
  <c r="K267" i="69"/>
  <c r="M231" i="69"/>
  <c r="L226" i="68"/>
  <c r="K108" i="68"/>
  <c r="J267" i="68"/>
  <c r="L231" i="68"/>
  <c r="A7" i="67"/>
  <c r="K6" i="67"/>
  <c r="AH90" i="67"/>
  <c r="AI90" i="67"/>
  <c r="F267" i="67"/>
  <c r="H231" i="67"/>
  <c r="G108" i="67"/>
  <c r="H226" i="67"/>
  <c r="G232" i="67"/>
  <c r="AC90" i="66"/>
  <c r="P7" i="66"/>
  <c r="AD246" i="66"/>
  <c r="L90" i="66"/>
  <c r="D7" i="66"/>
  <c r="V246" i="66"/>
  <c r="M90" i="66"/>
  <c r="AE246" i="66"/>
  <c r="J90" i="66"/>
  <c r="J7" i="66"/>
  <c r="AC246" i="66"/>
  <c r="K90" i="66"/>
  <c r="H90" i="66"/>
  <c r="AH87" i="66"/>
  <c r="Y246" i="66"/>
  <c r="X246" i="66"/>
  <c r="F7" i="66"/>
  <c r="B241" i="66"/>
  <c r="AA246" i="66"/>
  <c r="I90" i="66"/>
  <c r="C241" i="66"/>
  <c r="Z246" i="66"/>
  <c r="G7" i="66"/>
  <c r="E90" i="66"/>
  <c r="W246" i="66"/>
  <c r="C7" i="66"/>
  <c r="U246" i="66"/>
  <c r="AI87" i="66"/>
  <c r="H226" i="66"/>
  <c r="G108" i="66"/>
  <c r="G232" i="66"/>
  <c r="AI89" i="66"/>
  <c r="B90" i="66"/>
  <c r="AH89" i="66"/>
  <c r="B7" i="66"/>
  <c r="T246" i="66"/>
  <c r="H231" i="66"/>
  <c r="F267" i="66"/>
  <c r="AH98" i="66"/>
  <c r="AI98" i="66"/>
  <c r="M48" i="65"/>
  <c r="N48" i="65"/>
  <c r="M52" i="65"/>
  <c r="N52" i="65"/>
  <c r="M66" i="65"/>
  <c r="N66" i="65"/>
  <c r="M70" i="65"/>
  <c r="N70" i="65"/>
  <c r="M82" i="65"/>
  <c r="M98" i="65" s="1"/>
  <c r="N82" i="65"/>
  <c r="N98" i="65" s="1"/>
  <c r="M108" i="65"/>
  <c r="N108" i="65"/>
  <c r="I111" i="65"/>
  <c r="J111" i="65"/>
  <c r="K111" i="65"/>
  <c r="L111" i="65"/>
  <c r="L82" i="65"/>
  <c r="L98" i="65" s="1"/>
  <c r="L66" i="65"/>
  <c r="H111" i="65"/>
  <c r="E108" i="65"/>
  <c r="F108" i="65"/>
  <c r="G108" i="65"/>
  <c r="H108" i="65"/>
  <c r="AF271" i="65"/>
  <c r="AE271" i="65"/>
  <c r="AD271" i="65"/>
  <c r="AC271" i="65"/>
  <c r="AB271" i="65"/>
  <c r="AA271" i="65"/>
  <c r="Z271" i="65"/>
  <c r="Y271" i="65"/>
  <c r="X271" i="65"/>
  <c r="W271" i="65"/>
  <c r="V271" i="65"/>
  <c r="U271" i="65"/>
  <c r="T271" i="65"/>
  <c r="S271" i="65"/>
  <c r="R271" i="65"/>
  <c r="Q271" i="65"/>
  <c r="P271" i="65"/>
  <c r="O271" i="65"/>
  <c r="N271" i="65"/>
  <c r="M271" i="65"/>
  <c r="L271" i="65"/>
  <c r="K271" i="65"/>
  <c r="J271" i="65"/>
  <c r="I271" i="65"/>
  <c r="H271" i="65"/>
  <c r="G271" i="65"/>
  <c r="F271" i="65"/>
  <c r="E271" i="65"/>
  <c r="D271" i="65"/>
  <c r="C271" i="65"/>
  <c r="B271" i="65"/>
  <c r="A271" i="65"/>
  <c r="AF270" i="65"/>
  <c r="AE270" i="65"/>
  <c r="AD270" i="65"/>
  <c r="AC270" i="65"/>
  <c r="AB270" i="65"/>
  <c r="AA270" i="65"/>
  <c r="Z270" i="65"/>
  <c r="Y270" i="65"/>
  <c r="X270" i="65"/>
  <c r="W270" i="65"/>
  <c r="V270" i="65"/>
  <c r="U270" i="65"/>
  <c r="T270" i="65"/>
  <c r="S270" i="65"/>
  <c r="R270" i="65"/>
  <c r="Q270" i="65"/>
  <c r="P270" i="65"/>
  <c r="O270" i="65"/>
  <c r="N270" i="65"/>
  <c r="M270" i="65"/>
  <c r="L270" i="65"/>
  <c r="K270" i="65"/>
  <c r="J270" i="65"/>
  <c r="I270" i="65"/>
  <c r="H270" i="65"/>
  <c r="G270" i="65"/>
  <c r="F270" i="65"/>
  <c r="E270" i="65"/>
  <c r="D270" i="65"/>
  <c r="C270" i="65"/>
  <c r="B270" i="65"/>
  <c r="A270" i="65"/>
  <c r="AF269" i="65"/>
  <c r="AE269" i="65"/>
  <c r="AD269" i="65"/>
  <c r="AC269" i="65"/>
  <c r="AB269" i="65"/>
  <c r="AA269" i="65"/>
  <c r="Z269" i="65"/>
  <c r="Y269" i="65"/>
  <c r="X269" i="65"/>
  <c r="W269" i="65"/>
  <c r="V269" i="65"/>
  <c r="U269" i="65"/>
  <c r="T269" i="65"/>
  <c r="S269" i="65"/>
  <c r="R269" i="65"/>
  <c r="Q269" i="65"/>
  <c r="P269" i="65"/>
  <c r="O269" i="65"/>
  <c r="N269" i="65"/>
  <c r="M269" i="65"/>
  <c r="L269" i="65"/>
  <c r="K269" i="65"/>
  <c r="J269" i="65"/>
  <c r="I269" i="65"/>
  <c r="H269" i="65"/>
  <c r="G269" i="65"/>
  <c r="F269" i="65"/>
  <c r="E269" i="65"/>
  <c r="D269" i="65"/>
  <c r="C269" i="65"/>
  <c r="B269" i="65"/>
  <c r="A269" i="65"/>
  <c r="AF268" i="65"/>
  <c r="AE268" i="65"/>
  <c r="AD268" i="65"/>
  <c r="AC268" i="65"/>
  <c r="AB268" i="65"/>
  <c r="AA268" i="65"/>
  <c r="Z268" i="65"/>
  <c r="Y268" i="65"/>
  <c r="X268" i="65"/>
  <c r="W268" i="65"/>
  <c r="V268" i="65"/>
  <c r="U268" i="65"/>
  <c r="T268" i="65"/>
  <c r="S268" i="65"/>
  <c r="R268" i="65"/>
  <c r="Q268" i="65"/>
  <c r="P268" i="65"/>
  <c r="O268" i="65"/>
  <c r="N268" i="65"/>
  <c r="M268" i="65"/>
  <c r="L268" i="65"/>
  <c r="K268" i="65"/>
  <c r="J268" i="65"/>
  <c r="I268" i="65"/>
  <c r="H268" i="65"/>
  <c r="G268" i="65"/>
  <c r="F268" i="65"/>
  <c r="E268" i="65"/>
  <c r="D268" i="65"/>
  <c r="C268" i="65"/>
  <c r="B268" i="65"/>
  <c r="A268" i="65"/>
  <c r="AE267" i="65"/>
  <c r="AD267" i="65"/>
  <c r="AC267" i="65"/>
  <c r="AB267" i="65"/>
  <c r="AA267" i="65"/>
  <c r="Z267" i="65"/>
  <c r="Y267" i="65"/>
  <c r="X267" i="65"/>
  <c r="W267" i="65"/>
  <c r="V267" i="65"/>
  <c r="U267" i="65"/>
  <c r="T267" i="65"/>
  <c r="S267" i="65"/>
  <c r="R267" i="65"/>
  <c r="Q267" i="65"/>
  <c r="P267" i="65"/>
  <c r="C267" i="65"/>
  <c r="B267" i="65"/>
  <c r="S242" i="65"/>
  <c r="AG232" i="65"/>
  <c r="AF232" i="65"/>
  <c r="AE232" i="65"/>
  <c r="AD232" i="65"/>
  <c r="AC232" i="65"/>
  <c r="AB232" i="65"/>
  <c r="AA232" i="65"/>
  <c r="Z232" i="65"/>
  <c r="Y232" i="65"/>
  <c r="X232" i="65"/>
  <c r="W232" i="65"/>
  <c r="V232" i="65"/>
  <c r="U232" i="65"/>
  <c r="T232" i="65"/>
  <c r="S232" i="65"/>
  <c r="R232" i="65"/>
  <c r="Q232" i="65"/>
  <c r="C232" i="65"/>
  <c r="F231" i="65"/>
  <c r="E267" i="65" s="1"/>
  <c r="E231" i="65"/>
  <c r="D267" i="65" s="1"/>
  <c r="D231" i="65"/>
  <c r="B231" i="65"/>
  <c r="AF267" i="65" s="1"/>
  <c r="D230" i="65"/>
  <c r="E230" i="65" s="1"/>
  <c r="F230" i="65" s="1"/>
  <c r="G230" i="65" s="1"/>
  <c r="H230" i="65" s="1"/>
  <c r="I230" i="65" s="1"/>
  <c r="J230" i="65" s="1"/>
  <c r="K230" i="65" s="1"/>
  <c r="L230" i="65" s="1"/>
  <c r="M230" i="65" s="1"/>
  <c r="N230" i="65" s="1"/>
  <c r="O230" i="65" s="1"/>
  <c r="P230" i="65" s="1"/>
  <c r="B230" i="65"/>
  <c r="E229" i="65"/>
  <c r="F229" i="65" s="1"/>
  <c r="G229" i="65" s="1"/>
  <c r="H229" i="65" s="1"/>
  <c r="I229" i="65" s="1"/>
  <c r="D229" i="65"/>
  <c r="B229" i="65"/>
  <c r="D228" i="65"/>
  <c r="E228" i="65" s="1"/>
  <c r="F228" i="65" s="1"/>
  <c r="G228" i="65" s="1"/>
  <c r="H228" i="65" s="1"/>
  <c r="B228" i="65"/>
  <c r="B232" i="65" s="1"/>
  <c r="F227" i="65"/>
  <c r="G227" i="65" s="1"/>
  <c r="H227" i="65" s="1"/>
  <c r="I227" i="65" s="1"/>
  <c r="J227" i="65" s="1"/>
  <c r="K227" i="65" s="1"/>
  <c r="L227" i="65" s="1"/>
  <c r="M227" i="65" s="1"/>
  <c r="N227" i="65" s="1"/>
  <c r="O227" i="65" s="1"/>
  <c r="P227" i="65" s="1"/>
  <c r="E227" i="65"/>
  <c r="D227" i="65"/>
  <c r="B227" i="65"/>
  <c r="D226" i="65"/>
  <c r="D232" i="65" s="1"/>
  <c r="B226" i="65"/>
  <c r="AG224" i="65"/>
  <c r="AF224" i="65"/>
  <c r="AE224" i="65"/>
  <c r="AD224" i="65"/>
  <c r="AC224" i="65"/>
  <c r="AB224" i="65"/>
  <c r="AA224" i="65"/>
  <c r="Z224" i="65"/>
  <c r="Y224" i="65"/>
  <c r="X224" i="65"/>
  <c r="W224" i="65"/>
  <c r="V224" i="65"/>
  <c r="U224" i="65"/>
  <c r="T224" i="65"/>
  <c r="S224" i="65"/>
  <c r="R224" i="65"/>
  <c r="Q224" i="65"/>
  <c r="P224" i="65"/>
  <c r="O224" i="65"/>
  <c r="N224" i="65"/>
  <c r="M224" i="65"/>
  <c r="L224" i="65"/>
  <c r="K224" i="65"/>
  <c r="J224" i="65"/>
  <c r="I224" i="65"/>
  <c r="H224" i="65"/>
  <c r="G224" i="65"/>
  <c r="F224" i="65"/>
  <c r="E224" i="65"/>
  <c r="D224" i="65"/>
  <c r="C224" i="65"/>
  <c r="B224" i="65"/>
  <c r="AI117" i="65"/>
  <c r="AH117" i="65"/>
  <c r="AI116" i="65"/>
  <c r="AH116" i="65"/>
  <c r="AI115" i="65"/>
  <c r="AH115" i="65"/>
  <c r="AI114" i="65"/>
  <c r="AH114" i="65"/>
  <c r="AI113" i="65"/>
  <c r="AH113" i="65"/>
  <c r="AI112" i="65"/>
  <c r="AH112" i="65"/>
  <c r="AI111" i="65"/>
  <c r="AH111" i="65"/>
  <c r="AI110" i="65"/>
  <c r="AH110" i="65"/>
  <c r="AI109" i="65"/>
  <c r="AH109" i="65"/>
  <c r="AF108" i="65"/>
  <c r="AE108" i="65"/>
  <c r="AD108" i="65"/>
  <c r="AC108" i="65"/>
  <c r="AB108" i="65"/>
  <c r="AA108" i="65"/>
  <c r="Y108" i="65"/>
  <c r="X108" i="65"/>
  <c r="W108" i="65"/>
  <c r="V108" i="65"/>
  <c r="U108" i="65"/>
  <c r="T108" i="65"/>
  <c r="S108" i="65"/>
  <c r="R108" i="65"/>
  <c r="Q108" i="65"/>
  <c r="D108" i="65"/>
  <c r="C108" i="65"/>
  <c r="B108" i="65"/>
  <c r="AI107" i="65"/>
  <c r="AH107" i="65"/>
  <c r="AI106" i="65"/>
  <c r="AH106" i="65"/>
  <c r="AI105" i="65"/>
  <c r="AH105" i="65"/>
  <c r="AI104" i="65"/>
  <c r="AH104" i="65"/>
  <c r="AI103" i="65"/>
  <c r="AH103" i="65"/>
  <c r="AI102" i="65"/>
  <c r="AH102" i="65"/>
  <c r="AI101" i="65"/>
  <c r="AH101" i="65"/>
  <c r="AI100" i="65"/>
  <c r="AH100" i="65"/>
  <c r="AI99" i="65"/>
  <c r="AH99" i="65"/>
  <c r="AI97" i="65"/>
  <c r="AH97" i="65"/>
  <c r="AI96" i="65"/>
  <c r="AH96" i="65"/>
  <c r="AI95" i="65"/>
  <c r="AH95" i="65"/>
  <c r="AI94" i="65"/>
  <c r="AH94" i="65"/>
  <c r="AI93" i="65"/>
  <c r="AH93" i="65"/>
  <c r="AI92" i="65"/>
  <c r="AH92" i="65"/>
  <c r="AI91" i="65"/>
  <c r="AH91" i="65"/>
  <c r="AI88" i="65"/>
  <c r="AH88" i="65"/>
  <c r="AI86" i="65"/>
  <c r="AH86" i="65"/>
  <c r="AG86" i="65"/>
  <c r="AI85" i="65"/>
  <c r="AH85" i="65"/>
  <c r="AI84" i="65"/>
  <c r="AH84" i="65"/>
  <c r="AI83" i="65"/>
  <c r="AH83" i="65"/>
  <c r="AN82" i="65"/>
  <c r="AG82" i="65"/>
  <c r="AG89" i="65" s="1"/>
  <c r="AF82" i="65"/>
  <c r="AF98" i="65" s="1"/>
  <c r="AE82" i="65"/>
  <c r="AE98" i="65" s="1"/>
  <c r="AD82" i="65"/>
  <c r="AD98" i="65" s="1"/>
  <c r="AC82" i="65"/>
  <c r="AC98" i="65" s="1"/>
  <c r="AB82" i="65"/>
  <c r="AB98" i="65" s="1"/>
  <c r="AA82" i="65"/>
  <c r="Z5" i="65" s="1"/>
  <c r="Y82" i="65"/>
  <c r="Y98" i="65" s="1"/>
  <c r="X82" i="65"/>
  <c r="X98" i="65" s="1"/>
  <c r="W82" i="65"/>
  <c r="W98" i="65" s="1"/>
  <c r="V82" i="65"/>
  <c r="V98" i="65" s="1"/>
  <c r="U82" i="65"/>
  <c r="U98" i="65" s="1"/>
  <c r="T82" i="65"/>
  <c r="T98" i="65" s="1"/>
  <c r="S82" i="65"/>
  <c r="S98" i="65" s="1"/>
  <c r="R82" i="65"/>
  <c r="R98" i="65" s="1"/>
  <c r="Q82" i="65"/>
  <c r="Q98" i="65" s="1"/>
  <c r="P82" i="65"/>
  <c r="P98" i="65" s="1"/>
  <c r="O82" i="65"/>
  <c r="O98" i="65" s="1"/>
  <c r="K82" i="65"/>
  <c r="J5" i="65" s="1"/>
  <c r="J82" i="65"/>
  <c r="J98" i="65" s="1"/>
  <c r="I82" i="65"/>
  <c r="I98" i="65" s="1"/>
  <c r="H82" i="65"/>
  <c r="H98" i="65" s="1"/>
  <c r="G82" i="65"/>
  <c r="G98" i="65" s="1"/>
  <c r="F82" i="65"/>
  <c r="F98" i="65" s="1"/>
  <c r="E82" i="65"/>
  <c r="E98" i="65" s="1"/>
  <c r="D82" i="65"/>
  <c r="D98" i="65" s="1"/>
  <c r="C82" i="65"/>
  <c r="C98" i="65" s="1"/>
  <c r="B82" i="65"/>
  <c r="B98" i="65" s="1"/>
  <c r="AN81" i="65"/>
  <c r="AI81" i="65"/>
  <c r="AH81" i="65"/>
  <c r="AN80" i="65"/>
  <c r="AI80" i="65"/>
  <c r="AH80" i="65"/>
  <c r="AN79" i="65"/>
  <c r="AI79" i="65"/>
  <c r="AH79" i="65"/>
  <c r="AI78" i="65"/>
  <c r="AH78" i="65"/>
  <c r="AI77" i="65"/>
  <c r="AH77" i="65"/>
  <c r="AI76" i="65"/>
  <c r="AH76" i="65"/>
  <c r="AI75" i="65"/>
  <c r="AH75" i="65"/>
  <c r="AI74" i="65"/>
  <c r="AH74" i="65"/>
  <c r="AI73" i="65"/>
  <c r="AH73" i="65"/>
  <c r="AI72" i="65"/>
  <c r="AH72" i="65"/>
  <c r="AI71" i="65"/>
  <c r="AH71" i="65"/>
  <c r="AG70" i="65"/>
  <c r="AF70" i="65"/>
  <c r="AE70" i="65"/>
  <c r="AD70" i="65"/>
  <c r="AC70" i="65"/>
  <c r="AB70" i="65"/>
  <c r="AA70" i="65"/>
  <c r="Y70" i="65"/>
  <c r="X70" i="65"/>
  <c r="W70" i="65"/>
  <c r="V70" i="65"/>
  <c r="U70" i="65"/>
  <c r="T70" i="65"/>
  <c r="S70" i="65"/>
  <c r="R70" i="65"/>
  <c r="Q70" i="65"/>
  <c r="P70" i="65"/>
  <c r="O70" i="65"/>
  <c r="AI69" i="65"/>
  <c r="AH69" i="65"/>
  <c r="AI68" i="65"/>
  <c r="AH68" i="65"/>
  <c r="AI67" i="65"/>
  <c r="AH67" i="65"/>
  <c r="AF66" i="65"/>
  <c r="AE66" i="65"/>
  <c r="AD66" i="65"/>
  <c r="AC66" i="65"/>
  <c r="AB66" i="65"/>
  <c r="AA66" i="65"/>
  <c r="Y66" i="65"/>
  <c r="X66" i="65"/>
  <c r="W66" i="65"/>
  <c r="V66" i="65"/>
  <c r="U66" i="65"/>
  <c r="T66" i="65"/>
  <c r="S66" i="65"/>
  <c r="R66" i="65"/>
  <c r="Q66" i="65"/>
  <c r="P66" i="65"/>
  <c r="O66" i="65"/>
  <c r="K66" i="65"/>
  <c r="J66" i="65"/>
  <c r="I66" i="65"/>
  <c r="H66" i="65"/>
  <c r="G66" i="65"/>
  <c r="F66" i="65"/>
  <c r="E66" i="65"/>
  <c r="D66" i="65"/>
  <c r="C66" i="65"/>
  <c r="AI65" i="65"/>
  <c r="AH65" i="65"/>
  <c r="AG65" i="65"/>
  <c r="AG66" i="65" s="1"/>
  <c r="AG3" i="65" s="1"/>
  <c r="AI64" i="65"/>
  <c r="AH64" i="65"/>
  <c r="AI63" i="65"/>
  <c r="AH63" i="65"/>
  <c r="AI62" i="65"/>
  <c r="AH62" i="65"/>
  <c r="AI61" i="65"/>
  <c r="AH61" i="65"/>
  <c r="AI60" i="65"/>
  <c r="AH60" i="65"/>
  <c r="AI59" i="65"/>
  <c r="AH59" i="65"/>
  <c r="AI58" i="65"/>
  <c r="AH58" i="65"/>
  <c r="AI57" i="65"/>
  <c r="AH57" i="65"/>
  <c r="AI56" i="65"/>
  <c r="AH56" i="65"/>
  <c r="AI55" i="65"/>
  <c r="AH55" i="65"/>
  <c r="AI54" i="65"/>
  <c r="AH54" i="65"/>
  <c r="AI53" i="65"/>
  <c r="AH53" i="65"/>
  <c r="AG52" i="65"/>
  <c r="AF52" i="65"/>
  <c r="AE52" i="65"/>
  <c r="AD52" i="65"/>
  <c r="AC52" i="65"/>
  <c r="AB52" i="65"/>
  <c r="AA52" i="65"/>
  <c r="Y52" i="65"/>
  <c r="X52" i="65"/>
  <c r="W52" i="65"/>
  <c r="V52" i="65"/>
  <c r="U52" i="65"/>
  <c r="T52" i="65"/>
  <c r="S52" i="65"/>
  <c r="R52" i="65"/>
  <c r="Q52" i="65"/>
  <c r="P52" i="65"/>
  <c r="O52" i="65"/>
  <c r="L52" i="65"/>
  <c r="K52" i="65"/>
  <c r="J52" i="65"/>
  <c r="I52" i="65"/>
  <c r="H52" i="65"/>
  <c r="G52" i="65"/>
  <c r="F52" i="65"/>
  <c r="E52" i="65"/>
  <c r="D52" i="65"/>
  <c r="C52" i="65"/>
  <c r="AI51" i="65"/>
  <c r="AH51" i="65"/>
  <c r="AI50" i="65"/>
  <c r="AH50" i="65"/>
  <c r="AI49" i="65"/>
  <c r="AH49" i="65"/>
  <c r="AG48" i="65"/>
  <c r="AF48" i="65"/>
  <c r="AE48" i="65"/>
  <c r="AD48" i="65"/>
  <c r="AC48" i="65"/>
  <c r="AB48" i="65"/>
  <c r="AA48" i="65"/>
  <c r="Y48" i="65"/>
  <c r="X48" i="65"/>
  <c r="W48" i="65"/>
  <c r="V48" i="65"/>
  <c r="U48" i="65"/>
  <c r="T48" i="65"/>
  <c r="S48" i="65"/>
  <c r="R48" i="65"/>
  <c r="Q48" i="65"/>
  <c r="P48" i="65"/>
  <c r="O48" i="65"/>
  <c r="L48" i="65"/>
  <c r="K48" i="65"/>
  <c r="J48" i="65"/>
  <c r="I48" i="65"/>
  <c r="H48" i="65"/>
  <c r="G48" i="65"/>
  <c r="F48" i="65"/>
  <c r="E48" i="65"/>
  <c r="D48" i="65"/>
  <c r="C48" i="65"/>
  <c r="B48" i="65"/>
  <c r="AI47" i="65"/>
  <c r="AH47" i="65"/>
  <c r="AI46" i="65"/>
  <c r="AH46" i="65"/>
  <c r="AI45" i="65"/>
  <c r="AH45" i="65"/>
  <c r="AI44" i="65"/>
  <c r="AH44" i="65"/>
  <c r="AI43" i="65"/>
  <c r="AH43" i="65"/>
  <c r="AI42" i="65"/>
  <c r="AH42" i="65"/>
  <c r="AI41" i="65"/>
  <c r="AH41" i="65"/>
  <c r="AI40" i="65"/>
  <c r="AH40" i="65"/>
  <c r="AI39" i="65"/>
  <c r="AH39" i="65"/>
  <c r="AI38" i="65"/>
  <c r="AH38" i="65"/>
  <c r="AI37" i="65"/>
  <c r="AH37" i="65"/>
  <c r="AI36" i="65"/>
  <c r="AH36" i="65"/>
  <c r="AI35" i="65"/>
  <c r="AH35" i="65"/>
  <c r="AI34" i="65"/>
  <c r="AH34" i="65"/>
  <c r="AI33" i="65"/>
  <c r="AH33" i="65"/>
  <c r="AI32" i="65"/>
  <c r="AH32" i="65"/>
  <c r="AI31" i="65"/>
  <c r="AH31" i="65"/>
  <c r="AI30" i="65"/>
  <c r="AH30" i="65"/>
  <c r="AI29" i="65"/>
  <c r="AH29" i="65"/>
  <c r="AI28" i="65"/>
  <c r="AH28" i="65"/>
  <c r="AI27" i="65"/>
  <c r="AH27" i="65"/>
  <c r="AI26" i="65"/>
  <c r="AH26" i="65"/>
  <c r="AI25" i="65"/>
  <c r="AH25" i="65"/>
  <c r="AI24" i="65"/>
  <c r="AH24" i="65"/>
  <c r="AI23" i="65"/>
  <c r="AH23" i="65"/>
  <c r="AI22" i="65"/>
  <c r="AH22" i="65"/>
  <c r="AI21" i="65"/>
  <c r="AH21" i="65"/>
  <c r="AI20" i="65"/>
  <c r="AH20" i="65"/>
  <c r="AI19" i="65"/>
  <c r="AH19" i="65"/>
  <c r="AI18" i="65"/>
  <c r="AH18" i="65"/>
  <c r="AI17" i="65"/>
  <c r="AH17" i="65"/>
  <c r="AI16" i="65"/>
  <c r="AH16" i="65"/>
  <c r="AI15" i="65"/>
  <c r="AH15" i="65"/>
  <c r="AI14" i="65"/>
  <c r="AH14" i="65"/>
  <c r="AI13" i="65"/>
  <c r="AH13" i="65"/>
  <c r="AI12" i="65"/>
  <c r="AH12" i="65"/>
  <c r="AI11" i="65"/>
  <c r="AH11" i="65"/>
  <c r="AD5" i="65"/>
  <c r="AB5" i="65"/>
  <c r="Y5" i="65"/>
  <c r="T5" i="65"/>
  <c r="N5" i="65"/>
  <c r="M5" i="65"/>
  <c r="L5" i="65"/>
  <c r="I5" i="65"/>
  <c r="H5" i="65"/>
  <c r="AG4" i="65"/>
  <c r="K4" i="65"/>
  <c r="E4" i="65"/>
  <c r="H4" i="65" s="1"/>
  <c r="B4" i="65"/>
  <c r="S243" i="65" s="1"/>
  <c r="AG2" i="65"/>
  <c r="AG6" i="65" s="1"/>
  <c r="AB111" i="64"/>
  <c r="AB48" i="64"/>
  <c r="AB52" i="64"/>
  <c r="AB66" i="64"/>
  <c r="AB70" i="64"/>
  <c r="AB82" i="64"/>
  <c r="Z108" i="64"/>
  <c r="Z95" i="64"/>
  <c r="Z94" i="64"/>
  <c r="Z93" i="64"/>
  <c r="Z92" i="64"/>
  <c r="Z91" i="64"/>
  <c r="Z86" i="64"/>
  <c r="Z82" i="64"/>
  <c r="Z70" i="64"/>
  <c r="Z66" i="64"/>
  <c r="Z52" i="64"/>
  <c r="Z48" i="64"/>
  <c r="L267" i="69" l="1"/>
  <c r="N231" i="69"/>
  <c r="M226" i="69"/>
  <c r="L108" i="69"/>
  <c r="K267" i="68"/>
  <c r="M231" i="68"/>
  <c r="M226" i="68"/>
  <c r="L108" i="68"/>
  <c r="I226" i="67"/>
  <c r="H108" i="67"/>
  <c r="H232" i="67"/>
  <c r="I231" i="67"/>
  <c r="G267" i="67"/>
  <c r="A7" i="66"/>
  <c r="K6" i="66"/>
  <c r="AI90" i="66"/>
  <c r="AH90" i="66"/>
  <c r="G267" i="66"/>
  <c r="I231" i="66"/>
  <c r="I226" i="66"/>
  <c r="H108" i="66"/>
  <c r="H232" i="66"/>
  <c r="AE5" i="65"/>
  <c r="AF87" i="65"/>
  <c r="AF89" i="65" s="1"/>
  <c r="AE87" i="65"/>
  <c r="AE89" i="65" s="1"/>
  <c r="AC5" i="65"/>
  <c r="AD87" i="65"/>
  <c r="AD89" i="65" s="1"/>
  <c r="AC87" i="65"/>
  <c r="AC89" i="65" s="1"/>
  <c r="AA98" i="65"/>
  <c r="AB87" i="65"/>
  <c r="AB89" i="65" s="1"/>
  <c r="AA87" i="65"/>
  <c r="AA89" i="65" s="1"/>
  <c r="X5" i="65"/>
  <c r="Y87" i="65"/>
  <c r="Y89" i="65" s="1"/>
  <c r="Y90" i="65" s="1"/>
  <c r="X87" i="65"/>
  <c r="X89" i="65" s="1"/>
  <c r="W5" i="65"/>
  <c r="V5" i="65"/>
  <c r="W87" i="65"/>
  <c r="W89" i="65" s="1"/>
  <c r="AO246" i="65" s="1"/>
  <c r="U5" i="65"/>
  <c r="V87" i="65"/>
  <c r="V89" i="65" s="1"/>
  <c r="U87" i="65"/>
  <c r="U89" i="65" s="1"/>
  <c r="T87" i="65"/>
  <c r="T89" i="65" s="1"/>
  <c r="S87" i="65"/>
  <c r="S89" i="65" s="1"/>
  <c r="R5" i="65"/>
  <c r="Q5" i="65"/>
  <c r="Q87" i="65"/>
  <c r="Q89" i="65" s="1"/>
  <c r="P5" i="65"/>
  <c r="R87" i="65"/>
  <c r="R89" i="65" s="1"/>
  <c r="P87" i="65"/>
  <c r="P89" i="65" s="1"/>
  <c r="O5" i="65"/>
  <c r="Z97" i="64"/>
  <c r="Z98" i="64" s="1"/>
  <c r="O87" i="65"/>
  <c r="O89" i="65" s="1"/>
  <c r="N87" i="65"/>
  <c r="N89" i="65" s="1"/>
  <c r="N90" i="65" s="1"/>
  <c r="M87" i="65"/>
  <c r="M89" i="65" s="1"/>
  <c r="M90" i="65" s="1"/>
  <c r="AI70" i="65"/>
  <c r="K98" i="65"/>
  <c r="J87" i="65"/>
  <c r="J89" i="65" s="1"/>
  <c r="K87" i="65"/>
  <c r="K89" i="65" s="1"/>
  <c r="AC246" i="65" s="1"/>
  <c r="L87" i="65"/>
  <c r="L89" i="65" s="1"/>
  <c r="L90" i="65" s="1"/>
  <c r="I87" i="65"/>
  <c r="I89" i="65" s="1"/>
  <c r="AA246" i="65" s="1"/>
  <c r="AI48" i="65"/>
  <c r="H87" i="65"/>
  <c r="H89" i="65" s="1"/>
  <c r="H90" i="65" s="1"/>
  <c r="G5" i="65"/>
  <c r="F5" i="65"/>
  <c r="G87" i="65"/>
  <c r="G89" i="65" s="1"/>
  <c r="G90" i="65" s="1"/>
  <c r="F87" i="65"/>
  <c r="F89" i="65" s="1"/>
  <c r="F90" i="65" s="1"/>
  <c r="E5" i="65"/>
  <c r="E87" i="65"/>
  <c r="E89" i="65" s="1"/>
  <c r="E7" i="65" s="1"/>
  <c r="D5" i="65"/>
  <c r="D87" i="65"/>
  <c r="D89" i="65" s="1"/>
  <c r="AI66" i="65"/>
  <c r="AI52" i="65"/>
  <c r="B5" i="65"/>
  <c r="AH66" i="65"/>
  <c r="AH52" i="65"/>
  <c r="AF5" i="65"/>
  <c r="B87" i="65"/>
  <c r="AI98" i="65"/>
  <c r="AH98" i="65"/>
  <c r="AQ246" i="65"/>
  <c r="AG87" i="65"/>
  <c r="AG246" i="65"/>
  <c r="O90" i="65"/>
  <c r="O7" i="65"/>
  <c r="Q90" i="65"/>
  <c r="Q7" i="65"/>
  <c r="AI246" i="65"/>
  <c r="B89" i="65"/>
  <c r="J7" i="65"/>
  <c r="AB246" i="65"/>
  <c r="J90" i="65"/>
  <c r="R7" i="65"/>
  <c r="AJ246" i="65"/>
  <c r="R90" i="65"/>
  <c r="Z7" i="65"/>
  <c r="AR246" i="65"/>
  <c r="K90" i="65"/>
  <c r="K7" i="65"/>
  <c r="S90" i="65"/>
  <c r="S7" i="65"/>
  <c r="AK246" i="65"/>
  <c r="AA90" i="65"/>
  <c r="AA7" i="65"/>
  <c r="AS246" i="65"/>
  <c r="P90" i="65"/>
  <c r="P7" i="65"/>
  <c r="AH246" i="65"/>
  <c r="J229" i="65"/>
  <c r="K229" i="65" s="1"/>
  <c r="L229" i="65" s="1"/>
  <c r="M229" i="65" s="1"/>
  <c r="N229" i="65" s="1"/>
  <c r="O229" i="65" s="1"/>
  <c r="P229" i="65" s="1"/>
  <c r="T90" i="65"/>
  <c r="AL246" i="65"/>
  <c r="T7" i="65"/>
  <c r="D90" i="65"/>
  <c r="D7" i="65"/>
  <c r="V246" i="65"/>
  <c r="AE246" i="65"/>
  <c r="M7" i="65"/>
  <c r="U7" i="65"/>
  <c r="AM246" i="65"/>
  <c r="U90" i="65"/>
  <c r="AC7" i="65"/>
  <c r="AC90" i="65"/>
  <c r="AU246" i="65"/>
  <c r="AF90" i="65"/>
  <c r="AF7" i="65"/>
  <c r="AX246" i="65"/>
  <c r="AW246" i="65"/>
  <c r="AE90" i="65"/>
  <c r="AE7" i="65"/>
  <c r="AB90" i="65"/>
  <c r="AB7" i="65"/>
  <c r="AT246" i="65"/>
  <c r="X90" i="65"/>
  <c r="X7" i="65"/>
  <c r="AP246" i="65"/>
  <c r="E90" i="65"/>
  <c r="N7" i="65"/>
  <c r="AF246" i="65"/>
  <c r="V7" i="65"/>
  <c r="AN246" i="65"/>
  <c r="V90" i="65"/>
  <c r="AD7" i="65"/>
  <c r="AV246" i="65"/>
  <c r="AD90" i="65"/>
  <c r="AH70" i="65"/>
  <c r="C87" i="65"/>
  <c r="C89" i="65" s="1"/>
  <c r="D243" i="65"/>
  <c r="K5" i="65"/>
  <c r="AA5" i="65"/>
  <c r="C5" i="65"/>
  <c r="S5" i="65"/>
  <c r="AH82" i="65"/>
  <c r="E226" i="65"/>
  <c r="G231" i="65"/>
  <c r="AH48" i="65"/>
  <c r="AI82" i="65"/>
  <c r="AB87" i="64"/>
  <c r="Z87" i="64"/>
  <c r="Z89" i="64" s="1"/>
  <c r="Z90" i="64" s="1"/>
  <c r="Z107" i="64" s="1"/>
  <c r="R108" i="64"/>
  <c r="P111" i="64"/>
  <c r="N226" i="69" l="1"/>
  <c r="M108" i="69"/>
  <c r="M267" i="69"/>
  <c r="O231" i="69"/>
  <c r="N226" i="68"/>
  <c r="M108" i="68"/>
  <c r="L267" i="68"/>
  <c r="N231" i="68"/>
  <c r="H267" i="67"/>
  <c r="J231" i="67"/>
  <c r="I108" i="67"/>
  <c r="J226" i="67"/>
  <c r="W7" i="65"/>
  <c r="W90" i="65"/>
  <c r="I108" i="66"/>
  <c r="J226" i="66"/>
  <c r="H267" i="66"/>
  <c r="J231" i="66"/>
  <c r="Y7" i="65"/>
  <c r="L7" i="65"/>
  <c r="AD246" i="65"/>
  <c r="I7" i="65"/>
  <c r="I90" i="65"/>
  <c r="F7" i="65"/>
  <c r="Y246" i="65"/>
  <c r="X246" i="65"/>
  <c r="W246" i="65"/>
  <c r="Z246" i="65"/>
  <c r="H7" i="65"/>
  <c r="C241" i="65"/>
  <c r="B241" i="65"/>
  <c r="G7" i="65"/>
  <c r="AH87" i="65"/>
  <c r="AI87" i="65"/>
  <c r="AI89" i="65"/>
  <c r="AH89" i="65"/>
  <c r="B7" i="65"/>
  <c r="T246" i="65"/>
  <c r="B90" i="65"/>
  <c r="F267" i="65"/>
  <c r="H231" i="65"/>
  <c r="C90" i="65"/>
  <c r="C7" i="65"/>
  <c r="U246" i="65"/>
  <c r="F226" i="65"/>
  <c r="E232" i="65"/>
  <c r="AF271" i="64"/>
  <c r="AE271" i="64"/>
  <c r="AD271" i="64"/>
  <c r="AC271" i="64"/>
  <c r="AB271" i="64"/>
  <c r="AA271" i="64"/>
  <c r="Z271" i="64"/>
  <c r="Y271" i="64"/>
  <c r="X271" i="64"/>
  <c r="W271" i="64"/>
  <c r="V271" i="64"/>
  <c r="U271" i="64"/>
  <c r="T271" i="64"/>
  <c r="S271" i="64"/>
  <c r="R271" i="64"/>
  <c r="Q271" i="64"/>
  <c r="P271" i="64"/>
  <c r="O271" i="64"/>
  <c r="N271" i="64"/>
  <c r="M271" i="64"/>
  <c r="L271" i="64"/>
  <c r="K271" i="64"/>
  <c r="J271" i="64"/>
  <c r="I271" i="64"/>
  <c r="H271" i="64"/>
  <c r="G271" i="64"/>
  <c r="F271" i="64"/>
  <c r="E271" i="64"/>
  <c r="D271" i="64"/>
  <c r="C271" i="64"/>
  <c r="B271" i="64"/>
  <c r="A271" i="64"/>
  <c r="AF270" i="64"/>
  <c r="AE270" i="64"/>
  <c r="AD270" i="64"/>
  <c r="AC270" i="64"/>
  <c r="AB270" i="64"/>
  <c r="AA270" i="64"/>
  <c r="Z270" i="64"/>
  <c r="Y270" i="64"/>
  <c r="X270" i="64"/>
  <c r="W270" i="64"/>
  <c r="V270" i="64"/>
  <c r="U270" i="64"/>
  <c r="T270" i="64"/>
  <c r="S270" i="64"/>
  <c r="R270" i="64"/>
  <c r="Q270" i="64"/>
  <c r="P270" i="64"/>
  <c r="O270" i="64"/>
  <c r="N270" i="64"/>
  <c r="M270" i="64"/>
  <c r="L270" i="64"/>
  <c r="K270" i="64"/>
  <c r="J270" i="64"/>
  <c r="I270" i="64"/>
  <c r="H270" i="64"/>
  <c r="G270" i="64"/>
  <c r="F270" i="64"/>
  <c r="E270" i="64"/>
  <c r="D270" i="64"/>
  <c r="C270" i="64"/>
  <c r="B270" i="64"/>
  <c r="A270" i="64"/>
  <c r="AF269" i="64"/>
  <c r="AE269" i="64"/>
  <c r="AD269" i="64"/>
  <c r="AC269" i="64"/>
  <c r="AB269" i="64"/>
  <c r="AA269" i="64"/>
  <c r="Z269" i="64"/>
  <c r="Y269" i="64"/>
  <c r="X269" i="64"/>
  <c r="W269" i="64"/>
  <c r="V269" i="64"/>
  <c r="U269" i="64"/>
  <c r="T269" i="64"/>
  <c r="S269" i="64"/>
  <c r="R269" i="64"/>
  <c r="Q269" i="64"/>
  <c r="P269" i="64"/>
  <c r="O269" i="64"/>
  <c r="N269" i="64"/>
  <c r="M269" i="64"/>
  <c r="L269" i="64"/>
  <c r="K269" i="64"/>
  <c r="J269" i="64"/>
  <c r="I269" i="64"/>
  <c r="H269" i="64"/>
  <c r="G269" i="64"/>
  <c r="F269" i="64"/>
  <c r="E269" i="64"/>
  <c r="D269" i="64"/>
  <c r="C269" i="64"/>
  <c r="B269" i="64"/>
  <c r="A269" i="64"/>
  <c r="AF268" i="64"/>
  <c r="AE268" i="64"/>
  <c r="AD268" i="64"/>
  <c r="AC268" i="64"/>
  <c r="AB268" i="64"/>
  <c r="AA268" i="64"/>
  <c r="Z268" i="64"/>
  <c r="Y268" i="64"/>
  <c r="X268" i="64"/>
  <c r="W268" i="64"/>
  <c r="V268" i="64"/>
  <c r="U268" i="64"/>
  <c r="T268" i="64"/>
  <c r="S268" i="64"/>
  <c r="R268" i="64"/>
  <c r="Q268" i="64"/>
  <c r="P268" i="64"/>
  <c r="O268" i="64"/>
  <c r="N268" i="64"/>
  <c r="M268" i="64"/>
  <c r="L268" i="64"/>
  <c r="K268" i="64"/>
  <c r="J268" i="64"/>
  <c r="I268" i="64"/>
  <c r="H268" i="64"/>
  <c r="G268" i="64"/>
  <c r="F268" i="64"/>
  <c r="E268" i="64"/>
  <c r="D268" i="64"/>
  <c r="C268" i="64"/>
  <c r="B268" i="64"/>
  <c r="A268" i="64"/>
  <c r="AE267" i="64"/>
  <c r="AD267" i="64"/>
  <c r="AC267" i="64"/>
  <c r="AB267" i="64"/>
  <c r="AA267" i="64"/>
  <c r="Z267" i="64"/>
  <c r="Y267" i="64"/>
  <c r="X267" i="64"/>
  <c r="W267" i="64"/>
  <c r="V267" i="64"/>
  <c r="U267" i="64"/>
  <c r="T267" i="64"/>
  <c r="S267" i="64"/>
  <c r="R267" i="64"/>
  <c r="Q267" i="64"/>
  <c r="P267" i="64"/>
  <c r="B267" i="64"/>
  <c r="S242" i="64"/>
  <c r="AG232" i="64"/>
  <c r="AF232" i="64"/>
  <c r="AE232" i="64"/>
  <c r="AD232" i="64"/>
  <c r="AC232" i="64"/>
  <c r="AB232" i="64"/>
  <c r="AA232" i="64"/>
  <c r="Z232" i="64"/>
  <c r="Y232" i="64"/>
  <c r="X232" i="64"/>
  <c r="W232" i="64"/>
  <c r="V232" i="64"/>
  <c r="U232" i="64"/>
  <c r="T232" i="64"/>
  <c r="S232" i="64"/>
  <c r="R232" i="64"/>
  <c r="Q232" i="64"/>
  <c r="C232" i="64"/>
  <c r="D231" i="64"/>
  <c r="C267" i="64" s="1"/>
  <c r="B231" i="64"/>
  <c r="AF267" i="64" s="1"/>
  <c r="D230" i="64"/>
  <c r="E230" i="64" s="1"/>
  <c r="F230" i="64" s="1"/>
  <c r="G230" i="64" s="1"/>
  <c r="H230" i="64" s="1"/>
  <c r="I230" i="64" s="1"/>
  <c r="J230" i="64" s="1"/>
  <c r="K230" i="64" s="1"/>
  <c r="L230" i="64" s="1"/>
  <c r="M230" i="64" s="1"/>
  <c r="N230" i="64" s="1"/>
  <c r="O230" i="64" s="1"/>
  <c r="P230" i="64" s="1"/>
  <c r="B230" i="64"/>
  <c r="H229" i="64"/>
  <c r="I229" i="64" s="1"/>
  <c r="G229" i="64"/>
  <c r="F229" i="64"/>
  <c r="E229" i="64"/>
  <c r="D229" i="64"/>
  <c r="B229" i="64"/>
  <c r="F228" i="64"/>
  <c r="G228" i="64" s="1"/>
  <c r="H228" i="64" s="1"/>
  <c r="E228" i="64"/>
  <c r="D228" i="64"/>
  <c r="B228" i="64"/>
  <c r="D227" i="64"/>
  <c r="E227" i="64" s="1"/>
  <c r="F227" i="64" s="1"/>
  <c r="G227" i="64" s="1"/>
  <c r="H227" i="64" s="1"/>
  <c r="I227" i="64" s="1"/>
  <c r="J227" i="64" s="1"/>
  <c r="K227" i="64" s="1"/>
  <c r="L227" i="64" s="1"/>
  <c r="M227" i="64" s="1"/>
  <c r="N227" i="64" s="1"/>
  <c r="O227" i="64" s="1"/>
  <c r="P227" i="64" s="1"/>
  <c r="B227" i="64"/>
  <c r="D226" i="64"/>
  <c r="D232" i="64" s="1"/>
  <c r="B226" i="64"/>
  <c r="B232" i="64" s="1"/>
  <c r="AG224" i="64"/>
  <c r="AF224" i="64"/>
  <c r="AE224" i="64"/>
  <c r="AD224" i="64"/>
  <c r="AC224" i="64"/>
  <c r="AB224" i="64"/>
  <c r="AA224" i="64"/>
  <c r="Z224" i="64"/>
  <c r="Y224" i="64"/>
  <c r="X224" i="64"/>
  <c r="W224" i="64"/>
  <c r="V224" i="64"/>
  <c r="U224" i="64"/>
  <c r="T224" i="64"/>
  <c r="S224" i="64"/>
  <c r="R224" i="64"/>
  <c r="Q224" i="64"/>
  <c r="P224" i="64"/>
  <c r="O224" i="64"/>
  <c r="N224" i="64"/>
  <c r="M224" i="64"/>
  <c r="L224" i="64"/>
  <c r="K224" i="64"/>
  <c r="J224" i="64"/>
  <c r="I224" i="64"/>
  <c r="H224" i="64"/>
  <c r="G224" i="64"/>
  <c r="F224" i="64"/>
  <c r="E224" i="64"/>
  <c r="D224" i="64"/>
  <c r="C224" i="64"/>
  <c r="B224" i="64"/>
  <c r="AI117" i="64"/>
  <c r="AH117" i="64"/>
  <c r="AI116" i="64"/>
  <c r="AH116" i="64"/>
  <c r="AI115" i="64"/>
  <c r="AH115" i="64"/>
  <c r="AI114" i="64"/>
  <c r="AH114" i="64"/>
  <c r="AI113" i="64"/>
  <c r="AH113" i="64"/>
  <c r="AI112" i="64"/>
  <c r="AH112" i="64"/>
  <c r="AI111" i="64"/>
  <c r="AH111" i="64"/>
  <c r="AI110" i="64"/>
  <c r="AH110" i="64"/>
  <c r="AI109" i="64"/>
  <c r="AH109" i="64"/>
  <c r="AF108" i="64"/>
  <c r="AE108" i="64"/>
  <c r="AD108" i="64"/>
  <c r="AC108" i="64"/>
  <c r="AB108" i="64"/>
  <c r="AA108" i="64"/>
  <c r="Y108" i="64"/>
  <c r="X108" i="64"/>
  <c r="W108" i="64"/>
  <c r="V108" i="64"/>
  <c r="U108" i="64"/>
  <c r="T108" i="64"/>
  <c r="S108" i="64"/>
  <c r="Q108" i="64"/>
  <c r="C108" i="64"/>
  <c r="B108" i="64"/>
  <c r="AI107" i="64"/>
  <c r="AH107" i="64"/>
  <c r="AI106" i="64"/>
  <c r="AH106" i="64"/>
  <c r="AI105" i="64"/>
  <c r="AH105" i="64"/>
  <c r="AI104" i="64"/>
  <c r="AH104" i="64"/>
  <c r="AI103" i="64"/>
  <c r="AH103" i="64"/>
  <c r="AI102" i="64"/>
  <c r="AH102" i="64"/>
  <c r="AI101" i="64"/>
  <c r="AH101" i="64"/>
  <c r="AI100" i="64"/>
  <c r="AH100" i="64"/>
  <c r="AI99" i="64"/>
  <c r="AH99" i="64"/>
  <c r="AI97" i="64"/>
  <c r="AH97" i="64"/>
  <c r="AI96" i="64"/>
  <c r="AH96" i="64"/>
  <c r="AI95" i="64"/>
  <c r="AH95" i="64"/>
  <c r="AI94" i="64"/>
  <c r="AH94" i="64"/>
  <c r="AI93" i="64"/>
  <c r="AH93" i="64"/>
  <c r="AI92" i="64"/>
  <c r="AH92" i="64"/>
  <c r="AI91" i="64"/>
  <c r="AH91" i="64"/>
  <c r="AI88" i="64"/>
  <c r="AH88" i="64"/>
  <c r="AI86" i="64"/>
  <c r="AH86" i="64"/>
  <c r="AG86" i="64"/>
  <c r="AI85" i="64"/>
  <c r="AH85" i="64"/>
  <c r="AI84" i="64"/>
  <c r="AH84" i="64"/>
  <c r="AI83" i="64"/>
  <c r="AH83" i="64"/>
  <c r="AN82" i="64"/>
  <c r="AG82" i="64"/>
  <c r="AG89" i="64" s="1"/>
  <c r="AF82" i="64"/>
  <c r="AF98" i="64" s="1"/>
  <c r="AE82" i="64"/>
  <c r="AD5" i="64" s="1"/>
  <c r="AD82" i="64"/>
  <c r="AC5" i="64" s="1"/>
  <c r="AC82" i="64"/>
  <c r="AC98" i="64" s="1"/>
  <c r="AB98" i="64"/>
  <c r="AA82" i="64"/>
  <c r="AA98" i="64" s="1"/>
  <c r="Y82" i="64"/>
  <c r="X5" i="64" s="1"/>
  <c r="X82" i="64"/>
  <c r="W5" i="64" s="1"/>
  <c r="W82" i="64"/>
  <c r="V5" i="64" s="1"/>
  <c r="V82" i="64"/>
  <c r="U5" i="64" s="1"/>
  <c r="U82" i="64"/>
  <c r="U98" i="64" s="1"/>
  <c r="T82" i="64"/>
  <c r="T98" i="64" s="1"/>
  <c r="S82" i="64"/>
  <c r="S98" i="64" s="1"/>
  <c r="R82" i="64"/>
  <c r="R98" i="64" s="1"/>
  <c r="Q82" i="64"/>
  <c r="P5" i="64" s="1"/>
  <c r="P82" i="64"/>
  <c r="P98" i="64" s="1"/>
  <c r="O82" i="64"/>
  <c r="N5" i="64" s="1"/>
  <c r="N82" i="64"/>
  <c r="N98" i="64" s="1"/>
  <c r="M82" i="64"/>
  <c r="M98" i="64" s="1"/>
  <c r="L82" i="64"/>
  <c r="L98" i="64" s="1"/>
  <c r="K82" i="64"/>
  <c r="K98" i="64" s="1"/>
  <c r="J82" i="64"/>
  <c r="J98" i="64" s="1"/>
  <c r="I82" i="64"/>
  <c r="H5" i="64" s="1"/>
  <c r="H82" i="64"/>
  <c r="G5" i="64" s="1"/>
  <c r="G82" i="64"/>
  <c r="F5" i="64" s="1"/>
  <c r="F82" i="64"/>
  <c r="F98" i="64" s="1"/>
  <c r="E82" i="64"/>
  <c r="E98" i="64" s="1"/>
  <c r="D82" i="64"/>
  <c r="D98" i="64" s="1"/>
  <c r="C82" i="64"/>
  <c r="C98" i="64" s="1"/>
  <c r="B82" i="64"/>
  <c r="B98" i="64" s="1"/>
  <c r="AI81" i="64"/>
  <c r="AH81" i="64"/>
  <c r="AN80" i="64"/>
  <c r="AI80" i="64"/>
  <c r="AH80" i="64"/>
  <c r="AN79" i="64"/>
  <c r="AN81" i="64" s="1"/>
  <c r="AI79" i="64"/>
  <c r="AH79" i="64"/>
  <c r="AI78" i="64"/>
  <c r="AH78" i="64"/>
  <c r="AI77" i="64"/>
  <c r="AH77" i="64"/>
  <c r="AI76" i="64"/>
  <c r="AH76" i="64"/>
  <c r="AI75" i="64"/>
  <c r="AH75" i="64"/>
  <c r="AI74" i="64"/>
  <c r="AH74" i="64"/>
  <c r="AI73" i="64"/>
  <c r="AH73" i="64"/>
  <c r="AI72" i="64"/>
  <c r="AH72" i="64"/>
  <c r="AI71" i="64"/>
  <c r="AH71" i="64"/>
  <c r="AG70" i="64"/>
  <c r="AF70" i="64"/>
  <c r="AE70" i="64"/>
  <c r="AD70" i="64"/>
  <c r="AC70" i="64"/>
  <c r="AA70" i="64"/>
  <c r="Y70" i="64"/>
  <c r="X70" i="64"/>
  <c r="W70" i="64"/>
  <c r="V70" i="64"/>
  <c r="U70" i="64"/>
  <c r="T70" i="64"/>
  <c r="S70" i="64"/>
  <c r="R70" i="64"/>
  <c r="Q70" i="64"/>
  <c r="P70" i="64"/>
  <c r="O70" i="64"/>
  <c r="N70" i="64"/>
  <c r="M70" i="64"/>
  <c r="L70" i="64"/>
  <c r="B70" i="64"/>
  <c r="AI69" i="64"/>
  <c r="AH69" i="64"/>
  <c r="AI68" i="64"/>
  <c r="AH68" i="64"/>
  <c r="AI67" i="64"/>
  <c r="AH67" i="64"/>
  <c r="AG66" i="64"/>
  <c r="AG3" i="64" s="1"/>
  <c r="AF66" i="64"/>
  <c r="AE66" i="64"/>
  <c r="AD66" i="64"/>
  <c r="AC66" i="64"/>
  <c r="AA66" i="64"/>
  <c r="Y66" i="64"/>
  <c r="X66" i="64"/>
  <c r="W66" i="64"/>
  <c r="V66" i="64"/>
  <c r="U66" i="64"/>
  <c r="T66" i="64"/>
  <c r="S66" i="64"/>
  <c r="R66" i="64"/>
  <c r="Q66" i="64"/>
  <c r="P66" i="64"/>
  <c r="O66" i="64"/>
  <c r="N66" i="64"/>
  <c r="M66" i="64"/>
  <c r="L66" i="64"/>
  <c r="K66" i="64"/>
  <c r="J66" i="64"/>
  <c r="I66" i="64"/>
  <c r="H66" i="64"/>
  <c r="G66" i="64"/>
  <c r="F66" i="64"/>
  <c r="E66" i="64"/>
  <c r="D66" i="64"/>
  <c r="C66" i="64"/>
  <c r="B66" i="64"/>
  <c r="AI65" i="64"/>
  <c r="AH65" i="64"/>
  <c r="AG65" i="64"/>
  <c r="AI64" i="64"/>
  <c r="AH64" i="64"/>
  <c r="AI63" i="64"/>
  <c r="AH63" i="64"/>
  <c r="AI62" i="64"/>
  <c r="AH62" i="64"/>
  <c r="AI61" i="64"/>
  <c r="AH61" i="64"/>
  <c r="AI60" i="64"/>
  <c r="AH60" i="64"/>
  <c r="AI59" i="64"/>
  <c r="AH59" i="64"/>
  <c r="AI58" i="64"/>
  <c r="AH58" i="64"/>
  <c r="AI57" i="64"/>
  <c r="AH57" i="64"/>
  <c r="AI56" i="64"/>
  <c r="AH56" i="64"/>
  <c r="AI55" i="64"/>
  <c r="AH55" i="64"/>
  <c r="AI54" i="64"/>
  <c r="AH54" i="64"/>
  <c r="AI53" i="64"/>
  <c r="AH53" i="64"/>
  <c r="AG52" i="64"/>
  <c r="AF52" i="64"/>
  <c r="AE52" i="64"/>
  <c r="AD52" i="64"/>
  <c r="AC52" i="64"/>
  <c r="AA52" i="64"/>
  <c r="Y52" i="64"/>
  <c r="X52" i="64"/>
  <c r="W52" i="64"/>
  <c r="V52" i="64"/>
  <c r="U52" i="64"/>
  <c r="T52" i="64"/>
  <c r="S52" i="64"/>
  <c r="R52" i="64"/>
  <c r="Q52" i="64"/>
  <c r="P52" i="64"/>
  <c r="O52" i="64"/>
  <c r="N52" i="64"/>
  <c r="M52" i="64"/>
  <c r="L52" i="64"/>
  <c r="K52" i="64"/>
  <c r="J52" i="64"/>
  <c r="I52" i="64"/>
  <c r="H52" i="64"/>
  <c r="G52" i="64"/>
  <c r="F52" i="64"/>
  <c r="E52" i="64"/>
  <c r="D52" i="64"/>
  <c r="C52" i="64"/>
  <c r="B52" i="64"/>
  <c r="AI51" i="64"/>
  <c r="AH51" i="64"/>
  <c r="AI50" i="64"/>
  <c r="AH50" i="64"/>
  <c r="AI49" i="64"/>
  <c r="AH49" i="64"/>
  <c r="AG48" i="64"/>
  <c r="AG87" i="64" s="1"/>
  <c r="AF48" i="64"/>
  <c r="AE48" i="64"/>
  <c r="AD48" i="64"/>
  <c r="AD87" i="64" s="1"/>
  <c r="AD89" i="64" s="1"/>
  <c r="AC48" i="64"/>
  <c r="AB89" i="64"/>
  <c r="AA48" i="64"/>
  <c r="Y48" i="64"/>
  <c r="X48" i="64"/>
  <c r="W48" i="64"/>
  <c r="V48" i="64"/>
  <c r="U48" i="64"/>
  <c r="T48" i="64"/>
  <c r="S48" i="64"/>
  <c r="R48" i="64"/>
  <c r="Q48" i="64"/>
  <c r="P48" i="64"/>
  <c r="O48" i="64"/>
  <c r="N48" i="64"/>
  <c r="M48" i="64"/>
  <c r="L48" i="64"/>
  <c r="K48" i="64"/>
  <c r="J48" i="64"/>
  <c r="I48" i="64"/>
  <c r="H48" i="64"/>
  <c r="G48" i="64"/>
  <c r="F48" i="64"/>
  <c r="E48" i="64"/>
  <c r="D48" i="64"/>
  <c r="C48" i="64"/>
  <c r="B48" i="64"/>
  <c r="AI47" i="64"/>
  <c r="AH47" i="64"/>
  <c r="AI46" i="64"/>
  <c r="AH46" i="64"/>
  <c r="AI45" i="64"/>
  <c r="AH45" i="64"/>
  <c r="AI44" i="64"/>
  <c r="AH44" i="64"/>
  <c r="AI43" i="64"/>
  <c r="AH43" i="64"/>
  <c r="AI42" i="64"/>
  <c r="AH42" i="64"/>
  <c r="AI41" i="64"/>
  <c r="AH41" i="64"/>
  <c r="AI40" i="64"/>
  <c r="AH40" i="64"/>
  <c r="AI39" i="64"/>
  <c r="AH39" i="64"/>
  <c r="AI38" i="64"/>
  <c r="AH38" i="64"/>
  <c r="AI37" i="64"/>
  <c r="AH37" i="64"/>
  <c r="AI36" i="64"/>
  <c r="AH36" i="64"/>
  <c r="AI35" i="64"/>
  <c r="AH35" i="64"/>
  <c r="AI34" i="64"/>
  <c r="AH34" i="64"/>
  <c r="AI33" i="64"/>
  <c r="AH33" i="64"/>
  <c r="AI32" i="64"/>
  <c r="AH32" i="64"/>
  <c r="AI31" i="64"/>
  <c r="AH31" i="64"/>
  <c r="AI30" i="64"/>
  <c r="AH30" i="64"/>
  <c r="AI29" i="64"/>
  <c r="AH29" i="64"/>
  <c r="AI28" i="64"/>
  <c r="AH28" i="64"/>
  <c r="AI27" i="64"/>
  <c r="AH27" i="64"/>
  <c r="AI26" i="64"/>
  <c r="AH26" i="64"/>
  <c r="AI25" i="64"/>
  <c r="AH25" i="64"/>
  <c r="AI24" i="64"/>
  <c r="AH24" i="64"/>
  <c r="AI23" i="64"/>
  <c r="AH23" i="64"/>
  <c r="AI22" i="64"/>
  <c r="AH22" i="64"/>
  <c r="AI21" i="64"/>
  <c r="AH21" i="64"/>
  <c r="AI20" i="64"/>
  <c r="AH20" i="64"/>
  <c r="AI19" i="64"/>
  <c r="AH19" i="64"/>
  <c r="AI18" i="64"/>
  <c r="AH18" i="64"/>
  <c r="AI17" i="64"/>
  <c r="AH17" i="64"/>
  <c r="AI16" i="64"/>
  <c r="AH16" i="64"/>
  <c r="AI15" i="64"/>
  <c r="AH15" i="64"/>
  <c r="AI14" i="64"/>
  <c r="AH14" i="64"/>
  <c r="AI13" i="64"/>
  <c r="AH13" i="64"/>
  <c r="AI12" i="64"/>
  <c r="AH12" i="64"/>
  <c r="AI11" i="64"/>
  <c r="AH11" i="64"/>
  <c r="AB5" i="64"/>
  <c r="AA5" i="64"/>
  <c r="Y5" i="64"/>
  <c r="AG4" i="64"/>
  <c r="K4" i="64"/>
  <c r="E4" i="64"/>
  <c r="H4" i="64" s="1"/>
  <c r="B4" i="64"/>
  <c r="S243" i="64" s="1"/>
  <c r="AG2" i="64"/>
  <c r="AK88" i="63"/>
  <c r="Z48" i="63"/>
  <c r="AA48" i="63"/>
  <c r="AB48" i="63"/>
  <c r="AC48" i="63"/>
  <c r="AD48" i="63"/>
  <c r="AE48" i="63"/>
  <c r="AF48" i="63"/>
  <c r="Y48" i="63"/>
  <c r="W48" i="63"/>
  <c r="AA7" i="63"/>
  <c r="Y111" i="63"/>
  <c r="X48" i="63"/>
  <c r="X52" i="63"/>
  <c r="Y52" i="63"/>
  <c r="X66" i="63"/>
  <c r="Y66" i="63"/>
  <c r="X70" i="63"/>
  <c r="Y70" i="63"/>
  <c r="X82" i="63"/>
  <c r="X98" i="63" s="1"/>
  <c r="Y82" i="63"/>
  <c r="Y98" i="63" s="1"/>
  <c r="Y108" i="63"/>
  <c r="X111" i="63"/>
  <c r="X108" i="63" s="1"/>
  <c r="W111" i="63"/>
  <c r="W52" i="63"/>
  <c r="W66" i="63"/>
  <c r="W70" i="63"/>
  <c r="W82" i="63"/>
  <c r="V111" i="63"/>
  <c r="V48" i="63"/>
  <c r="V52" i="63"/>
  <c r="U111" i="63"/>
  <c r="U48" i="63"/>
  <c r="U52" i="63"/>
  <c r="U66" i="63"/>
  <c r="T111" i="63"/>
  <c r="AN82" i="63"/>
  <c r="AN81" i="63"/>
  <c r="AH57" i="63"/>
  <c r="AI57" i="63"/>
  <c r="AH58" i="63"/>
  <c r="AI58" i="63"/>
  <c r="AH59" i="63"/>
  <c r="AI59" i="63"/>
  <c r="AH60" i="63"/>
  <c r="AI60" i="63"/>
  <c r="AH61" i="63"/>
  <c r="AI61" i="63"/>
  <c r="AH62" i="63"/>
  <c r="AI62" i="63"/>
  <c r="AH63" i="63"/>
  <c r="AI63" i="63"/>
  <c r="AH64" i="63"/>
  <c r="AI64" i="63"/>
  <c r="AH65" i="63"/>
  <c r="AI65" i="63"/>
  <c r="AN79" i="63"/>
  <c r="AN80" i="63"/>
  <c r="AN79" i="62"/>
  <c r="Q111" i="63"/>
  <c r="B82" i="63"/>
  <c r="B98" i="63" s="1"/>
  <c r="B70" i="63"/>
  <c r="B66" i="63"/>
  <c r="B52" i="63"/>
  <c r="B48" i="63"/>
  <c r="AF271" i="63"/>
  <c r="AE271" i="63"/>
  <c r="AD271" i="63"/>
  <c r="AC271" i="63"/>
  <c r="AB271" i="63"/>
  <c r="AA271" i="63"/>
  <c r="Z271" i="63"/>
  <c r="Y271" i="63"/>
  <c r="X271" i="63"/>
  <c r="W271" i="63"/>
  <c r="V271" i="63"/>
  <c r="U271" i="63"/>
  <c r="T271" i="63"/>
  <c r="S271" i="63"/>
  <c r="R271" i="63"/>
  <c r="Q271" i="63"/>
  <c r="P271" i="63"/>
  <c r="O271" i="63"/>
  <c r="N271" i="63"/>
  <c r="M271" i="63"/>
  <c r="L271" i="63"/>
  <c r="K271" i="63"/>
  <c r="J271" i="63"/>
  <c r="I271" i="63"/>
  <c r="H271" i="63"/>
  <c r="G271" i="63"/>
  <c r="F271" i="63"/>
  <c r="E271" i="63"/>
  <c r="D271" i="63"/>
  <c r="C271" i="63"/>
  <c r="B271" i="63"/>
  <c r="A271" i="63"/>
  <c r="AF270" i="63"/>
  <c r="AE270" i="63"/>
  <c r="AD270" i="63"/>
  <c r="AC270" i="63"/>
  <c r="AB270" i="63"/>
  <c r="AA270" i="63"/>
  <c r="Z270" i="63"/>
  <c r="Y270" i="63"/>
  <c r="X270" i="63"/>
  <c r="W270" i="63"/>
  <c r="V270" i="63"/>
  <c r="U270" i="63"/>
  <c r="T270" i="63"/>
  <c r="S270" i="63"/>
  <c r="R270" i="63"/>
  <c r="Q270" i="63"/>
  <c r="P270" i="63"/>
  <c r="O270" i="63"/>
  <c r="N270" i="63"/>
  <c r="M270" i="63"/>
  <c r="L270" i="63"/>
  <c r="K270" i="63"/>
  <c r="J270" i="63"/>
  <c r="I270" i="63"/>
  <c r="H270" i="63"/>
  <c r="G270" i="63"/>
  <c r="F270" i="63"/>
  <c r="E270" i="63"/>
  <c r="D270" i="63"/>
  <c r="C270" i="63"/>
  <c r="B270" i="63"/>
  <c r="A270" i="63"/>
  <c r="AF269" i="63"/>
  <c r="AE269" i="63"/>
  <c r="AD269" i="63"/>
  <c r="AC269" i="63"/>
  <c r="AB269" i="63"/>
  <c r="AA269" i="63"/>
  <c r="Z269" i="63"/>
  <c r="Y269" i="63"/>
  <c r="X269" i="63"/>
  <c r="W269" i="63"/>
  <c r="V269" i="63"/>
  <c r="U269" i="63"/>
  <c r="T269" i="63"/>
  <c r="S269" i="63"/>
  <c r="R269" i="63"/>
  <c r="Q269" i="63"/>
  <c r="P269" i="63"/>
  <c r="O269" i="63"/>
  <c r="N269" i="63"/>
  <c r="M269" i="63"/>
  <c r="L269" i="63"/>
  <c r="K269" i="63"/>
  <c r="J269" i="63"/>
  <c r="I269" i="63"/>
  <c r="H269" i="63"/>
  <c r="G269" i="63"/>
  <c r="F269" i="63"/>
  <c r="E269" i="63"/>
  <c r="D269" i="63"/>
  <c r="C269" i="63"/>
  <c r="B269" i="63"/>
  <c r="A269" i="63"/>
  <c r="AF268" i="63"/>
  <c r="AE268" i="63"/>
  <c r="AD268" i="63"/>
  <c r="AC268" i="63"/>
  <c r="AB268" i="63"/>
  <c r="AA268" i="63"/>
  <c r="Z268" i="63"/>
  <c r="Y268" i="63"/>
  <c r="X268" i="63"/>
  <c r="W268" i="63"/>
  <c r="V268" i="63"/>
  <c r="U268" i="63"/>
  <c r="T268" i="63"/>
  <c r="S268" i="63"/>
  <c r="R268" i="63"/>
  <c r="Q268" i="63"/>
  <c r="P268" i="63"/>
  <c r="O268" i="63"/>
  <c r="N268" i="63"/>
  <c r="M268" i="63"/>
  <c r="L268" i="63"/>
  <c r="K268" i="63"/>
  <c r="J268" i="63"/>
  <c r="I268" i="63"/>
  <c r="H268" i="63"/>
  <c r="G268" i="63"/>
  <c r="F268" i="63"/>
  <c r="E268" i="63"/>
  <c r="D268" i="63"/>
  <c r="C268" i="63"/>
  <c r="B268" i="63"/>
  <c r="A268" i="63"/>
  <c r="AE267" i="63"/>
  <c r="AD267" i="63"/>
  <c r="AC267" i="63"/>
  <c r="AB267" i="63"/>
  <c r="AA267" i="63"/>
  <c r="Z267" i="63"/>
  <c r="Y267" i="63"/>
  <c r="X267" i="63"/>
  <c r="W267" i="63"/>
  <c r="V267" i="63"/>
  <c r="U267" i="63"/>
  <c r="T267" i="63"/>
  <c r="S267" i="63"/>
  <c r="R267" i="63"/>
  <c r="Q267" i="63"/>
  <c r="P267" i="63"/>
  <c r="B267" i="63"/>
  <c r="S242" i="63"/>
  <c r="AG232" i="63"/>
  <c r="AG65" i="63" s="1"/>
  <c r="AG66" i="63" s="1"/>
  <c r="AG3" i="63" s="1"/>
  <c r="AF232" i="63"/>
  <c r="AE232" i="63"/>
  <c r="AD232" i="63"/>
  <c r="AC232" i="63"/>
  <c r="AB232" i="63"/>
  <c r="AA232" i="63"/>
  <c r="Z232" i="63"/>
  <c r="Y232" i="63"/>
  <c r="X232" i="63"/>
  <c r="W232" i="63"/>
  <c r="V232" i="63"/>
  <c r="U232" i="63"/>
  <c r="T232" i="63"/>
  <c r="S232" i="63"/>
  <c r="R232" i="63"/>
  <c r="Q232" i="63"/>
  <c r="C232" i="63"/>
  <c r="D231" i="63"/>
  <c r="E231" i="63" s="1"/>
  <c r="D267" i="63" s="1"/>
  <c r="B231" i="63"/>
  <c r="AF267" i="63" s="1"/>
  <c r="D230" i="63"/>
  <c r="E230" i="63" s="1"/>
  <c r="F230" i="63" s="1"/>
  <c r="G230" i="63" s="1"/>
  <c r="H230" i="63" s="1"/>
  <c r="I230" i="63" s="1"/>
  <c r="J230" i="63" s="1"/>
  <c r="K230" i="63" s="1"/>
  <c r="L230" i="63" s="1"/>
  <c r="M230" i="63" s="1"/>
  <c r="N230" i="63" s="1"/>
  <c r="O230" i="63" s="1"/>
  <c r="P230" i="63" s="1"/>
  <c r="B230" i="63"/>
  <c r="D229" i="63"/>
  <c r="E229" i="63" s="1"/>
  <c r="F229" i="63" s="1"/>
  <c r="G229" i="63" s="1"/>
  <c r="H229" i="63" s="1"/>
  <c r="I229" i="63" s="1"/>
  <c r="B229" i="63"/>
  <c r="D228" i="63"/>
  <c r="E228" i="63" s="1"/>
  <c r="F228" i="63" s="1"/>
  <c r="G228" i="63" s="1"/>
  <c r="H228" i="63" s="1"/>
  <c r="B228" i="63"/>
  <c r="D227" i="63"/>
  <c r="E227" i="63" s="1"/>
  <c r="F227" i="63" s="1"/>
  <c r="G227" i="63" s="1"/>
  <c r="H227" i="63" s="1"/>
  <c r="I227" i="63" s="1"/>
  <c r="J227" i="63" s="1"/>
  <c r="K227" i="63" s="1"/>
  <c r="L227" i="63" s="1"/>
  <c r="M227" i="63" s="1"/>
  <c r="N227" i="63" s="1"/>
  <c r="O227" i="63" s="1"/>
  <c r="P227" i="63" s="1"/>
  <c r="B227" i="63"/>
  <c r="D226" i="63"/>
  <c r="E226" i="63" s="1"/>
  <c r="B226" i="63"/>
  <c r="B108" i="63" s="1"/>
  <c r="AG224" i="63"/>
  <c r="AF224" i="63"/>
  <c r="AE224" i="63"/>
  <c r="AD224" i="63"/>
  <c r="AC224" i="63"/>
  <c r="AB224" i="63"/>
  <c r="AA224" i="63"/>
  <c r="Z224" i="63"/>
  <c r="Y224" i="63"/>
  <c r="X224" i="63"/>
  <c r="W224" i="63"/>
  <c r="V224" i="63"/>
  <c r="U224" i="63"/>
  <c r="T224" i="63"/>
  <c r="S224" i="63"/>
  <c r="R224" i="63"/>
  <c r="Q224" i="63"/>
  <c r="P224" i="63"/>
  <c r="O224" i="63"/>
  <c r="N224" i="63"/>
  <c r="M224" i="63"/>
  <c r="L224" i="63"/>
  <c r="K224" i="63"/>
  <c r="J224" i="63"/>
  <c r="I224" i="63"/>
  <c r="H224" i="63"/>
  <c r="G224" i="63"/>
  <c r="F224" i="63"/>
  <c r="E224" i="63"/>
  <c r="D224" i="63"/>
  <c r="C224" i="63"/>
  <c r="B224" i="63"/>
  <c r="AI117" i="63"/>
  <c r="AH117" i="63"/>
  <c r="AI116" i="63"/>
  <c r="AH116" i="63"/>
  <c r="AI115" i="63"/>
  <c r="AH115" i="63"/>
  <c r="AI114" i="63"/>
  <c r="AH114" i="63"/>
  <c r="AI113" i="63"/>
  <c r="AH113" i="63"/>
  <c r="AI112" i="63"/>
  <c r="AH112" i="63"/>
  <c r="AI111" i="63"/>
  <c r="AH111" i="63"/>
  <c r="AI110" i="63"/>
  <c r="AH110" i="63"/>
  <c r="AI109" i="63"/>
  <c r="AH109" i="63"/>
  <c r="AF108" i="63"/>
  <c r="AE108" i="63"/>
  <c r="AD108" i="63"/>
  <c r="AC108" i="63"/>
  <c r="AB108" i="63"/>
  <c r="AA108" i="63"/>
  <c r="W108" i="63"/>
  <c r="V108" i="63"/>
  <c r="U108" i="63"/>
  <c r="T108" i="63"/>
  <c r="S108" i="63"/>
  <c r="R108" i="63"/>
  <c r="Q108" i="63"/>
  <c r="D108" i="63"/>
  <c r="C108" i="63"/>
  <c r="AI107" i="63"/>
  <c r="AH107" i="63"/>
  <c r="AI106" i="63"/>
  <c r="AH106" i="63"/>
  <c r="AI105" i="63"/>
  <c r="AH105" i="63"/>
  <c r="AI104" i="63"/>
  <c r="AH104" i="63"/>
  <c r="AI103" i="63"/>
  <c r="AH103" i="63"/>
  <c r="AI102" i="63"/>
  <c r="AH102" i="63"/>
  <c r="AI101" i="63"/>
  <c r="AH101" i="63"/>
  <c r="AI100" i="63"/>
  <c r="AH100" i="63"/>
  <c r="AI99" i="63"/>
  <c r="AH99" i="63"/>
  <c r="AI97" i="63"/>
  <c r="AH97" i="63"/>
  <c r="AI96" i="63"/>
  <c r="AH96" i="63"/>
  <c r="AI95" i="63"/>
  <c r="AH95" i="63"/>
  <c r="AI94" i="63"/>
  <c r="AH94" i="63"/>
  <c r="AI93" i="63"/>
  <c r="AH93" i="63"/>
  <c r="AI92" i="63"/>
  <c r="AH92" i="63"/>
  <c r="AI91" i="63"/>
  <c r="AH91" i="63"/>
  <c r="AI88" i="63"/>
  <c r="AH88" i="63"/>
  <c r="AI86" i="63"/>
  <c r="AH86" i="63"/>
  <c r="AG86" i="63"/>
  <c r="AI85" i="63"/>
  <c r="AH85" i="63"/>
  <c r="AI84" i="63"/>
  <c r="AH84" i="63"/>
  <c r="AI83" i="63"/>
  <c r="AH83" i="63"/>
  <c r="AG82" i="63"/>
  <c r="AF82" i="63"/>
  <c r="AF98" i="63" s="1"/>
  <c r="AE82" i="63"/>
  <c r="AE98" i="63" s="1"/>
  <c r="AD82" i="63"/>
  <c r="AC5" i="63" s="1"/>
  <c r="AC82" i="63"/>
  <c r="AC98" i="63" s="1"/>
  <c r="AB82" i="63"/>
  <c r="AB98" i="63" s="1"/>
  <c r="AA98" i="63"/>
  <c r="W98" i="63"/>
  <c r="V82" i="63"/>
  <c r="U5" i="63" s="1"/>
  <c r="U82" i="63"/>
  <c r="U98" i="63" s="1"/>
  <c r="T82" i="63"/>
  <c r="T98" i="63" s="1"/>
  <c r="S82" i="63"/>
  <c r="S98" i="63" s="1"/>
  <c r="R82" i="63"/>
  <c r="R98" i="63" s="1"/>
  <c r="Q82" i="63"/>
  <c r="Q98" i="63" s="1"/>
  <c r="P82" i="63"/>
  <c r="P98" i="63" s="1"/>
  <c r="O82" i="63"/>
  <c r="O98" i="63" s="1"/>
  <c r="N82" i="63"/>
  <c r="M5" i="63" s="1"/>
  <c r="M82" i="63"/>
  <c r="L5" i="63" s="1"/>
  <c r="L82" i="63"/>
  <c r="L98" i="63" s="1"/>
  <c r="K82" i="63"/>
  <c r="J5" i="63" s="1"/>
  <c r="J82" i="63"/>
  <c r="J98" i="63" s="1"/>
  <c r="I82" i="63"/>
  <c r="I98" i="63" s="1"/>
  <c r="H82" i="63"/>
  <c r="H98" i="63" s="1"/>
  <c r="G82" i="63"/>
  <c r="G98" i="63" s="1"/>
  <c r="F82" i="63"/>
  <c r="E5" i="63" s="1"/>
  <c r="E82" i="63"/>
  <c r="D5" i="63" s="1"/>
  <c r="D82" i="63"/>
  <c r="D98" i="63" s="1"/>
  <c r="C82" i="63"/>
  <c r="AI81" i="63"/>
  <c r="AH81" i="63"/>
  <c r="AI80" i="63"/>
  <c r="AH80" i="63"/>
  <c r="AI79" i="63"/>
  <c r="AH79" i="63"/>
  <c r="AI78" i="63"/>
  <c r="AH78" i="63"/>
  <c r="AI77" i="63"/>
  <c r="AH77" i="63"/>
  <c r="AI76" i="63"/>
  <c r="AH76" i="63"/>
  <c r="AI75" i="63"/>
  <c r="AH75" i="63"/>
  <c r="AI74" i="63"/>
  <c r="AH74" i="63"/>
  <c r="AI73" i="63"/>
  <c r="AH73" i="63"/>
  <c r="AI72" i="63"/>
  <c r="AH72" i="63"/>
  <c r="AI71" i="63"/>
  <c r="AH71" i="63"/>
  <c r="AG70" i="63"/>
  <c r="AG4" i="63" s="1"/>
  <c r="AF70" i="63"/>
  <c r="AE70" i="63"/>
  <c r="AD70" i="63"/>
  <c r="AC70" i="63"/>
  <c r="AB70" i="63"/>
  <c r="V70" i="63"/>
  <c r="U70" i="63"/>
  <c r="T70" i="63"/>
  <c r="S70" i="63"/>
  <c r="R70" i="63"/>
  <c r="Q70" i="63"/>
  <c r="P70" i="63"/>
  <c r="O70" i="63"/>
  <c r="N70" i="63"/>
  <c r="M70" i="63"/>
  <c r="L70" i="63"/>
  <c r="AI69" i="63"/>
  <c r="AH69" i="63"/>
  <c r="AI68" i="63"/>
  <c r="AH68" i="63"/>
  <c r="AI67" i="63"/>
  <c r="AH67" i="63"/>
  <c r="AF66" i="63"/>
  <c r="AE66" i="63"/>
  <c r="AD66" i="63"/>
  <c r="AC66" i="63"/>
  <c r="AB66" i="63"/>
  <c r="V66" i="63"/>
  <c r="T66" i="63"/>
  <c r="S66" i="63"/>
  <c r="R66" i="63"/>
  <c r="Q66" i="63"/>
  <c r="P66" i="63"/>
  <c r="O66" i="63"/>
  <c r="N66" i="63"/>
  <c r="M66" i="63"/>
  <c r="L66" i="63"/>
  <c r="K66" i="63"/>
  <c r="J66" i="63"/>
  <c r="I66" i="63"/>
  <c r="H66" i="63"/>
  <c r="G66" i="63"/>
  <c r="F66" i="63"/>
  <c r="E66" i="63"/>
  <c r="D66" i="63"/>
  <c r="C66" i="63"/>
  <c r="AI56" i="63"/>
  <c r="AH56" i="63"/>
  <c r="AI55" i="63"/>
  <c r="AH55" i="63"/>
  <c r="AI54" i="63"/>
  <c r="AH54" i="63"/>
  <c r="AI53" i="63"/>
  <c r="AH53" i="63"/>
  <c r="AG52" i="63"/>
  <c r="AF52" i="63"/>
  <c r="AE52" i="63"/>
  <c r="AD52" i="63"/>
  <c r="AC52" i="63"/>
  <c r="AB52" i="63"/>
  <c r="T52" i="63"/>
  <c r="S52" i="63"/>
  <c r="R52" i="63"/>
  <c r="Q52" i="63"/>
  <c r="P52" i="63"/>
  <c r="O52" i="63"/>
  <c r="N52" i="63"/>
  <c r="M52" i="63"/>
  <c r="L52" i="63"/>
  <c r="K52" i="63"/>
  <c r="J52" i="63"/>
  <c r="I52" i="63"/>
  <c r="H52" i="63"/>
  <c r="G52" i="63"/>
  <c r="F52" i="63"/>
  <c r="E52" i="63"/>
  <c r="D52" i="63"/>
  <c r="C52" i="63"/>
  <c r="AI51" i="63"/>
  <c r="AH51" i="63"/>
  <c r="AI50" i="63"/>
  <c r="AH50" i="63"/>
  <c r="AI49" i="63"/>
  <c r="AH49" i="63"/>
  <c r="AG48" i="63"/>
  <c r="T48" i="63"/>
  <c r="S48" i="63"/>
  <c r="R48" i="63"/>
  <c r="Q48" i="63"/>
  <c r="P48" i="63"/>
  <c r="O48" i="63"/>
  <c r="N48" i="63"/>
  <c r="M48" i="63"/>
  <c r="L48" i="63"/>
  <c r="K48" i="63"/>
  <c r="J48" i="63"/>
  <c r="I48" i="63"/>
  <c r="H48" i="63"/>
  <c r="G48" i="63"/>
  <c r="F48" i="63"/>
  <c r="E48" i="63"/>
  <c r="D48" i="63"/>
  <c r="C48" i="63"/>
  <c r="AI47" i="63"/>
  <c r="AH47" i="63"/>
  <c r="AI46" i="63"/>
  <c r="AH46" i="63"/>
  <c r="AI45" i="63"/>
  <c r="AH45" i="63"/>
  <c r="AI44" i="63"/>
  <c r="AH44" i="63"/>
  <c r="AI43" i="63"/>
  <c r="AH43" i="63"/>
  <c r="AI42" i="63"/>
  <c r="AH42" i="63"/>
  <c r="AI41" i="63"/>
  <c r="AH41" i="63"/>
  <c r="AI40" i="63"/>
  <c r="AH40" i="63"/>
  <c r="AI39" i="63"/>
  <c r="AH39" i="63"/>
  <c r="AI38" i="63"/>
  <c r="AH38" i="63"/>
  <c r="AI37" i="63"/>
  <c r="AH37" i="63"/>
  <c r="AI36" i="63"/>
  <c r="AH36" i="63"/>
  <c r="AI35" i="63"/>
  <c r="AH35" i="63"/>
  <c r="AI34" i="63"/>
  <c r="AH34" i="63"/>
  <c r="AI33" i="63"/>
  <c r="AH33" i="63"/>
  <c r="AI32" i="63"/>
  <c r="AH32" i="63"/>
  <c r="AI31" i="63"/>
  <c r="AH31" i="63"/>
  <c r="AI30" i="63"/>
  <c r="AH30" i="63"/>
  <c r="AI29" i="63"/>
  <c r="AH29" i="63"/>
  <c r="AI28" i="63"/>
  <c r="AH28" i="63"/>
  <c r="AI27" i="63"/>
  <c r="AH27" i="63"/>
  <c r="AI26" i="63"/>
  <c r="AH26" i="63"/>
  <c r="AI25" i="63"/>
  <c r="AH25" i="63"/>
  <c r="AI24" i="63"/>
  <c r="AH24" i="63"/>
  <c r="AI23" i="63"/>
  <c r="AH23" i="63"/>
  <c r="AI22" i="63"/>
  <c r="AH22" i="63"/>
  <c r="AI21" i="63"/>
  <c r="AH21" i="63"/>
  <c r="AI20" i="63"/>
  <c r="AH20" i="63"/>
  <c r="AI19" i="63"/>
  <c r="AH19" i="63"/>
  <c r="AI18" i="63"/>
  <c r="AH18" i="63"/>
  <c r="AI17" i="63"/>
  <c r="AH17" i="63"/>
  <c r="AI16" i="63"/>
  <c r="AH16" i="63"/>
  <c r="AI15" i="63"/>
  <c r="AH15" i="63"/>
  <c r="AI14" i="63"/>
  <c r="AH14" i="63"/>
  <c r="AI13" i="63"/>
  <c r="AH13" i="63"/>
  <c r="AI12" i="63"/>
  <c r="AH12" i="63"/>
  <c r="AI11" i="63"/>
  <c r="AH11" i="63"/>
  <c r="AF5" i="63"/>
  <c r="Z5" i="63"/>
  <c r="Y5" i="63"/>
  <c r="X5" i="63"/>
  <c r="V5" i="63"/>
  <c r="K4" i="63"/>
  <c r="E4" i="63"/>
  <c r="H4" i="63" s="1"/>
  <c r="B4" i="63"/>
  <c r="S243" i="63" s="1"/>
  <c r="AG2" i="63"/>
  <c r="AA111" i="62"/>
  <c r="AA98" i="62"/>
  <c r="AA70" i="62"/>
  <c r="AA48" i="62"/>
  <c r="Y111" i="62"/>
  <c r="Y48" i="62"/>
  <c r="Y52" i="62"/>
  <c r="Y66" i="62"/>
  <c r="Y70" i="62"/>
  <c r="Y82" i="62"/>
  <c r="X111" i="62"/>
  <c r="X48" i="62"/>
  <c r="X52" i="62"/>
  <c r="X66" i="62"/>
  <c r="X70" i="62"/>
  <c r="X82" i="62"/>
  <c r="X98" i="62" s="1"/>
  <c r="X108" i="62"/>
  <c r="W111" i="62"/>
  <c r="W48" i="62"/>
  <c r="W52" i="62"/>
  <c r="W66" i="62"/>
  <c r="W70" i="62"/>
  <c r="U111" i="62"/>
  <c r="T48" i="62"/>
  <c r="U48" i="62"/>
  <c r="V48" i="62"/>
  <c r="T52" i="62"/>
  <c r="U52" i="62"/>
  <c r="V52" i="62"/>
  <c r="V87" i="62" s="1"/>
  <c r="V89" i="62" s="1"/>
  <c r="V90" i="62" s="1"/>
  <c r="T66" i="62"/>
  <c r="U66" i="62"/>
  <c r="V66" i="62"/>
  <c r="T70" i="62"/>
  <c r="U70" i="62"/>
  <c r="V70" i="62"/>
  <c r="V73" i="62"/>
  <c r="T82" i="62"/>
  <c r="T98" i="62" s="1"/>
  <c r="U82" i="62"/>
  <c r="U98" i="62" s="1"/>
  <c r="V82" i="62"/>
  <c r="V98" i="62" s="1"/>
  <c r="U108" i="62"/>
  <c r="V108" i="62"/>
  <c r="T111" i="62"/>
  <c r="T108" i="62" s="1"/>
  <c r="V111" i="62"/>
  <c r="S111" i="62"/>
  <c r="S73" i="62"/>
  <c r="N267" i="69" l="1"/>
  <c r="P231" i="69"/>
  <c r="O267" i="69" s="1"/>
  <c r="O226" i="69"/>
  <c r="N108" i="69"/>
  <c r="O231" i="68"/>
  <c r="M267" i="68"/>
  <c r="O226" i="68"/>
  <c r="N108" i="68"/>
  <c r="J108" i="67"/>
  <c r="K226" i="67"/>
  <c r="K231" i="67"/>
  <c r="I267" i="67"/>
  <c r="K231" i="66"/>
  <c r="I267" i="66"/>
  <c r="J108" i="66"/>
  <c r="K226" i="66"/>
  <c r="K6" i="65"/>
  <c r="A7" i="65"/>
  <c r="G267" i="65"/>
  <c r="I231" i="65"/>
  <c r="AH90" i="65"/>
  <c r="AI90" i="65"/>
  <c r="F232" i="65"/>
  <c r="G226" i="65"/>
  <c r="AE87" i="64"/>
  <c r="AE89" i="64" s="1"/>
  <c r="AE5" i="64"/>
  <c r="AD98" i="64"/>
  <c r="AF87" i="64"/>
  <c r="AF89" i="64" s="1"/>
  <c r="AF7" i="64" s="1"/>
  <c r="AC87" i="64"/>
  <c r="AC89" i="64" s="1"/>
  <c r="AC90" i="64" s="1"/>
  <c r="AA87" i="64"/>
  <c r="AA89" i="64" s="1"/>
  <c r="AA90" i="64" s="1"/>
  <c r="Z5" i="64"/>
  <c r="Y87" i="64"/>
  <c r="Y89" i="64" s="1"/>
  <c r="Y7" i="64" s="1"/>
  <c r="X98" i="64"/>
  <c r="X87" i="64"/>
  <c r="X89" i="64" s="1"/>
  <c r="AP246" i="64" s="1"/>
  <c r="W87" i="64"/>
  <c r="W89" i="64" s="1"/>
  <c r="AO246" i="64" s="1"/>
  <c r="V98" i="64"/>
  <c r="V87" i="64"/>
  <c r="V89" i="64" s="1"/>
  <c r="V7" i="64" s="1"/>
  <c r="T5" i="64"/>
  <c r="U87" i="64"/>
  <c r="U89" i="64" s="1"/>
  <c r="U7" i="64" s="1"/>
  <c r="S5" i="64"/>
  <c r="T87" i="64"/>
  <c r="T89" i="64" s="1"/>
  <c r="T90" i="64" s="1"/>
  <c r="R5" i="64"/>
  <c r="S87" i="64"/>
  <c r="S89" i="64" s="1"/>
  <c r="S90" i="64" s="1"/>
  <c r="Q5" i="64"/>
  <c r="R87" i="64"/>
  <c r="R89" i="64" s="1"/>
  <c r="AJ246" i="64" s="1"/>
  <c r="Q87" i="64"/>
  <c r="Q89" i="64" s="1"/>
  <c r="Q90" i="64" s="1"/>
  <c r="O5" i="64"/>
  <c r="P87" i="64"/>
  <c r="P89" i="64" s="1"/>
  <c r="P90" i="64" s="1"/>
  <c r="O87" i="64"/>
  <c r="O89" i="64" s="1"/>
  <c r="O7" i="64" s="1"/>
  <c r="N87" i="64"/>
  <c r="N89" i="64" s="1"/>
  <c r="N7" i="64" s="1"/>
  <c r="M5" i="64"/>
  <c r="L5" i="64"/>
  <c r="M87" i="64"/>
  <c r="M89" i="64" s="1"/>
  <c r="M7" i="64" s="1"/>
  <c r="K5" i="64"/>
  <c r="L87" i="64"/>
  <c r="L89" i="64" s="1"/>
  <c r="L90" i="64" s="1"/>
  <c r="AI70" i="64"/>
  <c r="J5" i="64"/>
  <c r="K87" i="64"/>
  <c r="K89" i="64" s="1"/>
  <c r="K90" i="64" s="1"/>
  <c r="I5" i="64"/>
  <c r="J87" i="64"/>
  <c r="J89" i="64" s="1"/>
  <c r="J7" i="64" s="1"/>
  <c r="I87" i="64"/>
  <c r="I89" i="64" s="1"/>
  <c r="I90" i="64" s="1"/>
  <c r="H98" i="64"/>
  <c r="H87" i="64"/>
  <c r="H89" i="64" s="1"/>
  <c r="H7" i="64" s="1"/>
  <c r="G87" i="64"/>
  <c r="G89" i="64" s="1"/>
  <c r="Y246" i="64" s="1"/>
  <c r="AI52" i="64"/>
  <c r="F87" i="64"/>
  <c r="F89" i="64" s="1"/>
  <c r="X246" i="64" s="1"/>
  <c r="E5" i="64"/>
  <c r="D87" i="64"/>
  <c r="D89" i="64" s="1"/>
  <c r="D7" i="64" s="1"/>
  <c r="C5" i="64"/>
  <c r="D5" i="64"/>
  <c r="E87" i="64"/>
  <c r="E89" i="64" s="1"/>
  <c r="E7" i="64" s="1"/>
  <c r="B5" i="64"/>
  <c r="C87" i="64"/>
  <c r="C89" i="64" s="1"/>
  <c r="C7" i="64" s="1"/>
  <c r="AH66" i="64"/>
  <c r="AF5" i="64"/>
  <c r="AI66" i="64"/>
  <c r="AH70" i="64"/>
  <c r="B87" i="64"/>
  <c r="B89" i="64" s="1"/>
  <c r="D243" i="64"/>
  <c r="AB90" i="64"/>
  <c r="AB7" i="64"/>
  <c r="AT246" i="64"/>
  <c r="AG6" i="64"/>
  <c r="AC7" i="64"/>
  <c r="AU246" i="64"/>
  <c r="C90" i="64"/>
  <c r="U246" i="64"/>
  <c r="F90" i="64"/>
  <c r="AD7" i="64"/>
  <c r="AV246" i="64"/>
  <c r="AD90" i="64"/>
  <c r="J229" i="64"/>
  <c r="K229" i="64" s="1"/>
  <c r="L229" i="64" s="1"/>
  <c r="M229" i="64" s="1"/>
  <c r="N229" i="64" s="1"/>
  <c r="O229" i="64" s="1"/>
  <c r="P229" i="64" s="1"/>
  <c r="AR246" i="64"/>
  <c r="Z7" i="64"/>
  <c r="AG246" i="64"/>
  <c r="W90" i="64"/>
  <c r="W7" i="64"/>
  <c r="AW246" i="64"/>
  <c r="AE90" i="64"/>
  <c r="AE7" i="64"/>
  <c r="G98" i="64"/>
  <c r="O98" i="64"/>
  <c r="W98" i="64"/>
  <c r="AE98" i="64"/>
  <c r="D108" i="64"/>
  <c r="E231" i="64"/>
  <c r="AH82" i="64"/>
  <c r="I98" i="64"/>
  <c r="Q98" i="64"/>
  <c r="Y98" i="64"/>
  <c r="E226" i="64"/>
  <c r="AH48" i="64"/>
  <c r="AH52" i="64"/>
  <c r="AI82" i="64"/>
  <c r="AI48" i="64"/>
  <c r="AE5" i="63"/>
  <c r="AD5" i="63"/>
  <c r="AE87" i="63"/>
  <c r="AE89" i="63" s="1"/>
  <c r="AB5" i="63"/>
  <c r="X87" i="63"/>
  <c r="X89" i="63" s="1"/>
  <c r="X90" i="63" s="1"/>
  <c r="Y87" i="63"/>
  <c r="Y89" i="63" s="1"/>
  <c r="Y90" i="63" s="1"/>
  <c r="W87" i="63"/>
  <c r="W89" i="63" s="1"/>
  <c r="AO246" i="63" s="1"/>
  <c r="T5" i="63"/>
  <c r="R5" i="63"/>
  <c r="T87" i="63"/>
  <c r="T89" i="63" s="1"/>
  <c r="AL246" i="63" s="1"/>
  <c r="AB87" i="63"/>
  <c r="AB89" i="63" s="1"/>
  <c r="AT246" i="63" s="1"/>
  <c r="AF87" i="63"/>
  <c r="AF89" i="63" s="1"/>
  <c r="AF7" i="63" s="1"/>
  <c r="AG89" i="63"/>
  <c r="D232" i="63"/>
  <c r="W5" i="63"/>
  <c r="S87" i="63"/>
  <c r="S89" i="63" s="1"/>
  <c r="AI70" i="63"/>
  <c r="B232" i="63"/>
  <c r="C267" i="63"/>
  <c r="AG6" i="63"/>
  <c r="U87" i="63"/>
  <c r="U89" i="63" s="1"/>
  <c r="AM246" i="63" s="1"/>
  <c r="AC87" i="63"/>
  <c r="AC89" i="63" s="1"/>
  <c r="V87" i="63"/>
  <c r="V89" i="63" s="1"/>
  <c r="AN246" i="63" s="1"/>
  <c r="AD87" i="63"/>
  <c r="AD89" i="63" s="1"/>
  <c r="AD90" i="63" s="1"/>
  <c r="Q5" i="63"/>
  <c r="R87" i="63"/>
  <c r="R89" i="63" s="1"/>
  <c r="P5" i="63"/>
  <c r="Q87" i="63"/>
  <c r="Q89" i="63" s="1"/>
  <c r="O5" i="63"/>
  <c r="P87" i="63"/>
  <c r="P89" i="63" s="1"/>
  <c r="P90" i="63" s="1"/>
  <c r="N5" i="63"/>
  <c r="O87" i="63"/>
  <c r="O89" i="63" s="1"/>
  <c r="N87" i="63"/>
  <c r="N89" i="63" s="1"/>
  <c r="AF246" i="63" s="1"/>
  <c r="M98" i="63"/>
  <c r="M87" i="63"/>
  <c r="M89" i="63" s="1"/>
  <c r="M90" i="63" s="1"/>
  <c r="K98" i="63"/>
  <c r="I5" i="63"/>
  <c r="H5" i="63"/>
  <c r="I87" i="63"/>
  <c r="I89" i="63" s="1"/>
  <c r="I90" i="63" s="1"/>
  <c r="AI52" i="63"/>
  <c r="J87" i="63"/>
  <c r="J89" i="63" s="1"/>
  <c r="J90" i="63" s="1"/>
  <c r="K87" i="63"/>
  <c r="K89" i="63" s="1"/>
  <c r="K90" i="63" s="1"/>
  <c r="G5" i="63"/>
  <c r="F5" i="63"/>
  <c r="G87" i="63"/>
  <c r="G89" i="63" s="1"/>
  <c r="Y246" i="63" s="1"/>
  <c r="F87" i="63"/>
  <c r="F89" i="63" s="1"/>
  <c r="F90" i="63" s="1"/>
  <c r="E98" i="63"/>
  <c r="L87" i="63"/>
  <c r="L89" i="63" s="1"/>
  <c r="L90" i="63" s="1"/>
  <c r="H87" i="63"/>
  <c r="H89" i="63" s="1"/>
  <c r="H90" i="63" s="1"/>
  <c r="AH66" i="63"/>
  <c r="E87" i="63"/>
  <c r="E89" i="63" s="1"/>
  <c r="E7" i="63" s="1"/>
  <c r="AI82" i="63"/>
  <c r="D87" i="63"/>
  <c r="D89" i="63" s="1"/>
  <c r="V246" i="63" s="1"/>
  <c r="AI66" i="63"/>
  <c r="AI48" i="63"/>
  <c r="B5" i="63"/>
  <c r="AH82" i="63"/>
  <c r="C98" i="63"/>
  <c r="AH52" i="63"/>
  <c r="AH48" i="63"/>
  <c r="B87" i="63"/>
  <c r="B89" i="63" s="1"/>
  <c r="B90" i="63" s="1"/>
  <c r="X246" i="63"/>
  <c r="AE90" i="63"/>
  <c r="AW246" i="63"/>
  <c r="AE7" i="63"/>
  <c r="Z7" i="63"/>
  <c r="AR246" i="63"/>
  <c r="AF90" i="63"/>
  <c r="Q90" i="63"/>
  <c r="Q7" i="63"/>
  <c r="AI246" i="63"/>
  <c r="Y7" i="63"/>
  <c r="AQ246" i="63"/>
  <c r="AG87" i="63"/>
  <c r="F226" i="63"/>
  <c r="E108" i="63"/>
  <c r="E232" i="63"/>
  <c r="V7" i="63"/>
  <c r="X7" i="63"/>
  <c r="AP246" i="63"/>
  <c r="W7" i="63"/>
  <c r="AS246" i="63"/>
  <c r="AB246" i="63"/>
  <c r="AV246" i="63"/>
  <c r="O90" i="63"/>
  <c r="AG246" i="63"/>
  <c r="O7" i="63"/>
  <c r="J229" i="63"/>
  <c r="K229" i="63" s="1"/>
  <c r="L229" i="63" s="1"/>
  <c r="M229" i="63" s="1"/>
  <c r="N229" i="63" s="1"/>
  <c r="O229" i="63" s="1"/>
  <c r="P229" i="63" s="1"/>
  <c r="S90" i="63"/>
  <c r="S7" i="63"/>
  <c r="AK246" i="63"/>
  <c r="T90" i="63"/>
  <c r="T7" i="63"/>
  <c r="U7" i="63"/>
  <c r="AC7" i="63"/>
  <c r="AU246" i="63"/>
  <c r="AC90" i="63"/>
  <c r="R7" i="63"/>
  <c r="AJ246" i="63"/>
  <c r="R90" i="63"/>
  <c r="AH70" i="63"/>
  <c r="C87" i="63"/>
  <c r="C89" i="63" s="1"/>
  <c r="F98" i="63"/>
  <c r="N98" i="63"/>
  <c r="V98" i="63"/>
  <c r="AD98" i="63"/>
  <c r="D243" i="63"/>
  <c r="F231" i="63"/>
  <c r="C5" i="63"/>
  <c r="K5" i="63"/>
  <c r="S5" i="63"/>
  <c r="AA5" i="63"/>
  <c r="Y87" i="62"/>
  <c r="Y89" i="62" s="1"/>
  <c r="Y90" i="62" s="1"/>
  <c r="X87" i="62"/>
  <c r="X89" i="62" s="1"/>
  <c r="X90" i="62" s="1"/>
  <c r="T87" i="62"/>
  <c r="T89" i="62" s="1"/>
  <c r="T90" i="62" s="1"/>
  <c r="U87" i="62"/>
  <c r="U89" i="62" s="1"/>
  <c r="U90" i="62" s="1"/>
  <c r="P226" i="69" l="1"/>
  <c r="O108" i="69"/>
  <c r="P226" i="68"/>
  <c r="O108" i="68"/>
  <c r="N267" i="68"/>
  <c r="P231" i="68"/>
  <c r="O267" i="68" s="1"/>
  <c r="J267" i="67"/>
  <c r="L231" i="67"/>
  <c r="L226" i="67"/>
  <c r="K108" i="67"/>
  <c r="L226" i="66"/>
  <c r="K108" i="66"/>
  <c r="J267" i="66"/>
  <c r="L231" i="66"/>
  <c r="Y90" i="64"/>
  <c r="F7" i="64"/>
  <c r="AD246" i="64"/>
  <c r="L7" i="64"/>
  <c r="D90" i="64"/>
  <c r="J90" i="64"/>
  <c r="H226" i="65"/>
  <c r="G232" i="65"/>
  <c r="H267" i="65"/>
  <c r="J231" i="65"/>
  <c r="AF90" i="64"/>
  <c r="AX246" i="64"/>
  <c r="AS246" i="64"/>
  <c r="AA7" i="64"/>
  <c r="AQ246" i="64"/>
  <c r="X7" i="64"/>
  <c r="X90" i="64"/>
  <c r="V90" i="64"/>
  <c r="AN246" i="64"/>
  <c r="U90" i="64"/>
  <c r="AM246" i="64"/>
  <c r="AL246" i="64"/>
  <c r="T7" i="64"/>
  <c r="S7" i="64"/>
  <c r="AK246" i="64"/>
  <c r="O90" i="64"/>
  <c r="R7" i="64"/>
  <c r="R90" i="64"/>
  <c r="AI246" i="64"/>
  <c r="Q7" i="64"/>
  <c r="AH246" i="64"/>
  <c r="P7" i="64"/>
  <c r="N90" i="64"/>
  <c r="AF246" i="64"/>
  <c r="M90" i="64"/>
  <c r="AE246" i="64"/>
  <c r="AC246" i="64"/>
  <c r="K7" i="64"/>
  <c r="AB246" i="64"/>
  <c r="I7" i="64"/>
  <c r="AA246" i="64"/>
  <c r="H90" i="64"/>
  <c r="AI98" i="64"/>
  <c r="Z246" i="64"/>
  <c r="G7" i="64"/>
  <c r="G90" i="64"/>
  <c r="B241" i="64"/>
  <c r="C241" i="64"/>
  <c r="E90" i="64"/>
  <c r="W246" i="64"/>
  <c r="V246" i="64"/>
  <c r="AH87" i="64"/>
  <c r="AI87" i="64"/>
  <c r="AX246" i="63"/>
  <c r="F226" i="64"/>
  <c r="E108" i="64"/>
  <c r="E232" i="64"/>
  <c r="F231" i="64"/>
  <c r="D267" i="64"/>
  <c r="B90" i="64"/>
  <c r="T246" i="64"/>
  <c r="AI89" i="64"/>
  <c r="AH89" i="64"/>
  <c r="B7" i="64"/>
  <c r="AH98" i="64"/>
  <c r="AB7" i="63"/>
  <c r="AB90" i="63"/>
  <c r="V90" i="63"/>
  <c r="W90" i="63"/>
  <c r="U90" i="63"/>
  <c r="N7" i="63"/>
  <c r="N90" i="63"/>
  <c r="D90" i="63"/>
  <c r="T246" i="63"/>
  <c r="D7" i="63"/>
  <c r="B7" i="63"/>
  <c r="AH246" i="63"/>
  <c r="AD7" i="63"/>
  <c r="P7" i="63"/>
  <c r="AH98" i="63"/>
  <c r="AE246" i="63"/>
  <c r="M7" i="63"/>
  <c r="J7" i="63"/>
  <c r="AC246" i="63"/>
  <c r="AA246" i="63"/>
  <c r="L7" i="63"/>
  <c r="AD246" i="63"/>
  <c r="I7" i="63"/>
  <c r="K7" i="63"/>
  <c r="Z246" i="63"/>
  <c r="B241" i="63"/>
  <c r="H7" i="63"/>
  <c r="C241" i="63"/>
  <c r="G90" i="63"/>
  <c r="G7" i="63"/>
  <c r="F7" i="63"/>
  <c r="E90" i="63"/>
  <c r="W246" i="63"/>
  <c r="AI98" i="63"/>
  <c r="E267" i="63"/>
  <c r="G231" i="63"/>
  <c r="C90" i="63"/>
  <c r="C7" i="63"/>
  <c r="U246" i="63"/>
  <c r="AH87" i="63"/>
  <c r="G226" i="63"/>
  <c r="F108" i="63"/>
  <c r="F232" i="63"/>
  <c r="AI89" i="63"/>
  <c r="AI87" i="63"/>
  <c r="AH89" i="63"/>
  <c r="AH108" i="69" l="1"/>
  <c r="AI108" i="69"/>
  <c r="AI108" i="68"/>
  <c r="AH108" i="68"/>
  <c r="M226" i="67"/>
  <c r="L108" i="67"/>
  <c r="K267" i="67"/>
  <c r="M231" i="67"/>
  <c r="K267" i="66"/>
  <c r="M231" i="66"/>
  <c r="M226" i="66"/>
  <c r="L108" i="66"/>
  <c r="K231" i="65"/>
  <c r="I267" i="65"/>
  <c r="I226" i="65"/>
  <c r="H232" i="65"/>
  <c r="A7" i="64"/>
  <c r="K6" i="64"/>
  <c r="AI90" i="64"/>
  <c r="AH90" i="64"/>
  <c r="E267" i="64"/>
  <c r="G231" i="64"/>
  <c r="G226" i="64"/>
  <c r="F108" i="64"/>
  <c r="F232" i="64"/>
  <c r="AH90" i="63"/>
  <c r="AI90" i="63"/>
  <c r="K6" i="63"/>
  <c r="A7" i="63"/>
  <c r="F267" i="63"/>
  <c r="H231" i="63"/>
  <c r="H226" i="63"/>
  <c r="G108" i="63"/>
  <c r="G232" i="63"/>
  <c r="N226" i="67" l="1"/>
  <c r="M108" i="67"/>
  <c r="L267" i="67"/>
  <c r="N231" i="67"/>
  <c r="N226" i="66"/>
  <c r="M108" i="66"/>
  <c r="L267" i="66"/>
  <c r="N231" i="66"/>
  <c r="I108" i="65"/>
  <c r="J226" i="65"/>
  <c r="J267" i="65"/>
  <c r="L231" i="65"/>
  <c r="F267" i="64"/>
  <c r="H231" i="64"/>
  <c r="H226" i="64"/>
  <c r="G108" i="64"/>
  <c r="G232" i="64"/>
  <c r="H108" i="63"/>
  <c r="H232" i="63"/>
  <c r="I226" i="63"/>
  <c r="G267" i="63"/>
  <c r="I231" i="63"/>
  <c r="O231" i="67" l="1"/>
  <c r="M267" i="67"/>
  <c r="O226" i="67"/>
  <c r="N108" i="67"/>
  <c r="O231" i="66"/>
  <c r="M267" i="66"/>
  <c r="N108" i="66"/>
  <c r="O226" i="66"/>
  <c r="J108" i="65"/>
  <c r="K226" i="65"/>
  <c r="K267" i="65"/>
  <c r="M231" i="65"/>
  <c r="I226" i="64"/>
  <c r="H108" i="64"/>
  <c r="H232" i="64"/>
  <c r="G267" i="64"/>
  <c r="I231" i="64"/>
  <c r="J231" i="63"/>
  <c r="H267" i="63"/>
  <c r="I108" i="63"/>
  <c r="J226" i="63"/>
  <c r="P226" i="67" l="1"/>
  <c r="O108" i="67"/>
  <c r="P231" i="67"/>
  <c r="O267" i="67" s="1"/>
  <c r="N267" i="67"/>
  <c r="P226" i="66"/>
  <c r="O108" i="66"/>
  <c r="P231" i="66"/>
  <c r="O267" i="66" s="1"/>
  <c r="N267" i="66"/>
  <c r="L267" i="65"/>
  <c r="N231" i="65"/>
  <c r="L226" i="65"/>
  <c r="K108" i="65"/>
  <c r="H267" i="64"/>
  <c r="J231" i="64"/>
  <c r="I108" i="64"/>
  <c r="J226" i="64"/>
  <c r="K226" i="63"/>
  <c r="J108" i="63"/>
  <c r="K231" i="63"/>
  <c r="I267" i="63"/>
  <c r="AI108" i="67" l="1"/>
  <c r="AH108" i="67"/>
  <c r="AH108" i="66"/>
  <c r="AI108" i="66"/>
  <c r="M226" i="65"/>
  <c r="L108" i="65"/>
  <c r="M267" i="65"/>
  <c r="O231" i="65"/>
  <c r="J108" i="64"/>
  <c r="K226" i="64"/>
  <c r="K231" i="64"/>
  <c r="I267" i="64"/>
  <c r="J267" i="63"/>
  <c r="L231" i="63"/>
  <c r="L226" i="63"/>
  <c r="K108" i="63"/>
  <c r="N267" i="65" l="1"/>
  <c r="P231" i="65"/>
  <c r="O267" i="65" s="1"/>
  <c r="N226" i="65"/>
  <c r="L226" i="64"/>
  <c r="K108" i="64"/>
  <c r="J267" i="64"/>
  <c r="L231" i="64"/>
  <c r="M226" i="63"/>
  <c r="L108" i="63"/>
  <c r="K267" i="63"/>
  <c r="M231" i="63"/>
  <c r="O226" i="65" l="1"/>
  <c r="K267" i="64"/>
  <c r="M231" i="64"/>
  <c r="M226" i="64"/>
  <c r="L108" i="64"/>
  <c r="L267" i="63"/>
  <c r="N231" i="63"/>
  <c r="N226" i="63"/>
  <c r="M108" i="63"/>
  <c r="P226" i="65" l="1"/>
  <c r="O108" i="65"/>
  <c r="M108" i="64"/>
  <c r="N226" i="64"/>
  <c r="N231" i="64"/>
  <c r="L267" i="64"/>
  <c r="O226" i="63"/>
  <c r="N108" i="63"/>
  <c r="M267" i="63"/>
  <c r="O231" i="63"/>
  <c r="AI108" i="65" l="1"/>
  <c r="AH108" i="65"/>
  <c r="M267" i="64"/>
  <c r="O231" i="64"/>
  <c r="O226" i="64"/>
  <c r="N108" i="64"/>
  <c r="N267" i="63"/>
  <c r="P231" i="63"/>
  <c r="O267" i="63" s="1"/>
  <c r="P226" i="63"/>
  <c r="O108" i="63"/>
  <c r="P226" i="64" l="1"/>
  <c r="O108" i="64"/>
  <c r="N267" i="64"/>
  <c r="P231" i="64"/>
  <c r="O267" i="64" s="1"/>
  <c r="AI108" i="63"/>
  <c r="AH108" i="63"/>
  <c r="AI108" i="64" l="1"/>
  <c r="AH108" i="64"/>
  <c r="O111" i="62" l="1"/>
  <c r="C70" i="62"/>
  <c r="D70" i="62"/>
  <c r="E70" i="62"/>
  <c r="F70" i="62"/>
  <c r="G70" i="62"/>
  <c r="H70" i="62"/>
  <c r="I70" i="62"/>
  <c r="J70" i="62"/>
  <c r="K70" i="62"/>
  <c r="L70" i="62"/>
  <c r="M70" i="62"/>
  <c r="N70" i="62"/>
  <c r="O70" i="62"/>
  <c r="P70" i="62"/>
  <c r="Q70" i="62"/>
  <c r="R70" i="62"/>
  <c r="S70" i="62"/>
  <c r="AB70" i="62"/>
  <c r="AC70" i="62"/>
  <c r="AD70" i="62"/>
  <c r="AE70" i="62"/>
  <c r="AF70" i="62"/>
  <c r="B48" i="62"/>
  <c r="B52" i="62"/>
  <c r="B66" i="62"/>
  <c r="B70" i="62"/>
  <c r="B82" i="62"/>
  <c r="B98" i="62" s="1"/>
  <c r="B108" i="62"/>
  <c r="AF271" i="62"/>
  <c r="AE271" i="62"/>
  <c r="AD271" i="62"/>
  <c r="AC271" i="62"/>
  <c r="AB271" i="62"/>
  <c r="AA271" i="62"/>
  <c r="Z271" i="62"/>
  <c r="Y271" i="62"/>
  <c r="X271" i="62"/>
  <c r="W271" i="62"/>
  <c r="V271" i="62"/>
  <c r="U271" i="62"/>
  <c r="T271" i="62"/>
  <c r="S271" i="62"/>
  <c r="R271" i="62"/>
  <c r="Q271" i="62"/>
  <c r="P271" i="62"/>
  <c r="O271" i="62"/>
  <c r="N271" i="62"/>
  <c r="M271" i="62"/>
  <c r="L271" i="62"/>
  <c r="K271" i="62"/>
  <c r="J271" i="62"/>
  <c r="I271" i="62"/>
  <c r="H271" i="62"/>
  <c r="G271" i="62"/>
  <c r="F271" i="62"/>
  <c r="E271" i="62"/>
  <c r="D271" i="62"/>
  <c r="C271" i="62"/>
  <c r="B271" i="62"/>
  <c r="A271" i="62"/>
  <c r="AF270" i="62"/>
  <c r="AE270" i="62"/>
  <c r="AD270" i="62"/>
  <c r="AC270" i="62"/>
  <c r="AB270" i="62"/>
  <c r="AA270" i="62"/>
  <c r="Z270" i="62"/>
  <c r="Y270" i="62"/>
  <c r="X270" i="62"/>
  <c r="W270" i="62"/>
  <c r="V270" i="62"/>
  <c r="U270" i="62"/>
  <c r="T270" i="62"/>
  <c r="S270" i="62"/>
  <c r="R270" i="62"/>
  <c r="Q270" i="62"/>
  <c r="P270" i="62"/>
  <c r="O270" i="62"/>
  <c r="N270" i="62"/>
  <c r="M270" i="62"/>
  <c r="L270" i="62"/>
  <c r="K270" i="62"/>
  <c r="J270" i="62"/>
  <c r="I270" i="62"/>
  <c r="H270" i="62"/>
  <c r="G270" i="62"/>
  <c r="F270" i="62"/>
  <c r="E270" i="62"/>
  <c r="D270" i="62"/>
  <c r="C270" i="62"/>
  <c r="B270" i="62"/>
  <c r="A270" i="62"/>
  <c r="AF269" i="62"/>
  <c r="AE269" i="62"/>
  <c r="AD269" i="62"/>
  <c r="AC269" i="62"/>
  <c r="AB269" i="62"/>
  <c r="AA269" i="62"/>
  <c r="Z269" i="62"/>
  <c r="Y269" i="62"/>
  <c r="X269" i="62"/>
  <c r="W269" i="62"/>
  <c r="V269" i="62"/>
  <c r="U269" i="62"/>
  <c r="T269" i="62"/>
  <c r="S269" i="62"/>
  <c r="R269" i="62"/>
  <c r="Q269" i="62"/>
  <c r="P269" i="62"/>
  <c r="O269" i="62"/>
  <c r="N269" i="62"/>
  <c r="M269" i="62"/>
  <c r="L269" i="62"/>
  <c r="K269" i="62"/>
  <c r="J269" i="62"/>
  <c r="I269" i="62"/>
  <c r="H269" i="62"/>
  <c r="G269" i="62"/>
  <c r="F269" i="62"/>
  <c r="E269" i="62"/>
  <c r="D269" i="62"/>
  <c r="C269" i="62"/>
  <c r="B269" i="62"/>
  <c r="A269" i="62"/>
  <c r="AF268" i="62"/>
  <c r="AE268" i="62"/>
  <c r="AD268" i="62"/>
  <c r="AC268" i="62"/>
  <c r="AB268" i="62"/>
  <c r="AA268" i="62"/>
  <c r="Z268" i="62"/>
  <c r="Y268" i="62"/>
  <c r="X268" i="62"/>
  <c r="W268" i="62"/>
  <c r="V268" i="62"/>
  <c r="U268" i="62"/>
  <c r="T268" i="62"/>
  <c r="S268" i="62"/>
  <c r="R268" i="62"/>
  <c r="Q268" i="62"/>
  <c r="P268" i="62"/>
  <c r="O268" i="62"/>
  <c r="N268" i="62"/>
  <c r="M268" i="62"/>
  <c r="L268" i="62"/>
  <c r="K268" i="62"/>
  <c r="J268" i="62"/>
  <c r="I268" i="62"/>
  <c r="H268" i="62"/>
  <c r="G268" i="62"/>
  <c r="F268" i="62"/>
  <c r="E268" i="62"/>
  <c r="D268" i="62"/>
  <c r="C268" i="62"/>
  <c r="B268" i="62"/>
  <c r="A268" i="62"/>
  <c r="AE267" i="62"/>
  <c r="AD267" i="62"/>
  <c r="AC267" i="62"/>
  <c r="AB267" i="62"/>
  <c r="AA267" i="62"/>
  <c r="Z267" i="62"/>
  <c r="Y267" i="62"/>
  <c r="X267" i="62"/>
  <c r="W267" i="62"/>
  <c r="V267" i="62"/>
  <c r="U267" i="62"/>
  <c r="T267" i="62"/>
  <c r="S267" i="62"/>
  <c r="R267" i="62"/>
  <c r="Q267" i="62"/>
  <c r="P267" i="62"/>
  <c r="C267" i="62"/>
  <c r="B267" i="62"/>
  <c r="S242" i="62"/>
  <c r="AG232" i="62"/>
  <c r="AG65" i="62" s="1"/>
  <c r="AG66" i="62" s="1"/>
  <c r="AG3" i="62" s="1"/>
  <c r="AF232" i="62"/>
  <c r="AE232" i="62"/>
  <c r="AD232" i="62"/>
  <c r="AC232" i="62"/>
  <c r="AB232" i="62"/>
  <c r="AA232" i="62"/>
  <c r="Z232" i="62"/>
  <c r="Y232" i="62"/>
  <c r="X232" i="62"/>
  <c r="W232" i="62"/>
  <c r="V232" i="62"/>
  <c r="U232" i="62"/>
  <c r="T232" i="62"/>
  <c r="S232" i="62"/>
  <c r="R232" i="62"/>
  <c r="Q232" i="62"/>
  <c r="C232" i="62"/>
  <c r="E231" i="62"/>
  <c r="D267" i="62" s="1"/>
  <c r="D231" i="62"/>
  <c r="B231" i="62"/>
  <c r="AF267" i="62" s="1"/>
  <c r="D230" i="62"/>
  <c r="E230" i="62" s="1"/>
  <c r="F230" i="62" s="1"/>
  <c r="G230" i="62" s="1"/>
  <c r="H230" i="62" s="1"/>
  <c r="I230" i="62" s="1"/>
  <c r="J230" i="62" s="1"/>
  <c r="K230" i="62" s="1"/>
  <c r="L230" i="62" s="1"/>
  <c r="M230" i="62" s="1"/>
  <c r="N230" i="62" s="1"/>
  <c r="O230" i="62" s="1"/>
  <c r="P230" i="62" s="1"/>
  <c r="B230" i="62"/>
  <c r="D229" i="62"/>
  <c r="D232" i="62" s="1"/>
  <c r="B229" i="62"/>
  <c r="E228" i="62"/>
  <c r="F228" i="62" s="1"/>
  <c r="G228" i="62" s="1"/>
  <c r="H228" i="62" s="1"/>
  <c r="D228" i="62"/>
  <c r="B228" i="62"/>
  <c r="H227" i="62"/>
  <c r="I227" i="62" s="1"/>
  <c r="J227" i="62" s="1"/>
  <c r="K227" i="62" s="1"/>
  <c r="L227" i="62" s="1"/>
  <c r="M227" i="62" s="1"/>
  <c r="N227" i="62" s="1"/>
  <c r="O227" i="62" s="1"/>
  <c r="P227" i="62" s="1"/>
  <c r="G227" i="62"/>
  <c r="F227" i="62"/>
  <c r="E227" i="62"/>
  <c r="D227" i="62"/>
  <c r="B227" i="62"/>
  <c r="F226" i="62"/>
  <c r="G226" i="62" s="1"/>
  <c r="E226" i="62"/>
  <c r="D226" i="62"/>
  <c r="B226" i="62"/>
  <c r="B232" i="62" s="1"/>
  <c r="AG224" i="62"/>
  <c r="AF224" i="62"/>
  <c r="AE224" i="62"/>
  <c r="AD224" i="62"/>
  <c r="AC224" i="62"/>
  <c r="AB224" i="62"/>
  <c r="AA224" i="62"/>
  <c r="Z224" i="62"/>
  <c r="Y224" i="62"/>
  <c r="X224" i="62"/>
  <c r="W224" i="62"/>
  <c r="V224" i="62"/>
  <c r="U224" i="62"/>
  <c r="T224" i="62"/>
  <c r="S224" i="62"/>
  <c r="R224" i="62"/>
  <c r="Q224" i="62"/>
  <c r="P224" i="62"/>
  <c r="O224" i="62"/>
  <c r="N224" i="62"/>
  <c r="M224" i="62"/>
  <c r="L224" i="62"/>
  <c r="K224" i="62"/>
  <c r="J224" i="62"/>
  <c r="I224" i="62"/>
  <c r="H224" i="62"/>
  <c r="G224" i="62"/>
  <c r="F224" i="62"/>
  <c r="E224" i="62"/>
  <c r="D224" i="62"/>
  <c r="C224" i="62"/>
  <c r="B224" i="62"/>
  <c r="AI117" i="62"/>
  <c r="AH117" i="62"/>
  <c r="AI116" i="62"/>
  <c r="AH116" i="62"/>
  <c r="AI115" i="62"/>
  <c r="AH115" i="62"/>
  <c r="AI114" i="62"/>
  <c r="AH114" i="62"/>
  <c r="AI113" i="62"/>
  <c r="AH113" i="62"/>
  <c r="AI112" i="62"/>
  <c r="AH112" i="62"/>
  <c r="AI111" i="62"/>
  <c r="AH111" i="62"/>
  <c r="AI110" i="62"/>
  <c r="AH110" i="62"/>
  <c r="AI109" i="62"/>
  <c r="AH109" i="62"/>
  <c r="AF108" i="62"/>
  <c r="AE108" i="62"/>
  <c r="AD108" i="62"/>
  <c r="AC108" i="62"/>
  <c r="AB108" i="62"/>
  <c r="AA108" i="62"/>
  <c r="Y108" i="62"/>
  <c r="W108" i="62"/>
  <c r="S108" i="62"/>
  <c r="R108" i="62"/>
  <c r="Q108" i="62"/>
  <c r="E108" i="62"/>
  <c r="D108" i="62"/>
  <c r="C108" i="62"/>
  <c r="AI107" i="62"/>
  <c r="AH107" i="62"/>
  <c r="AI106" i="62"/>
  <c r="AH106" i="62"/>
  <c r="AI105" i="62"/>
  <c r="AH105" i="62"/>
  <c r="AI104" i="62"/>
  <c r="AH104" i="62"/>
  <c r="AI103" i="62"/>
  <c r="AH103" i="62"/>
  <c r="AI102" i="62"/>
  <c r="AH102" i="62"/>
  <c r="AI101" i="62"/>
  <c r="AH101" i="62"/>
  <c r="AI100" i="62"/>
  <c r="AH100" i="62"/>
  <c r="AI99" i="62"/>
  <c r="AH99" i="62"/>
  <c r="R98" i="62"/>
  <c r="AI97" i="62"/>
  <c r="AH97" i="62"/>
  <c r="AI96" i="62"/>
  <c r="AH96" i="62"/>
  <c r="AI95" i="62"/>
  <c r="AH95" i="62"/>
  <c r="AI94" i="62"/>
  <c r="AH94" i="62"/>
  <c r="AI93" i="62"/>
  <c r="AH93" i="62"/>
  <c r="AI88" i="62"/>
  <c r="AH88" i="62"/>
  <c r="AI86" i="62"/>
  <c r="AH86" i="62"/>
  <c r="AG86" i="62"/>
  <c r="AG89" i="62" s="1"/>
  <c r="AI85" i="62"/>
  <c r="AH85" i="62"/>
  <c r="AI84" i="62"/>
  <c r="AH84" i="62"/>
  <c r="AI83" i="62"/>
  <c r="AH83" i="62"/>
  <c r="AN82" i="62"/>
  <c r="AG82" i="62"/>
  <c r="AF82" i="62"/>
  <c r="AF98" i="62" s="1"/>
  <c r="AE82" i="62"/>
  <c r="AE98" i="62" s="1"/>
  <c r="AD82" i="62"/>
  <c r="AD98" i="62" s="1"/>
  <c r="AC82" i="62"/>
  <c r="AC98" i="62" s="1"/>
  <c r="AB82" i="62"/>
  <c r="AB98" i="62" s="1"/>
  <c r="AA82" i="62"/>
  <c r="Y98" i="62"/>
  <c r="W82" i="62"/>
  <c r="W98" i="62" s="1"/>
  <c r="S82" i="62"/>
  <c r="S98" i="62" s="1"/>
  <c r="R82" i="62"/>
  <c r="Q82" i="62"/>
  <c r="Q98" i="62" s="1"/>
  <c r="P82" i="62"/>
  <c r="P98" i="62" s="1"/>
  <c r="O82" i="62"/>
  <c r="O98" i="62" s="1"/>
  <c r="N82" i="62"/>
  <c r="N98" i="62" s="1"/>
  <c r="M82" i="62"/>
  <c r="M98" i="62" s="1"/>
  <c r="L82" i="62"/>
  <c r="L98" i="62" s="1"/>
  <c r="K82" i="62"/>
  <c r="K98" i="62" s="1"/>
  <c r="J82" i="62"/>
  <c r="J98" i="62" s="1"/>
  <c r="I82" i="62"/>
  <c r="I98" i="62" s="1"/>
  <c r="H82" i="62"/>
  <c r="H98" i="62" s="1"/>
  <c r="G82" i="62"/>
  <c r="G98" i="62" s="1"/>
  <c r="F82" i="62"/>
  <c r="F98" i="62" s="1"/>
  <c r="E82" i="62"/>
  <c r="E98" i="62" s="1"/>
  <c r="D82" i="62"/>
  <c r="D98" i="62" s="1"/>
  <c r="C82" i="62"/>
  <c r="AI81" i="62"/>
  <c r="AH81" i="62"/>
  <c r="AN80" i="62"/>
  <c r="AI80" i="62"/>
  <c r="AH80" i="62"/>
  <c r="AN81" i="62"/>
  <c r="AI79" i="62"/>
  <c r="AH79" i="62"/>
  <c r="AI78" i="62"/>
  <c r="AH78" i="62"/>
  <c r="AI77" i="62"/>
  <c r="AH77" i="62"/>
  <c r="AI76" i="62"/>
  <c r="AH76" i="62"/>
  <c r="AI75" i="62"/>
  <c r="AH75" i="62"/>
  <c r="AI74" i="62"/>
  <c r="AH74" i="62"/>
  <c r="AI73" i="62"/>
  <c r="AH73" i="62"/>
  <c r="AI72" i="62"/>
  <c r="AH72" i="62"/>
  <c r="AI71" i="62"/>
  <c r="AH71" i="62"/>
  <c r="AG70" i="62"/>
  <c r="AI69" i="62"/>
  <c r="AH69" i="62"/>
  <c r="AI68" i="62"/>
  <c r="AH68" i="62"/>
  <c r="AI67" i="62"/>
  <c r="AH67" i="62"/>
  <c r="AF66" i="62"/>
  <c r="AE66" i="62"/>
  <c r="AD66" i="62"/>
  <c r="AC66" i="62"/>
  <c r="AB66" i="62"/>
  <c r="AA66" i="62"/>
  <c r="S66" i="62"/>
  <c r="R66" i="62"/>
  <c r="Q66" i="62"/>
  <c r="P66" i="62"/>
  <c r="O66" i="62"/>
  <c r="N66" i="62"/>
  <c r="M66" i="62"/>
  <c r="L66" i="62"/>
  <c r="K66" i="62"/>
  <c r="J66" i="62"/>
  <c r="I66" i="62"/>
  <c r="H66" i="62"/>
  <c r="G66" i="62"/>
  <c r="F66" i="62"/>
  <c r="E66" i="62"/>
  <c r="D66" i="62"/>
  <c r="C66" i="62"/>
  <c r="AI65" i="62"/>
  <c r="AH65" i="62"/>
  <c r="AI64" i="62"/>
  <c r="AH64" i="62"/>
  <c r="AI63" i="62"/>
  <c r="AH63" i="62"/>
  <c r="AI62" i="62"/>
  <c r="AH62" i="62"/>
  <c r="AI61" i="62"/>
  <c r="AH61" i="62"/>
  <c r="AI60" i="62"/>
  <c r="AH60" i="62"/>
  <c r="AI59" i="62"/>
  <c r="AH59" i="62"/>
  <c r="AI58" i="62"/>
  <c r="AH58" i="62"/>
  <c r="AI57" i="62"/>
  <c r="AH57" i="62"/>
  <c r="AI56" i="62"/>
  <c r="AH56" i="62"/>
  <c r="AI55" i="62"/>
  <c r="AH55" i="62"/>
  <c r="AI54" i="62"/>
  <c r="AH54" i="62"/>
  <c r="AI53" i="62"/>
  <c r="AH53" i="62"/>
  <c r="AG52" i="62"/>
  <c r="AF52" i="62"/>
  <c r="AE52" i="62"/>
  <c r="AD52" i="62"/>
  <c r="AC52" i="62"/>
  <c r="AB52" i="62"/>
  <c r="AA52" i="62"/>
  <c r="S52" i="62"/>
  <c r="R52" i="62"/>
  <c r="Q52" i="62"/>
  <c r="P52" i="62"/>
  <c r="O52" i="62"/>
  <c r="N52" i="62"/>
  <c r="M52" i="62"/>
  <c r="L52" i="62"/>
  <c r="K52" i="62"/>
  <c r="J52" i="62"/>
  <c r="I52" i="62"/>
  <c r="H52" i="62"/>
  <c r="G52" i="62"/>
  <c r="F52" i="62"/>
  <c r="E52" i="62"/>
  <c r="D52" i="62"/>
  <c r="C52" i="62"/>
  <c r="AI51" i="62"/>
  <c r="AH51" i="62"/>
  <c r="AI50" i="62"/>
  <c r="AH50" i="62"/>
  <c r="AI49" i="62"/>
  <c r="AH49" i="62"/>
  <c r="AG48" i="62"/>
  <c r="AG87" i="62" s="1"/>
  <c r="AF48" i="62"/>
  <c r="AE48" i="62"/>
  <c r="AE87" i="62" s="1"/>
  <c r="AE89" i="62" s="1"/>
  <c r="AD48" i="62"/>
  <c r="AC48" i="62"/>
  <c r="AC87" i="62" s="1"/>
  <c r="AC89" i="62" s="1"/>
  <c r="AB48" i="62"/>
  <c r="W87" i="62"/>
  <c r="W89" i="62" s="1"/>
  <c r="S48" i="62"/>
  <c r="S87" i="62" s="1"/>
  <c r="S89" i="62" s="1"/>
  <c r="R48" i="62"/>
  <c r="Q48" i="62"/>
  <c r="P48" i="62"/>
  <c r="O48" i="62"/>
  <c r="N48" i="62"/>
  <c r="M48" i="62"/>
  <c r="L48" i="62"/>
  <c r="K48" i="62"/>
  <c r="J48" i="62"/>
  <c r="I48" i="62"/>
  <c r="H48" i="62"/>
  <c r="G48" i="62"/>
  <c r="F48" i="62"/>
  <c r="E48" i="62"/>
  <c r="D48" i="62"/>
  <c r="C48" i="62"/>
  <c r="AI47" i="62"/>
  <c r="AH47" i="62"/>
  <c r="AI46" i="62"/>
  <c r="AH46" i="62"/>
  <c r="AI45" i="62"/>
  <c r="AH45" i="62"/>
  <c r="AI44" i="62"/>
  <c r="AH44" i="62"/>
  <c r="AI43" i="62"/>
  <c r="AH43" i="62"/>
  <c r="AI42" i="62"/>
  <c r="AH42" i="62"/>
  <c r="AI41" i="62"/>
  <c r="AH41" i="62"/>
  <c r="AI40" i="62"/>
  <c r="AH40" i="62"/>
  <c r="AI39" i="62"/>
  <c r="AH39" i="62"/>
  <c r="AI38" i="62"/>
  <c r="AH38" i="62"/>
  <c r="AI37" i="62"/>
  <c r="AH37" i="62"/>
  <c r="AI36" i="62"/>
  <c r="AH36" i="62"/>
  <c r="AI35" i="62"/>
  <c r="AH35" i="62"/>
  <c r="AI34" i="62"/>
  <c r="AH34" i="62"/>
  <c r="AI33" i="62"/>
  <c r="AH33" i="62"/>
  <c r="AI32" i="62"/>
  <c r="AH32" i="62"/>
  <c r="AI31" i="62"/>
  <c r="AH31" i="62"/>
  <c r="AI30" i="62"/>
  <c r="AH30" i="62"/>
  <c r="AI29" i="62"/>
  <c r="AH29" i="62"/>
  <c r="AI28" i="62"/>
  <c r="AH28" i="62"/>
  <c r="AI27" i="62"/>
  <c r="AH27" i="62"/>
  <c r="AI26" i="62"/>
  <c r="AH26" i="62"/>
  <c r="AI25" i="62"/>
  <c r="AH25" i="62"/>
  <c r="AI24" i="62"/>
  <c r="AH24" i="62"/>
  <c r="AI23" i="62"/>
  <c r="AH23" i="62"/>
  <c r="AI22" i="62"/>
  <c r="AH22" i="62"/>
  <c r="AI21" i="62"/>
  <c r="AH21" i="62"/>
  <c r="AI20" i="62"/>
  <c r="AH20" i="62"/>
  <c r="AI19" i="62"/>
  <c r="AH19" i="62"/>
  <c r="AI18" i="62"/>
  <c r="AH18" i="62"/>
  <c r="AI17" i="62"/>
  <c r="AH17" i="62"/>
  <c r="AI16" i="62"/>
  <c r="AH16" i="62"/>
  <c r="AI15" i="62"/>
  <c r="AH15" i="62"/>
  <c r="AI14" i="62"/>
  <c r="AH14" i="62"/>
  <c r="AI13" i="62"/>
  <c r="AH13" i="62"/>
  <c r="AI12" i="62"/>
  <c r="AH12" i="62"/>
  <c r="AI11" i="62"/>
  <c r="AH11" i="62"/>
  <c r="Y5" i="62"/>
  <c r="X5" i="62"/>
  <c r="W5" i="62"/>
  <c r="U5" i="62"/>
  <c r="T5" i="62"/>
  <c r="S5" i="62"/>
  <c r="Q5" i="62"/>
  <c r="I5" i="62"/>
  <c r="H5" i="62"/>
  <c r="G5" i="62"/>
  <c r="F5" i="62"/>
  <c r="E5" i="62"/>
  <c r="D5" i="62"/>
  <c r="AG4" i="62"/>
  <c r="K4" i="62"/>
  <c r="E4" i="62"/>
  <c r="H4" i="62" s="1"/>
  <c r="B4" i="62"/>
  <c r="S243" i="62" s="1"/>
  <c r="AG2" i="62"/>
  <c r="AG6" i="62" s="1"/>
  <c r="Y48" i="60"/>
  <c r="T82" i="60"/>
  <c r="T66" i="60"/>
  <c r="T70" i="60"/>
  <c r="T48" i="60"/>
  <c r="B48" i="60"/>
  <c r="C48" i="60"/>
  <c r="D48" i="60"/>
  <c r="E48" i="60"/>
  <c r="F48" i="60"/>
  <c r="G48" i="60"/>
  <c r="H48" i="60"/>
  <c r="I48" i="60"/>
  <c r="J48" i="60"/>
  <c r="K48" i="60"/>
  <c r="L48" i="60"/>
  <c r="M48" i="60"/>
  <c r="N48" i="60"/>
  <c r="O48" i="60"/>
  <c r="P48" i="60"/>
  <c r="Q48" i="60"/>
  <c r="R48" i="60"/>
  <c r="S48" i="60"/>
  <c r="AF48" i="60"/>
  <c r="U48" i="60"/>
  <c r="V48" i="60"/>
  <c r="W48" i="60"/>
  <c r="X48" i="60"/>
  <c r="Z48" i="60"/>
  <c r="AA48" i="60"/>
  <c r="AB48" i="60"/>
  <c r="AC48" i="60"/>
  <c r="AD48" i="60"/>
  <c r="AE48" i="60"/>
  <c r="N111" i="60"/>
  <c r="M111" i="60"/>
  <c r="D70" i="60"/>
  <c r="E70" i="60"/>
  <c r="F70" i="60"/>
  <c r="G70" i="60"/>
  <c r="H70" i="60"/>
  <c r="C111" i="60"/>
  <c r="C70" i="60"/>
  <c r="B111" i="60"/>
  <c r="B108" i="60"/>
  <c r="B82" i="60"/>
  <c r="B98" i="60" s="1"/>
  <c r="B70" i="60"/>
  <c r="B66" i="60"/>
  <c r="B52" i="60"/>
  <c r="AF271" i="60"/>
  <c r="AE271" i="60"/>
  <c r="AD271" i="60"/>
  <c r="AC271" i="60"/>
  <c r="AB271" i="60"/>
  <c r="AA271" i="60"/>
  <c r="Z271" i="60"/>
  <c r="Y271" i="60"/>
  <c r="X271" i="60"/>
  <c r="W271" i="60"/>
  <c r="V271" i="60"/>
  <c r="U271" i="60"/>
  <c r="T271" i="60"/>
  <c r="S271" i="60"/>
  <c r="R271" i="60"/>
  <c r="Q271" i="60"/>
  <c r="P271" i="60"/>
  <c r="O271" i="60"/>
  <c r="N271" i="60"/>
  <c r="M271" i="60"/>
  <c r="L271" i="60"/>
  <c r="K271" i="60"/>
  <c r="J271" i="60"/>
  <c r="I271" i="60"/>
  <c r="H271" i="60"/>
  <c r="G271" i="60"/>
  <c r="F271" i="60"/>
  <c r="E271" i="60"/>
  <c r="D271" i="60"/>
  <c r="C271" i="60"/>
  <c r="B271" i="60"/>
  <c r="A271" i="60"/>
  <c r="AF270" i="60"/>
  <c r="AE270" i="60"/>
  <c r="AD270" i="60"/>
  <c r="AC270" i="60"/>
  <c r="AB270" i="60"/>
  <c r="AA270" i="60"/>
  <c r="Z270" i="60"/>
  <c r="Y270" i="60"/>
  <c r="X270" i="60"/>
  <c r="W270" i="60"/>
  <c r="V270" i="60"/>
  <c r="U270" i="60"/>
  <c r="T270" i="60"/>
  <c r="S270" i="60"/>
  <c r="R270" i="60"/>
  <c r="Q270" i="60"/>
  <c r="P270" i="60"/>
  <c r="O270" i="60"/>
  <c r="N270" i="60"/>
  <c r="M270" i="60"/>
  <c r="L270" i="60"/>
  <c r="K270" i="60"/>
  <c r="J270" i="60"/>
  <c r="I270" i="60"/>
  <c r="H270" i="60"/>
  <c r="G270" i="60"/>
  <c r="F270" i="60"/>
  <c r="E270" i="60"/>
  <c r="D270" i="60"/>
  <c r="C270" i="60"/>
  <c r="B270" i="60"/>
  <c r="A270" i="60"/>
  <c r="AF269" i="60"/>
  <c r="AE269" i="60"/>
  <c r="AD269" i="60"/>
  <c r="AC269" i="60"/>
  <c r="AB269" i="60"/>
  <c r="AA269" i="60"/>
  <c r="Z269" i="60"/>
  <c r="Y269" i="60"/>
  <c r="X269" i="60"/>
  <c r="W269" i="60"/>
  <c r="V269" i="60"/>
  <c r="U269" i="60"/>
  <c r="T269" i="60"/>
  <c r="S269" i="60"/>
  <c r="R269" i="60"/>
  <c r="Q269" i="60"/>
  <c r="P269" i="60"/>
  <c r="O269" i="60"/>
  <c r="N269" i="60"/>
  <c r="M269" i="60"/>
  <c r="L269" i="60"/>
  <c r="K269" i="60"/>
  <c r="J269" i="60"/>
  <c r="I269" i="60"/>
  <c r="H269" i="60"/>
  <c r="G269" i="60"/>
  <c r="F269" i="60"/>
  <c r="E269" i="60"/>
  <c r="D269" i="60"/>
  <c r="C269" i="60"/>
  <c r="B269" i="60"/>
  <c r="A269" i="60"/>
  <c r="AF268" i="60"/>
  <c r="AE268" i="60"/>
  <c r="AD268" i="60"/>
  <c r="AC268" i="60"/>
  <c r="AB268" i="60"/>
  <c r="AA268" i="60"/>
  <c r="Z268" i="60"/>
  <c r="Y268" i="60"/>
  <c r="X268" i="60"/>
  <c r="W268" i="60"/>
  <c r="V268" i="60"/>
  <c r="U268" i="60"/>
  <c r="T268" i="60"/>
  <c r="S268" i="60"/>
  <c r="R268" i="60"/>
  <c r="Q268" i="60"/>
  <c r="P268" i="60"/>
  <c r="O268" i="60"/>
  <c r="N268" i="60"/>
  <c r="M268" i="60"/>
  <c r="L268" i="60"/>
  <c r="K268" i="60"/>
  <c r="J268" i="60"/>
  <c r="I268" i="60"/>
  <c r="H268" i="60"/>
  <c r="G268" i="60"/>
  <c r="F268" i="60"/>
  <c r="E268" i="60"/>
  <c r="D268" i="60"/>
  <c r="C268" i="60"/>
  <c r="B268" i="60"/>
  <c r="A268" i="60"/>
  <c r="AE267" i="60"/>
  <c r="AD267" i="60"/>
  <c r="AC267" i="60"/>
  <c r="AB267" i="60"/>
  <c r="AA267" i="60"/>
  <c r="Z267" i="60"/>
  <c r="Y267" i="60"/>
  <c r="X267" i="60"/>
  <c r="W267" i="60"/>
  <c r="V267" i="60"/>
  <c r="U267" i="60"/>
  <c r="T267" i="60"/>
  <c r="S267" i="60"/>
  <c r="R267" i="60"/>
  <c r="Q267" i="60"/>
  <c r="P267" i="60"/>
  <c r="D267" i="60"/>
  <c r="C267" i="60"/>
  <c r="B267" i="60"/>
  <c r="S242" i="60"/>
  <c r="AG232" i="60"/>
  <c r="AF232" i="60"/>
  <c r="AE232" i="60"/>
  <c r="AD232" i="60"/>
  <c r="AC232" i="60"/>
  <c r="AB232" i="60"/>
  <c r="AA232" i="60"/>
  <c r="Z232" i="60"/>
  <c r="Y232" i="60"/>
  <c r="X232" i="60"/>
  <c r="W232" i="60"/>
  <c r="V232" i="60"/>
  <c r="U232" i="60"/>
  <c r="T232" i="60"/>
  <c r="S232" i="60"/>
  <c r="R232" i="60"/>
  <c r="Q232" i="60"/>
  <c r="D232" i="60"/>
  <c r="C232" i="60"/>
  <c r="F231" i="60"/>
  <c r="E267" i="60" s="1"/>
  <c r="E231" i="60"/>
  <c r="D231" i="60"/>
  <c r="B231" i="60"/>
  <c r="AF267" i="60" s="1"/>
  <c r="E230" i="60"/>
  <c r="F230" i="60" s="1"/>
  <c r="G230" i="60" s="1"/>
  <c r="H230" i="60" s="1"/>
  <c r="I230" i="60" s="1"/>
  <c r="J230" i="60" s="1"/>
  <c r="K230" i="60" s="1"/>
  <c r="L230" i="60" s="1"/>
  <c r="M230" i="60" s="1"/>
  <c r="N230" i="60" s="1"/>
  <c r="O230" i="60" s="1"/>
  <c r="P230" i="60" s="1"/>
  <c r="D230" i="60"/>
  <c r="B230" i="60"/>
  <c r="D229" i="60"/>
  <c r="E229" i="60" s="1"/>
  <c r="F229" i="60" s="1"/>
  <c r="G229" i="60" s="1"/>
  <c r="H229" i="60" s="1"/>
  <c r="I229" i="60" s="1"/>
  <c r="B229" i="60"/>
  <c r="E228" i="60"/>
  <c r="F228" i="60" s="1"/>
  <c r="G228" i="60" s="1"/>
  <c r="H228" i="60" s="1"/>
  <c r="D228" i="60"/>
  <c r="B228" i="60"/>
  <c r="G227" i="60"/>
  <c r="H227" i="60" s="1"/>
  <c r="I227" i="60" s="1"/>
  <c r="J227" i="60" s="1"/>
  <c r="K227" i="60" s="1"/>
  <c r="L227" i="60" s="1"/>
  <c r="M227" i="60" s="1"/>
  <c r="N227" i="60" s="1"/>
  <c r="O227" i="60" s="1"/>
  <c r="P227" i="60" s="1"/>
  <c r="F227" i="60"/>
  <c r="E227" i="60"/>
  <c r="D227" i="60"/>
  <c r="B227" i="60"/>
  <c r="E226" i="60"/>
  <c r="F226" i="60" s="1"/>
  <c r="D226" i="60"/>
  <c r="B226" i="60"/>
  <c r="B232" i="60" s="1"/>
  <c r="AG224" i="60"/>
  <c r="AF224" i="60"/>
  <c r="AE224" i="60"/>
  <c r="AD224" i="60"/>
  <c r="AC224" i="60"/>
  <c r="AB224" i="60"/>
  <c r="AA224" i="60"/>
  <c r="Z224" i="60"/>
  <c r="Y224" i="60"/>
  <c r="X224" i="60"/>
  <c r="W224" i="60"/>
  <c r="V224" i="60"/>
  <c r="U224" i="60"/>
  <c r="T224" i="60"/>
  <c r="S224" i="60"/>
  <c r="R224" i="60"/>
  <c r="Q224" i="60"/>
  <c r="P224" i="60"/>
  <c r="O224" i="60"/>
  <c r="N224" i="60"/>
  <c r="M224" i="60"/>
  <c r="L224" i="60"/>
  <c r="K224" i="60"/>
  <c r="J224" i="60"/>
  <c r="I224" i="60"/>
  <c r="H224" i="60"/>
  <c r="G224" i="60"/>
  <c r="F224" i="60"/>
  <c r="E224" i="60"/>
  <c r="D224" i="60"/>
  <c r="C224" i="60"/>
  <c r="B224" i="60"/>
  <c r="AI117" i="60"/>
  <c r="AH117" i="60"/>
  <c r="AI116" i="60"/>
  <c r="AH116" i="60"/>
  <c r="AI115" i="60"/>
  <c r="AH115" i="60"/>
  <c r="AI114" i="60"/>
  <c r="AH114" i="60"/>
  <c r="AI113" i="60"/>
  <c r="AH113" i="60"/>
  <c r="AI112" i="60"/>
  <c r="AH112" i="60"/>
  <c r="AI111" i="60"/>
  <c r="AH111" i="60"/>
  <c r="AI110" i="60"/>
  <c r="AH110" i="60"/>
  <c r="AI109" i="60"/>
  <c r="AH109" i="60"/>
  <c r="AF108" i="60"/>
  <c r="AE108" i="60"/>
  <c r="AD108" i="60"/>
  <c r="AC108" i="60"/>
  <c r="AB108" i="60"/>
  <c r="AA108" i="60"/>
  <c r="Z108" i="60"/>
  <c r="Y108" i="60"/>
  <c r="X108" i="60"/>
  <c r="W108" i="60"/>
  <c r="V108" i="60"/>
  <c r="U108" i="60"/>
  <c r="T108" i="60"/>
  <c r="S108" i="60"/>
  <c r="R108" i="60"/>
  <c r="Q108" i="60"/>
  <c r="E108" i="60"/>
  <c r="D108" i="60"/>
  <c r="C108" i="60"/>
  <c r="AI107" i="60"/>
  <c r="AH107" i="60"/>
  <c r="AI106" i="60"/>
  <c r="AH106" i="60"/>
  <c r="AI105" i="60"/>
  <c r="AH105" i="60"/>
  <c r="AI104" i="60"/>
  <c r="AH104" i="60"/>
  <c r="AI103" i="60"/>
  <c r="AH103" i="60"/>
  <c r="AI102" i="60"/>
  <c r="AH102" i="60"/>
  <c r="AI101" i="60"/>
  <c r="AH101" i="60"/>
  <c r="AI100" i="60"/>
  <c r="AH100" i="60"/>
  <c r="AI99" i="60"/>
  <c r="AH99" i="60"/>
  <c r="AI97" i="60"/>
  <c r="AH97" i="60"/>
  <c r="AI96" i="60"/>
  <c r="AH96" i="60"/>
  <c r="AI95" i="60"/>
  <c r="AH95" i="60"/>
  <c r="AI94" i="60"/>
  <c r="AH94" i="60"/>
  <c r="AI93" i="60"/>
  <c r="AH93" i="60"/>
  <c r="AI92" i="60"/>
  <c r="AH92" i="60"/>
  <c r="AI91" i="60"/>
  <c r="AH91" i="60"/>
  <c r="AI88" i="60"/>
  <c r="AH88" i="60"/>
  <c r="AI86" i="60"/>
  <c r="AH86" i="60"/>
  <c r="AG86" i="60"/>
  <c r="AI85" i="60"/>
  <c r="AH85" i="60"/>
  <c r="AI84" i="60"/>
  <c r="AH84" i="60"/>
  <c r="AI83" i="60"/>
  <c r="AH83" i="60"/>
  <c r="AN82" i="60"/>
  <c r="AG82" i="60"/>
  <c r="AF82" i="60"/>
  <c r="AF98" i="60" s="1"/>
  <c r="AE82" i="60"/>
  <c r="AE98" i="60" s="1"/>
  <c r="AD82" i="60"/>
  <c r="AD98" i="60" s="1"/>
  <c r="AC82" i="60"/>
  <c r="AC98" i="60" s="1"/>
  <c r="AB82" i="60"/>
  <c r="AB98" i="60" s="1"/>
  <c r="AA82" i="60"/>
  <c r="AA98" i="60" s="1"/>
  <c r="Z82" i="60"/>
  <c r="Z98" i="60" s="1"/>
  <c r="Y82" i="60"/>
  <c r="Y98" i="60" s="1"/>
  <c r="X82" i="60"/>
  <c r="X98" i="60" s="1"/>
  <c r="W82" i="60"/>
  <c r="W98" i="60" s="1"/>
  <c r="V82" i="60"/>
  <c r="V98" i="60" s="1"/>
  <c r="U82" i="60"/>
  <c r="T5" i="60" s="1"/>
  <c r="T98" i="60"/>
  <c r="S82" i="60"/>
  <c r="S98" i="60" s="1"/>
  <c r="R82" i="60"/>
  <c r="R98" i="60" s="1"/>
  <c r="Q82" i="60"/>
  <c r="Q98" i="60" s="1"/>
  <c r="P82" i="60"/>
  <c r="P98" i="60" s="1"/>
  <c r="O82" i="60"/>
  <c r="O98" i="60" s="1"/>
  <c r="N82" i="60"/>
  <c r="N98" i="60" s="1"/>
  <c r="M82" i="60"/>
  <c r="M98" i="60" s="1"/>
  <c r="L82" i="60"/>
  <c r="L98" i="60" s="1"/>
  <c r="K82" i="60"/>
  <c r="K98" i="60" s="1"/>
  <c r="J82" i="60"/>
  <c r="J98" i="60" s="1"/>
  <c r="I82" i="60"/>
  <c r="I98" i="60" s="1"/>
  <c r="H82" i="60"/>
  <c r="H98" i="60" s="1"/>
  <c r="G82" i="60"/>
  <c r="G98" i="60" s="1"/>
  <c r="F82" i="60"/>
  <c r="F98" i="60" s="1"/>
  <c r="E82" i="60"/>
  <c r="E98" i="60" s="1"/>
  <c r="D82" i="60"/>
  <c r="D98" i="60" s="1"/>
  <c r="C82" i="60"/>
  <c r="C98" i="60" s="1"/>
  <c r="AI81" i="60"/>
  <c r="AH81" i="60"/>
  <c r="AN80" i="60"/>
  <c r="AN81" i="60" s="1"/>
  <c r="AI80" i="60"/>
  <c r="AH80" i="60"/>
  <c r="AN79" i="60"/>
  <c r="AI79" i="60"/>
  <c r="AH79" i="60"/>
  <c r="AI78" i="60"/>
  <c r="AH78" i="60"/>
  <c r="AI77" i="60"/>
  <c r="AH77" i="60"/>
  <c r="AI76" i="60"/>
  <c r="AH76" i="60"/>
  <c r="AI75" i="60"/>
  <c r="AH75" i="60"/>
  <c r="AI74" i="60"/>
  <c r="AH74" i="60"/>
  <c r="AI73" i="60"/>
  <c r="AH73" i="60"/>
  <c r="AI72" i="60"/>
  <c r="AH72" i="60"/>
  <c r="AI71" i="60"/>
  <c r="AH71" i="60"/>
  <c r="AG70" i="60"/>
  <c r="AF70" i="60"/>
  <c r="AE70" i="60"/>
  <c r="AD70" i="60"/>
  <c r="AC70" i="60"/>
  <c r="AB70" i="60"/>
  <c r="AA70" i="60"/>
  <c r="Z70" i="60"/>
  <c r="Y70" i="60"/>
  <c r="X70" i="60"/>
  <c r="W70" i="60"/>
  <c r="V70" i="60"/>
  <c r="U70" i="60"/>
  <c r="S70" i="60"/>
  <c r="R70" i="60"/>
  <c r="Q70" i="60"/>
  <c r="P70" i="60"/>
  <c r="O70" i="60"/>
  <c r="N70" i="60"/>
  <c r="M70" i="60"/>
  <c r="L70" i="60"/>
  <c r="AI69" i="60"/>
  <c r="AH69" i="60"/>
  <c r="AI68" i="60"/>
  <c r="AH68" i="60"/>
  <c r="AI67" i="60"/>
  <c r="AH67" i="60"/>
  <c r="AF66" i="60"/>
  <c r="AE66" i="60"/>
  <c r="AD66" i="60"/>
  <c r="AC66" i="60"/>
  <c r="AB66" i="60"/>
  <c r="AA66" i="60"/>
  <c r="Z66" i="60"/>
  <c r="Y66" i="60"/>
  <c r="X66" i="60"/>
  <c r="W66" i="60"/>
  <c r="V66" i="60"/>
  <c r="U66" i="60"/>
  <c r="S66" i="60"/>
  <c r="R66" i="60"/>
  <c r="Q66" i="60"/>
  <c r="P66" i="60"/>
  <c r="O66" i="60"/>
  <c r="N66" i="60"/>
  <c r="M66" i="60"/>
  <c r="L66" i="60"/>
  <c r="K66" i="60"/>
  <c r="J66" i="60"/>
  <c r="I66" i="60"/>
  <c r="H66" i="60"/>
  <c r="G66" i="60"/>
  <c r="F66" i="60"/>
  <c r="E66" i="60"/>
  <c r="D66" i="60"/>
  <c r="C66" i="60"/>
  <c r="AI65" i="60"/>
  <c r="AH65" i="60"/>
  <c r="AG65" i="60"/>
  <c r="AG66" i="60" s="1"/>
  <c r="AG3" i="60" s="1"/>
  <c r="AI64" i="60"/>
  <c r="AH64" i="60"/>
  <c r="AI63" i="60"/>
  <c r="AH63" i="60"/>
  <c r="AI62" i="60"/>
  <c r="AH62" i="60"/>
  <c r="AI61" i="60"/>
  <c r="AH61" i="60"/>
  <c r="AI60" i="60"/>
  <c r="AH60" i="60"/>
  <c r="AI59" i="60"/>
  <c r="AH59" i="60"/>
  <c r="AI58" i="60"/>
  <c r="AH58" i="60"/>
  <c r="AI57" i="60"/>
  <c r="AH57" i="60"/>
  <c r="AI56" i="60"/>
  <c r="AH56" i="60"/>
  <c r="AI55" i="60"/>
  <c r="AH55" i="60"/>
  <c r="AI54" i="60"/>
  <c r="AH54" i="60"/>
  <c r="AI53" i="60"/>
  <c r="AH53" i="60"/>
  <c r="AG52" i="60"/>
  <c r="AF52" i="60"/>
  <c r="AE52" i="60"/>
  <c r="AD52" i="60"/>
  <c r="AC52" i="60"/>
  <c r="AB52" i="60"/>
  <c r="AB87" i="60" s="1"/>
  <c r="AB89" i="60" s="1"/>
  <c r="AA52" i="60"/>
  <c r="Z52" i="60"/>
  <c r="Y52" i="60"/>
  <c r="X52" i="60"/>
  <c r="X87" i="60" s="1"/>
  <c r="X89" i="60" s="1"/>
  <c r="W52" i="60"/>
  <c r="V52" i="60"/>
  <c r="U52" i="60"/>
  <c r="T52" i="60"/>
  <c r="S52" i="60"/>
  <c r="R52" i="60"/>
  <c r="Q52" i="60"/>
  <c r="P52" i="60"/>
  <c r="O52" i="60"/>
  <c r="N52" i="60"/>
  <c r="M52" i="60"/>
  <c r="L52" i="60"/>
  <c r="K52" i="60"/>
  <c r="J52" i="60"/>
  <c r="I52" i="60"/>
  <c r="H52" i="60"/>
  <c r="G52" i="60"/>
  <c r="F52" i="60"/>
  <c r="E52" i="60"/>
  <c r="D52" i="60"/>
  <c r="C52" i="60"/>
  <c r="AI51" i="60"/>
  <c r="AH51" i="60"/>
  <c r="AI50" i="60"/>
  <c r="AH50" i="60"/>
  <c r="AI49" i="60"/>
  <c r="AH49" i="60"/>
  <c r="AG48" i="60"/>
  <c r="AG87" i="60" s="1"/>
  <c r="Z87" i="60"/>
  <c r="Z89" i="60" s="1"/>
  <c r="AI47" i="60"/>
  <c r="AH47" i="60"/>
  <c r="AI46" i="60"/>
  <c r="AH46" i="60"/>
  <c r="AI45" i="60"/>
  <c r="AH45" i="60"/>
  <c r="AI44" i="60"/>
  <c r="AH44" i="60"/>
  <c r="AI43" i="60"/>
  <c r="AH43" i="60"/>
  <c r="AI42" i="60"/>
  <c r="AH42" i="60"/>
  <c r="AI41" i="60"/>
  <c r="AH41" i="60"/>
  <c r="AI40" i="60"/>
  <c r="AH40" i="60"/>
  <c r="AI39" i="60"/>
  <c r="AH39" i="60"/>
  <c r="AI38" i="60"/>
  <c r="AH38" i="60"/>
  <c r="AI37" i="60"/>
  <c r="AH37" i="60"/>
  <c r="AI36" i="60"/>
  <c r="AH36" i="60"/>
  <c r="AI35" i="60"/>
  <c r="AH35" i="60"/>
  <c r="AI34" i="60"/>
  <c r="AH34" i="60"/>
  <c r="AI33" i="60"/>
  <c r="AH33" i="60"/>
  <c r="AI32" i="60"/>
  <c r="AH32" i="60"/>
  <c r="AI31" i="60"/>
  <c r="AH31" i="60"/>
  <c r="AI30" i="60"/>
  <c r="AH30" i="60"/>
  <c r="AI29" i="60"/>
  <c r="AH29" i="60"/>
  <c r="AI28" i="60"/>
  <c r="AH28" i="60"/>
  <c r="AI27" i="60"/>
  <c r="AH27" i="60"/>
  <c r="AI26" i="60"/>
  <c r="AH26" i="60"/>
  <c r="AI25" i="60"/>
  <c r="AH25" i="60"/>
  <c r="AI24" i="60"/>
  <c r="AH24" i="60"/>
  <c r="AI23" i="60"/>
  <c r="AH23" i="60"/>
  <c r="AI22" i="60"/>
  <c r="AH22" i="60"/>
  <c r="AI21" i="60"/>
  <c r="AH21" i="60"/>
  <c r="AI20" i="60"/>
  <c r="AH20" i="60"/>
  <c r="AI19" i="60"/>
  <c r="AH19" i="60"/>
  <c r="AI18" i="60"/>
  <c r="AH18" i="60"/>
  <c r="AI17" i="60"/>
  <c r="AH17" i="60"/>
  <c r="AI16" i="60"/>
  <c r="AH16" i="60"/>
  <c r="AI15" i="60"/>
  <c r="AH15" i="60"/>
  <c r="AI14" i="60"/>
  <c r="AH14" i="60"/>
  <c r="AI13" i="60"/>
  <c r="AH13" i="60"/>
  <c r="AI12" i="60"/>
  <c r="AH12" i="60"/>
  <c r="AI11" i="60"/>
  <c r="AH11" i="60"/>
  <c r="AC5" i="60"/>
  <c r="AA5" i="60"/>
  <c r="Y5" i="60"/>
  <c r="P5" i="60"/>
  <c r="M5" i="60"/>
  <c r="F5" i="60"/>
  <c r="AG4" i="60"/>
  <c r="K4" i="60"/>
  <c r="E4" i="60"/>
  <c r="H4" i="60" s="1"/>
  <c r="B4" i="60"/>
  <c r="S243" i="60" s="1"/>
  <c r="AG2" i="60"/>
  <c r="AG6" i="60" s="1"/>
  <c r="AF111" i="59"/>
  <c r="AD111" i="59"/>
  <c r="Z108" i="59"/>
  <c r="Z95" i="59"/>
  <c r="Z94" i="59"/>
  <c r="Z93" i="59"/>
  <c r="Z92" i="59"/>
  <c r="Z91" i="59"/>
  <c r="Z97" i="59" s="1"/>
  <c r="Z86" i="59"/>
  <c r="Z82" i="59"/>
  <c r="Z70" i="59"/>
  <c r="Z66" i="59"/>
  <c r="Z52" i="59"/>
  <c r="Z48" i="59"/>
  <c r="Q48" i="59"/>
  <c r="Q52" i="59"/>
  <c r="AE5" i="62" l="1"/>
  <c r="AF87" i="62"/>
  <c r="AF89" i="62" s="1"/>
  <c r="AD5" i="62"/>
  <c r="AC5" i="62"/>
  <c r="AD87" i="62"/>
  <c r="AD89" i="62" s="1"/>
  <c r="AB5" i="62"/>
  <c r="AA5" i="62"/>
  <c r="AB87" i="62"/>
  <c r="AB89" i="62" s="1"/>
  <c r="AA87" i="62"/>
  <c r="AA89" i="62" s="1"/>
  <c r="V5" i="62"/>
  <c r="P5" i="62"/>
  <c r="R87" i="62"/>
  <c r="R89" i="62" s="1"/>
  <c r="Q87" i="62"/>
  <c r="Q89" i="62" s="1"/>
  <c r="O5" i="62"/>
  <c r="P87" i="62"/>
  <c r="P89" i="62" s="1"/>
  <c r="N5" i="62"/>
  <c r="O87" i="62"/>
  <c r="O89" i="62" s="1"/>
  <c r="M5" i="62"/>
  <c r="N87" i="62"/>
  <c r="N89" i="62" s="1"/>
  <c r="M87" i="62"/>
  <c r="M89" i="62" s="1"/>
  <c r="AE246" i="62" s="1"/>
  <c r="L5" i="62"/>
  <c r="K5" i="62"/>
  <c r="L87" i="62"/>
  <c r="L89" i="62" s="1"/>
  <c r="L90" i="62" s="1"/>
  <c r="K87" i="62"/>
  <c r="K89" i="62" s="1"/>
  <c r="K90" i="62" s="1"/>
  <c r="J87" i="62"/>
  <c r="J89" i="62" s="1"/>
  <c r="I87" i="62"/>
  <c r="I89" i="62" s="1"/>
  <c r="I90" i="62" s="1"/>
  <c r="H87" i="62"/>
  <c r="H89" i="62" s="1"/>
  <c r="Z246" i="62" s="1"/>
  <c r="G87" i="62"/>
  <c r="G89" i="62" s="1"/>
  <c r="F87" i="62"/>
  <c r="F89" i="62" s="1"/>
  <c r="F90" i="62" s="1"/>
  <c r="AI70" i="62"/>
  <c r="E87" i="62"/>
  <c r="E89" i="62" s="1"/>
  <c r="E7" i="62" s="1"/>
  <c r="C5" i="62"/>
  <c r="AI66" i="62"/>
  <c r="AI52" i="62"/>
  <c r="D87" i="62"/>
  <c r="D89" i="62" s="1"/>
  <c r="D7" i="62" s="1"/>
  <c r="C87" i="62"/>
  <c r="C89" i="62" s="1"/>
  <c r="C7" i="62" s="1"/>
  <c r="AH82" i="62"/>
  <c r="AI82" i="62"/>
  <c r="AF5" i="62"/>
  <c r="B87" i="62"/>
  <c r="B89" i="62" s="1"/>
  <c r="B90" i="62" s="1"/>
  <c r="AI91" i="62"/>
  <c r="AH91" i="62"/>
  <c r="AF87" i="60"/>
  <c r="AF89" i="60" s="1"/>
  <c r="AE5" i="60"/>
  <c r="F7" i="62"/>
  <c r="X246" i="62"/>
  <c r="AD7" i="62"/>
  <c r="AV246" i="62"/>
  <c r="AD90" i="62"/>
  <c r="E232" i="62"/>
  <c r="V7" i="62"/>
  <c r="AN246" i="62"/>
  <c r="H226" i="62"/>
  <c r="P90" i="62"/>
  <c r="P7" i="62"/>
  <c r="AH246" i="62"/>
  <c r="X7" i="62"/>
  <c r="AP246" i="62"/>
  <c r="AF90" i="62"/>
  <c r="AF7" i="62"/>
  <c r="AX246" i="62"/>
  <c r="Y246" i="62"/>
  <c r="G90" i="62"/>
  <c r="G7" i="62"/>
  <c r="AC7" i="62"/>
  <c r="AU246" i="62"/>
  <c r="AC90" i="62"/>
  <c r="N7" i="62"/>
  <c r="AF246" i="62"/>
  <c r="N90" i="62"/>
  <c r="I7" i="62"/>
  <c r="AA246" i="62"/>
  <c r="Q7" i="62"/>
  <c r="AI246" i="62"/>
  <c r="Q90" i="62"/>
  <c r="Y7" i="62"/>
  <c r="AQ246" i="62"/>
  <c r="AG246" i="62"/>
  <c r="O90" i="62"/>
  <c r="O7" i="62"/>
  <c r="U7" i="62"/>
  <c r="AM246" i="62"/>
  <c r="J90" i="62"/>
  <c r="Z7" i="62"/>
  <c r="AR246" i="62"/>
  <c r="AO246" i="62"/>
  <c r="W90" i="62"/>
  <c r="W7" i="62"/>
  <c r="U246" i="62"/>
  <c r="S90" i="62"/>
  <c r="AK246" i="62"/>
  <c r="S7" i="62"/>
  <c r="AA90" i="62"/>
  <c r="AS246" i="62"/>
  <c r="AA7" i="62"/>
  <c r="AW246" i="62"/>
  <c r="AE90" i="62"/>
  <c r="AE7" i="62"/>
  <c r="R90" i="62"/>
  <c r="R7" i="62"/>
  <c r="AJ246" i="62"/>
  <c r="L7" i="62"/>
  <c r="AL246" i="62"/>
  <c r="T7" i="62"/>
  <c r="AB90" i="62"/>
  <c r="AB7" i="62"/>
  <c r="AT246" i="62"/>
  <c r="AI98" i="62"/>
  <c r="AH52" i="62"/>
  <c r="AH70" i="62"/>
  <c r="D243" i="62"/>
  <c r="AH48" i="62"/>
  <c r="B5" i="62"/>
  <c r="J5" i="62"/>
  <c r="R5" i="62"/>
  <c r="Z5" i="62"/>
  <c r="AH66" i="62"/>
  <c r="F231" i="62"/>
  <c r="F232" i="62" s="1"/>
  <c r="AI48" i="62"/>
  <c r="C98" i="62"/>
  <c r="AH98" i="62" s="1"/>
  <c r="E229" i="62"/>
  <c r="F229" i="62" s="1"/>
  <c r="G229" i="62" s="1"/>
  <c r="H229" i="62" s="1"/>
  <c r="I229" i="62" s="1"/>
  <c r="AD5" i="60"/>
  <c r="AE87" i="60"/>
  <c r="AE89" i="60" s="1"/>
  <c r="AB5" i="60"/>
  <c r="G231" i="60"/>
  <c r="F267" i="60" s="1"/>
  <c r="Q87" i="60"/>
  <c r="Q89" i="60" s="1"/>
  <c r="AC87" i="60"/>
  <c r="AC89" i="60" s="1"/>
  <c r="AD87" i="60"/>
  <c r="AD89" i="60" s="1"/>
  <c r="Z5" i="60"/>
  <c r="AA87" i="60"/>
  <c r="AA89" i="60" s="1"/>
  <c r="X5" i="60"/>
  <c r="Y87" i="60"/>
  <c r="Y89" i="60" s="1"/>
  <c r="W5" i="60"/>
  <c r="V5" i="60"/>
  <c r="W87" i="60"/>
  <c r="W89" i="60" s="1"/>
  <c r="U5" i="60"/>
  <c r="V87" i="60"/>
  <c r="V89" i="60" s="1"/>
  <c r="U98" i="60"/>
  <c r="U87" i="60"/>
  <c r="U89" i="60" s="1"/>
  <c r="U7" i="60" s="1"/>
  <c r="S5" i="60"/>
  <c r="R5" i="60"/>
  <c r="T87" i="60"/>
  <c r="T89" i="60" s="1"/>
  <c r="S87" i="60"/>
  <c r="S89" i="60" s="1"/>
  <c r="Q5" i="60"/>
  <c r="R87" i="60"/>
  <c r="R89" i="60" s="1"/>
  <c r="O5" i="60"/>
  <c r="P87" i="60"/>
  <c r="P89" i="60" s="1"/>
  <c r="P90" i="60" s="1"/>
  <c r="N5" i="60"/>
  <c r="O87" i="60"/>
  <c r="O89" i="60" s="1"/>
  <c r="N87" i="60"/>
  <c r="N89" i="60" s="1"/>
  <c r="L5" i="60"/>
  <c r="M87" i="60"/>
  <c r="M89" i="60" s="1"/>
  <c r="M7" i="60" s="1"/>
  <c r="K5" i="60"/>
  <c r="L87" i="60"/>
  <c r="L89" i="60" s="1"/>
  <c r="L7" i="60" s="1"/>
  <c r="J5" i="60"/>
  <c r="K87" i="60"/>
  <c r="K89" i="60" s="1"/>
  <c r="K90" i="60" s="1"/>
  <c r="I5" i="60"/>
  <c r="J87" i="60"/>
  <c r="J89" i="60" s="1"/>
  <c r="AB246" i="60" s="1"/>
  <c r="H5" i="60"/>
  <c r="I87" i="60"/>
  <c r="I89" i="60" s="1"/>
  <c r="I90" i="60" s="1"/>
  <c r="AI70" i="60"/>
  <c r="G5" i="60"/>
  <c r="H87" i="60"/>
  <c r="H89" i="60" s="1"/>
  <c r="H7" i="60" s="1"/>
  <c r="G87" i="60"/>
  <c r="G89" i="60" s="1"/>
  <c r="G7" i="60" s="1"/>
  <c r="AI52" i="60"/>
  <c r="E5" i="60"/>
  <c r="F87" i="60"/>
  <c r="F89" i="60" s="1"/>
  <c r="F90" i="60" s="1"/>
  <c r="D5" i="60"/>
  <c r="E87" i="60"/>
  <c r="E89" i="60" s="1"/>
  <c r="W246" i="60" s="1"/>
  <c r="C5" i="60"/>
  <c r="D87" i="60"/>
  <c r="D89" i="60" s="1"/>
  <c r="D90" i="60" s="1"/>
  <c r="B5" i="60"/>
  <c r="AI66" i="60"/>
  <c r="C87" i="60"/>
  <c r="C89" i="60" s="1"/>
  <c r="C90" i="60" s="1"/>
  <c r="AF5" i="60"/>
  <c r="B87" i="60"/>
  <c r="B89" i="60" s="1"/>
  <c r="B90" i="60" s="1"/>
  <c r="S90" i="60"/>
  <c r="S7" i="60"/>
  <c r="AK246" i="60"/>
  <c r="Q90" i="60"/>
  <c r="Q7" i="60"/>
  <c r="AI246" i="60"/>
  <c r="Y90" i="60"/>
  <c r="Y7" i="60"/>
  <c r="AQ246" i="60"/>
  <c r="J229" i="60"/>
  <c r="K229" i="60" s="1"/>
  <c r="L229" i="60" s="1"/>
  <c r="M229" i="60" s="1"/>
  <c r="N229" i="60" s="1"/>
  <c r="O229" i="60" s="1"/>
  <c r="P229" i="60" s="1"/>
  <c r="R90" i="60"/>
  <c r="R7" i="60"/>
  <c r="AJ246" i="60"/>
  <c r="Z90" i="60"/>
  <c r="Z7" i="60"/>
  <c r="AR246" i="60"/>
  <c r="T90" i="60"/>
  <c r="T7" i="60"/>
  <c r="AL246" i="60"/>
  <c r="AB90" i="60"/>
  <c r="AB7" i="60"/>
  <c r="AT246" i="60"/>
  <c r="AC7" i="60"/>
  <c r="AU246" i="60"/>
  <c r="AC90" i="60"/>
  <c r="N7" i="60"/>
  <c r="AF246" i="60"/>
  <c r="N90" i="60"/>
  <c r="V7" i="60"/>
  <c r="AN246" i="60"/>
  <c r="V90" i="60"/>
  <c r="AD7" i="60"/>
  <c r="AV246" i="60"/>
  <c r="AD90" i="60"/>
  <c r="AG89" i="60"/>
  <c r="AA90" i="60"/>
  <c r="AA7" i="60"/>
  <c r="AS246" i="60"/>
  <c r="AG246" i="60"/>
  <c r="O90" i="60"/>
  <c r="O7" i="60"/>
  <c r="AO246" i="60"/>
  <c r="W90" i="60"/>
  <c r="W7" i="60"/>
  <c r="AW246" i="60"/>
  <c r="AE90" i="60"/>
  <c r="AE7" i="60"/>
  <c r="AI98" i="60"/>
  <c r="AH98" i="60"/>
  <c r="G226" i="60"/>
  <c r="F108" i="60"/>
  <c r="F232" i="60"/>
  <c r="X90" i="60"/>
  <c r="X7" i="60"/>
  <c r="AP246" i="60"/>
  <c r="AF90" i="60"/>
  <c r="AF7" i="60"/>
  <c r="AX246" i="60"/>
  <c r="AH70" i="60"/>
  <c r="E232" i="60"/>
  <c r="D243" i="60"/>
  <c r="AH66" i="60"/>
  <c r="AH82" i="60"/>
  <c r="AH48" i="60"/>
  <c r="AH52" i="60"/>
  <c r="AI82" i="60"/>
  <c r="H231" i="60"/>
  <c r="AI48" i="60"/>
  <c r="Z87" i="59"/>
  <c r="Z89" i="59" s="1"/>
  <c r="Z90" i="59" s="1"/>
  <c r="Z107" i="59" s="1"/>
  <c r="Z98" i="59"/>
  <c r="I111" i="59"/>
  <c r="J111" i="59"/>
  <c r="L111" i="59"/>
  <c r="J48" i="59"/>
  <c r="K48" i="59"/>
  <c r="L48" i="59"/>
  <c r="J52" i="59"/>
  <c r="K52" i="59"/>
  <c r="L52" i="59"/>
  <c r="J66" i="59"/>
  <c r="K66" i="59"/>
  <c r="L66" i="59"/>
  <c r="J82" i="59"/>
  <c r="I5" i="59" s="1"/>
  <c r="K82" i="59"/>
  <c r="K98" i="59" s="1"/>
  <c r="L82" i="59"/>
  <c r="L98" i="59" s="1"/>
  <c r="G116" i="59"/>
  <c r="H111" i="59"/>
  <c r="H48" i="59"/>
  <c r="I48" i="59"/>
  <c r="H52" i="59"/>
  <c r="I52" i="59"/>
  <c r="H66" i="59"/>
  <c r="I66" i="59"/>
  <c r="H82" i="59"/>
  <c r="I82" i="59"/>
  <c r="H98" i="59"/>
  <c r="F111" i="59"/>
  <c r="E48" i="59"/>
  <c r="F48" i="59"/>
  <c r="G48" i="59"/>
  <c r="E52" i="59"/>
  <c r="F52" i="59"/>
  <c r="G52" i="59"/>
  <c r="E66" i="59"/>
  <c r="F66" i="59"/>
  <c r="G66" i="59"/>
  <c r="E82" i="59"/>
  <c r="E98" i="59" s="1"/>
  <c r="F82" i="59"/>
  <c r="E5" i="59" s="1"/>
  <c r="G82" i="59"/>
  <c r="F5" i="59" s="1"/>
  <c r="AF271" i="59"/>
  <c r="AE271" i="59"/>
  <c r="AD271" i="59"/>
  <c r="AC271" i="59"/>
  <c r="AB271" i="59"/>
  <c r="AA271" i="59"/>
  <c r="Z271" i="59"/>
  <c r="Y271" i="59"/>
  <c r="X271" i="59"/>
  <c r="W271" i="59"/>
  <c r="V271" i="59"/>
  <c r="U271" i="59"/>
  <c r="T271" i="59"/>
  <c r="S271" i="59"/>
  <c r="R271" i="59"/>
  <c r="Q271" i="59"/>
  <c r="P271" i="59"/>
  <c r="O271" i="59"/>
  <c r="N271" i="59"/>
  <c r="M271" i="59"/>
  <c r="L271" i="59"/>
  <c r="K271" i="59"/>
  <c r="J271" i="59"/>
  <c r="I271" i="59"/>
  <c r="H271" i="59"/>
  <c r="G271" i="59"/>
  <c r="F271" i="59"/>
  <c r="E271" i="59"/>
  <c r="D271" i="59"/>
  <c r="C271" i="59"/>
  <c r="B271" i="59"/>
  <c r="A271" i="59"/>
  <c r="AF270" i="59"/>
  <c r="AE270" i="59"/>
  <c r="AD270" i="59"/>
  <c r="AC270" i="59"/>
  <c r="AB270" i="59"/>
  <c r="AA270" i="59"/>
  <c r="Z270" i="59"/>
  <c r="Y270" i="59"/>
  <c r="X270" i="59"/>
  <c r="W270" i="59"/>
  <c r="V270" i="59"/>
  <c r="U270" i="59"/>
  <c r="T270" i="59"/>
  <c r="S270" i="59"/>
  <c r="R270" i="59"/>
  <c r="Q270" i="59"/>
  <c r="P270" i="59"/>
  <c r="O270" i="59"/>
  <c r="N270" i="59"/>
  <c r="M270" i="59"/>
  <c r="L270" i="59"/>
  <c r="K270" i="59"/>
  <c r="J270" i="59"/>
  <c r="I270" i="59"/>
  <c r="H270" i="59"/>
  <c r="G270" i="59"/>
  <c r="F270" i="59"/>
  <c r="E270" i="59"/>
  <c r="D270" i="59"/>
  <c r="C270" i="59"/>
  <c r="B270" i="59"/>
  <c r="A270" i="59"/>
  <c r="AF269" i="59"/>
  <c r="AE269" i="59"/>
  <c r="AD269" i="59"/>
  <c r="AC269" i="59"/>
  <c r="AB269" i="59"/>
  <c r="AA269" i="59"/>
  <c r="Z269" i="59"/>
  <c r="Y269" i="59"/>
  <c r="X269" i="59"/>
  <c r="W269" i="59"/>
  <c r="V269" i="59"/>
  <c r="U269" i="59"/>
  <c r="T269" i="59"/>
  <c r="S269" i="59"/>
  <c r="R269" i="59"/>
  <c r="Q269" i="59"/>
  <c r="P269" i="59"/>
  <c r="O269" i="59"/>
  <c r="N269" i="59"/>
  <c r="M269" i="59"/>
  <c r="L269" i="59"/>
  <c r="K269" i="59"/>
  <c r="J269" i="59"/>
  <c r="I269" i="59"/>
  <c r="H269" i="59"/>
  <c r="G269" i="59"/>
  <c r="F269" i="59"/>
  <c r="E269" i="59"/>
  <c r="D269" i="59"/>
  <c r="C269" i="59"/>
  <c r="B269" i="59"/>
  <c r="A269" i="59"/>
  <c r="AF268" i="59"/>
  <c r="AE268" i="59"/>
  <c r="AD268" i="59"/>
  <c r="AC268" i="59"/>
  <c r="AB268" i="59"/>
  <c r="AA268" i="59"/>
  <c r="Z268" i="59"/>
  <c r="Y268" i="59"/>
  <c r="X268" i="59"/>
  <c r="W268" i="59"/>
  <c r="V268" i="59"/>
  <c r="U268" i="59"/>
  <c r="T268" i="59"/>
  <c r="S268" i="59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F268" i="59"/>
  <c r="E268" i="59"/>
  <c r="D268" i="59"/>
  <c r="C268" i="59"/>
  <c r="B268" i="59"/>
  <c r="A268" i="59"/>
  <c r="AE267" i="59"/>
  <c r="AD267" i="59"/>
  <c r="AC267" i="59"/>
  <c r="AB267" i="59"/>
  <c r="AA267" i="59"/>
  <c r="Z267" i="59"/>
  <c r="Y267" i="59"/>
  <c r="X267" i="59"/>
  <c r="W267" i="59"/>
  <c r="V267" i="59"/>
  <c r="U267" i="59"/>
  <c r="T267" i="59"/>
  <c r="S267" i="59"/>
  <c r="R267" i="59"/>
  <c r="Q267" i="59"/>
  <c r="P267" i="59"/>
  <c r="B267" i="59"/>
  <c r="S242" i="59"/>
  <c r="AG232" i="59"/>
  <c r="AF232" i="59"/>
  <c r="AE232" i="59"/>
  <c r="AD232" i="59"/>
  <c r="AC232" i="59"/>
  <c r="AB232" i="59"/>
  <c r="AA232" i="59"/>
  <c r="Z232" i="59"/>
  <c r="Y232" i="59"/>
  <c r="X232" i="59"/>
  <c r="W232" i="59"/>
  <c r="V232" i="59"/>
  <c r="U232" i="59"/>
  <c r="T232" i="59"/>
  <c r="S232" i="59"/>
  <c r="R232" i="59"/>
  <c r="Q232" i="59"/>
  <c r="C232" i="59"/>
  <c r="D231" i="59"/>
  <c r="C267" i="59" s="1"/>
  <c r="B231" i="59"/>
  <c r="AF267" i="59" s="1"/>
  <c r="D230" i="59"/>
  <c r="E230" i="59" s="1"/>
  <c r="F230" i="59" s="1"/>
  <c r="G230" i="59" s="1"/>
  <c r="H230" i="59" s="1"/>
  <c r="I230" i="59" s="1"/>
  <c r="J230" i="59" s="1"/>
  <c r="K230" i="59" s="1"/>
  <c r="L230" i="59" s="1"/>
  <c r="M230" i="59" s="1"/>
  <c r="N230" i="59" s="1"/>
  <c r="O230" i="59" s="1"/>
  <c r="P230" i="59" s="1"/>
  <c r="B230" i="59"/>
  <c r="D229" i="59"/>
  <c r="E229" i="59" s="1"/>
  <c r="F229" i="59" s="1"/>
  <c r="G229" i="59" s="1"/>
  <c r="H229" i="59" s="1"/>
  <c r="I229" i="59" s="1"/>
  <c r="B229" i="59"/>
  <c r="E228" i="59"/>
  <c r="F228" i="59" s="1"/>
  <c r="G228" i="59" s="1"/>
  <c r="H228" i="59" s="1"/>
  <c r="D228" i="59"/>
  <c r="B228" i="59"/>
  <c r="D227" i="59"/>
  <c r="B227" i="59"/>
  <c r="E226" i="59"/>
  <c r="F226" i="59" s="1"/>
  <c r="D226" i="59"/>
  <c r="B226" i="59"/>
  <c r="AG224" i="59"/>
  <c r="AF224" i="59"/>
  <c r="AE224" i="59"/>
  <c r="AD224" i="59"/>
  <c r="AC224" i="59"/>
  <c r="AB224" i="59"/>
  <c r="AA224" i="59"/>
  <c r="Z224" i="59"/>
  <c r="Y224" i="59"/>
  <c r="X224" i="59"/>
  <c r="W224" i="59"/>
  <c r="V224" i="59"/>
  <c r="U224" i="59"/>
  <c r="T224" i="59"/>
  <c r="S224" i="59"/>
  <c r="R224" i="59"/>
  <c r="Q224" i="59"/>
  <c r="P224" i="59"/>
  <c r="O224" i="59"/>
  <c r="N224" i="59"/>
  <c r="M224" i="59"/>
  <c r="L224" i="59"/>
  <c r="K224" i="59"/>
  <c r="J224" i="59"/>
  <c r="I224" i="59"/>
  <c r="H224" i="59"/>
  <c r="G224" i="59"/>
  <c r="F224" i="59"/>
  <c r="E224" i="59"/>
  <c r="D224" i="59"/>
  <c r="C224" i="59"/>
  <c r="B224" i="59"/>
  <c r="AI117" i="59"/>
  <c r="AH117" i="59"/>
  <c r="AI116" i="59"/>
  <c r="AH116" i="59"/>
  <c r="AI115" i="59"/>
  <c r="AH115" i="59"/>
  <c r="AI114" i="59"/>
  <c r="AH114" i="59"/>
  <c r="AI113" i="59"/>
  <c r="AH113" i="59"/>
  <c r="AI112" i="59"/>
  <c r="AH112" i="59"/>
  <c r="AH111" i="59"/>
  <c r="AI110" i="59"/>
  <c r="AH110" i="59"/>
  <c r="AI109" i="59"/>
  <c r="AH109" i="59"/>
  <c r="AF108" i="59"/>
  <c r="AE108" i="59"/>
  <c r="AD108" i="59"/>
  <c r="AC108" i="59"/>
  <c r="AB108" i="59"/>
  <c r="AA108" i="59"/>
  <c r="Y108" i="59"/>
  <c r="X108" i="59"/>
  <c r="W108" i="59"/>
  <c r="V108" i="59"/>
  <c r="U108" i="59"/>
  <c r="T108" i="59"/>
  <c r="S108" i="59"/>
  <c r="R108" i="59"/>
  <c r="Q108" i="59"/>
  <c r="D108" i="59"/>
  <c r="C108" i="59"/>
  <c r="B108" i="59"/>
  <c r="AI106" i="59"/>
  <c r="AH106" i="59"/>
  <c r="AI105" i="59"/>
  <c r="AH105" i="59"/>
  <c r="AI104" i="59"/>
  <c r="AH104" i="59"/>
  <c r="AI103" i="59"/>
  <c r="AH103" i="59"/>
  <c r="AI102" i="59"/>
  <c r="AH102" i="59"/>
  <c r="AI101" i="59"/>
  <c r="AH101" i="59"/>
  <c r="AI100" i="59"/>
  <c r="AH100" i="59"/>
  <c r="AI99" i="59"/>
  <c r="AH99" i="59"/>
  <c r="AI97" i="59"/>
  <c r="AH97" i="59"/>
  <c r="AI96" i="59"/>
  <c r="AH96" i="59"/>
  <c r="AI95" i="59"/>
  <c r="AH95" i="59"/>
  <c r="AI94" i="59"/>
  <c r="AH94" i="59"/>
  <c r="AI93" i="59"/>
  <c r="AH93" i="59"/>
  <c r="AI92" i="59"/>
  <c r="AH92" i="59"/>
  <c r="AI91" i="59"/>
  <c r="AH91" i="59"/>
  <c r="AI88" i="59"/>
  <c r="AH88" i="59"/>
  <c r="AI86" i="59"/>
  <c r="AH86" i="59"/>
  <c r="AG86" i="59"/>
  <c r="AI85" i="59"/>
  <c r="AH85" i="59"/>
  <c r="AI84" i="59"/>
  <c r="AH84" i="59"/>
  <c r="AI83" i="59"/>
  <c r="AH83" i="59"/>
  <c r="AN82" i="59"/>
  <c r="AG82" i="59"/>
  <c r="AF82" i="59"/>
  <c r="AF98" i="59" s="1"/>
  <c r="AE82" i="59"/>
  <c r="AE98" i="59" s="1"/>
  <c r="AD82" i="59"/>
  <c r="AD98" i="59" s="1"/>
  <c r="AC82" i="59"/>
  <c r="AC98" i="59" s="1"/>
  <c r="AB82" i="59"/>
  <c r="AB98" i="59" s="1"/>
  <c r="AA82" i="59"/>
  <c r="AA98" i="59" s="1"/>
  <c r="Y82" i="59"/>
  <c r="Y98" i="59" s="1"/>
  <c r="X82" i="59"/>
  <c r="X98" i="59" s="1"/>
  <c r="W82" i="59"/>
  <c r="W98" i="59" s="1"/>
  <c r="V82" i="59"/>
  <c r="V98" i="59" s="1"/>
  <c r="U82" i="59"/>
  <c r="T5" i="59" s="1"/>
  <c r="T82" i="59"/>
  <c r="T98" i="59" s="1"/>
  <c r="S82" i="59"/>
  <c r="S98" i="59" s="1"/>
  <c r="R82" i="59"/>
  <c r="R98" i="59" s="1"/>
  <c r="Q82" i="59"/>
  <c r="Q98" i="59" s="1"/>
  <c r="P82" i="59"/>
  <c r="P98" i="59" s="1"/>
  <c r="O82" i="59"/>
  <c r="O98" i="59" s="1"/>
  <c r="N82" i="59"/>
  <c r="N98" i="59" s="1"/>
  <c r="M82" i="59"/>
  <c r="M98" i="59" s="1"/>
  <c r="D82" i="59"/>
  <c r="D98" i="59" s="1"/>
  <c r="C82" i="59"/>
  <c r="C98" i="59" s="1"/>
  <c r="B82" i="59"/>
  <c r="B98" i="59" s="1"/>
  <c r="AI81" i="59"/>
  <c r="AH81" i="59"/>
  <c r="AN80" i="59"/>
  <c r="AI80" i="59"/>
  <c r="AH80" i="59"/>
  <c r="AN79" i="59"/>
  <c r="AN81" i="59" s="1"/>
  <c r="AI79" i="59"/>
  <c r="AH79" i="59"/>
  <c r="AI78" i="59"/>
  <c r="AH78" i="59"/>
  <c r="AI77" i="59"/>
  <c r="AH77" i="59"/>
  <c r="AI76" i="59"/>
  <c r="AH76" i="59"/>
  <c r="AI75" i="59"/>
  <c r="AH75" i="59"/>
  <c r="AI74" i="59"/>
  <c r="AH74" i="59"/>
  <c r="AI73" i="59"/>
  <c r="AH73" i="59"/>
  <c r="AI72" i="59"/>
  <c r="AH72" i="59"/>
  <c r="AI71" i="59"/>
  <c r="AH71" i="59"/>
  <c r="AG70" i="59"/>
  <c r="AF70" i="59"/>
  <c r="AE70" i="59"/>
  <c r="AD70" i="59"/>
  <c r="AC70" i="59"/>
  <c r="AB70" i="59"/>
  <c r="AA70" i="59"/>
  <c r="Y70" i="59"/>
  <c r="X70" i="59"/>
  <c r="W70" i="59"/>
  <c r="V70" i="59"/>
  <c r="U70" i="59"/>
  <c r="T70" i="59"/>
  <c r="S70" i="59"/>
  <c r="R70" i="59"/>
  <c r="Q70" i="59"/>
  <c r="P70" i="59"/>
  <c r="O70" i="59"/>
  <c r="N70" i="59"/>
  <c r="M70" i="59"/>
  <c r="B70" i="59"/>
  <c r="AI69" i="59"/>
  <c r="AH69" i="59"/>
  <c r="AI68" i="59"/>
  <c r="AH68" i="59"/>
  <c r="AI67" i="59"/>
  <c r="AH67" i="59"/>
  <c r="AF66" i="59"/>
  <c r="AE66" i="59"/>
  <c r="AD66" i="59"/>
  <c r="AC66" i="59"/>
  <c r="AB66" i="59"/>
  <c r="AA66" i="59"/>
  <c r="Y66" i="59"/>
  <c r="X66" i="59"/>
  <c r="W66" i="59"/>
  <c r="V66" i="59"/>
  <c r="U66" i="59"/>
  <c r="T66" i="59"/>
  <c r="S66" i="59"/>
  <c r="R66" i="59"/>
  <c r="Q66" i="59"/>
  <c r="P66" i="59"/>
  <c r="O66" i="59"/>
  <c r="N66" i="59"/>
  <c r="M66" i="59"/>
  <c r="D66" i="59"/>
  <c r="C66" i="59"/>
  <c r="B66" i="59"/>
  <c r="AI65" i="59"/>
  <c r="AH65" i="59"/>
  <c r="AG65" i="59"/>
  <c r="AG66" i="59" s="1"/>
  <c r="AG3" i="59" s="1"/>
  <c r="AI64" i="59"/>
  <c r="AH64" i="59"/>
  <c r="AI63" i="59"/>
  <c r="AH63" i="59"/>
  <c r="AI62" i="59"/>
  <c r="AH62" i="59"/>
  <c r="AI61" i="59"/>
  <c r="AH61" i="59"/>
  <c r="AI60" i="59"/>
  <c r="AH60" i="59"/>
  <c r="AI59" i="59"/>
  <c r="AH59" i="59"/>
  <c r="AI58" i="59"/>
  <c r="AH58" i="59"/>
  <c r="AI57" i="59"/>
  <c r="AH57" i="59"/>
  <c r="AI56" i="59"/>
  <c r="AH56" i="59"/>
  <c r="AI55" i="59"/>
  <c r="AH55" i="59"/>
  <c r="AI54" i="59"/>
  <c r="AH54" i="59"/>
  <c r="AI53" i="59"/>
  <c r="AH53" i="59"/>
  <c r="AG52" i="59"/>
  <c r="AF52" i="59"/>
  <c r="AE52" i="59"/>
  <c r="AD52" i="59"/>
  <c r="AC52" i="59"/>
  <c r="AB52" i="59"/>
  <c r="AA52" i="59"/>
  <c r="Y52" i="59"/>
  <c r="X52" i="59"/>
  <c r="W52" i="59"/>
  <c r="V52" i="59"/>
  <c r="U52" i="59"/>
  <c r="T52" i="59"/>
  <c r="S52" i="59"/>
  <c r="R52" i="59"/>
  <c r="P52" i="59"/>
  <c r="O52" i="59"/>
  <c r="N52" i="59"/>
  <c r="M52" i="59"/>
  <c r="D52" i="59"/>
  <c r="C52" i="59"/>
  <c r="B52" i="59"/>
  <c r="AI51" i="59"/>
  <c r="AH51" i="59"/>
  <c r="AI50" i="59"/>
  <c r="AH50" i="59"/>
  <c r="AI49" i="59"/>
  <c r="AH49" i="59"/>
  <c r="AG48" i="59"/>
  <c r="AF48" i="59"/>
  <c r="AE48" i="59"/>
  <c r="AD48" i="59"/>
  <c r="AC48" i="59"/>
  <c r="AB48" i="59"/>
  <c r="AA48" i="59"/>
  <c r="Y48" i="59"/>
  <c r="X48" i="59"/>
  <c r="W48" i="59"/>
  <c r="V48" i="59"/>
  <c r="U48" i="59"/>
  <c r="T48" i="59"/>
  <c r="S48" i="59"/>
  <c r="S87" i="59" s="1"/>
  <c r="S89" i="59" s="1"/>
  <c r="R48" i="59"/>
  <c r="P48" i="59"/>
  <c r="O48" i="59"/>
  <c r="N48" i="59"/>
  <c r="M48" i="59"/>
  <c r="D48" i="59"/>
  <c r="C48" i="59"/>
  <c r="B48" i="59"/>
  <c r="AI47" i="59"/>
  <c r="AH47" i="59"/>
  <c r="AI46" i="59"/>
  <c r="AH46" i="59"/>
  <c r="AI45" i="59"/>
  <c r="AH45" i="59"/>
  <c r="AI44" i="59"/>
  <c r="AH44" i="59"/>
  <c r="AI43" i="59"/>
  <c r="AH43" i="59"/>
  <c r="AI42" i="59"/>
  <c r="AH42" i="59"/>
  <c r="AI41" i="59"/>
  <c r="AH41" i="59"/>
  <c r="AI40" i="59"/>
  <c r="AH40" i="59"/>
  <c r="AI39" i="59"/>
  <c r="AH39" i="59"/>
  <c r="AI38" i="59"/>
  <c r="AH38" i="59"/>
  <c r="AI37" i="59"/>
  <c r="AH37" i="59"/>
  <c r="AI36" i="59"/>
  <c r="AH36" i="59"/>
  <c r="AI35" i="59"/>
  <c r="AH35" i="59"/>
  <c r="AI34" i="59"/>
  <c r="AH34" i="59"/>
  <c r="AI33" i="59"/>
  <c r="AH33" i="59"/>
  <c r="AI32" i="59"/>
  <c r="AH32" i="59"/>
  <c r="AI31" i="59"/>
  <c r="AH31" i="59"/>
  <c r="AI30" i="59"/>
  <c r="AH30" i="59"/>
  <c r="AI29" i="59"/>
  <c r="AH29" i="59"/>
  <c r="AI28" i="59"/>
  <c r="AH28" i="59"/>
  <c r="AI27" i="59"/>
  <c r="AH27" i="59"/>
  <c r="AI26" i="59"/>
  <c r="AH26" i="59"/>
  <c r="AI25" i="59"/>
  <c r="AH25" i="59"/>
  <c r="AI24" i="59"/>
  <c r="AH24" i="59"/>
  <c r="AI23" i="59"/>
  <c r="AH23" i="59"/>
  <c r="AI22" i="59"/>
  <c r="AH22" i="59"/>
  <c r="AI21" i="59"/>
  <c r="AH21" i="59"/>
  <c r="AI20" i="59"/>
  <c r="AH20" i="59"/>
  <c r="AI19" i="59"/>
  <c r="AH19" i="59"/>
  <c r="AI18" i="59"/>
  <c r="AH18" i="59"/>
  <c r="AI17" i="59"/>
  <c r="AH17" i="59"/>
  <c r="AI16" i="59"/>
  <c r="AH16" i="59"/>
  <c r="AI15" i="59"/>
  <c r="AH15" i="59"/>
  <c r="AI14" i="59"/>
  <c r="AH14" i="59"/>
  <c r="AI13" i="59"/>
  <c r="AH13" i="59"/>
  <c r="AI12" i="59"/>
  <c r="AH12" i="59"/>
  <c r="AI11" i="59"/>
  <c r="AH11" i="59"/>
  <c r="AC5" i="59"/>
  <c r="Y5" i="59"/>
  <c r="R5" i="59"/>
  <c r="L5" i="59"/>
  <c r="J5" i="59"/>
  <c r="G5" i="59"/>
  <c r="D5" i="59"/>
  <c r="AG4" i="59"/>
  <c r="K4" i="59"/>
  <c r="E4" i="59"/>
  <c r="H4" i="59" s="1"/>
  <c r="B4" i="59"/>
  <c r="S243" i="59" s="1"/>
  <c r="AA48" i="58"/>
  <c r="AA52" i="58"/>
  <c r="Z48" i="58"/>
  <c r="Z52" i="58"/>
  <c r="Z66" i="58"/>
  <c r="Z70" i="58"/>
  <c r="Y48" i="58"/>
  <c r="Y52" i="58"/>
  <c r="Q111" i="58"/>
  <c r="AF271" i="58"/>
  <c r="AE271" i="58"/>
  <c r="AD271" i="58"/>
  <c r="AC271" i="58"/>
  <c r="AB271" i="58"/>
  <c r="AA271" i="58"/>
  <c r="Z271" i="58"/>
  <c r="Y271" i="58"/>
  <c r="X271" i="58"/>
  <c r="W271" i="58"/>
  <c r="V271" i="58"/>
  <c r="U271" i="58"/>
  <c r="T271" i="58"/>
  <c r="S271" i="58"/>
  <c r="R271" i="58"/>
  <c r="Q271" i="58"/>
  <c r="P271" i="58"/>
  <c r="O271" i="58"/>
  <c r="N271" i="58"/>
  <c r="M271" i="58"/>
  <c r="L271" i="58"/>
  <c r="K271" i="58"/>
  <c r="J271" i="58"/>
  <c r="I271" i="58"/>
  <c r="H271" i="58"/>
  <c r="G271" i="58"/>
  <c r="F271" i="58"/>
  <c r="E271" i="58"/>
  <c r="D271" i="58"/>
  <c r="C271" i="58"/>
  <c r="B271" i="58"/>
  <c r="A271" i="58"/>
  <c r="AF270" i="58"/>
  <c r="AE270" i="58"/>
  <c r="AD270" i="58"/>
  <c r="AC270" i="58"/>
  <c r="AB270" i="58"/>
  <c r="AA270" i="58"/>
  <c r="Z270" i="58"/>
  <c r="Y270" i="58"/>
  <c r="X270" i="58"/>
  <c r="W270" i="58"/>
  <c r="V270" i="58"/>
  <c r="U270" i="58"/>
  <c r="T270" i="58"/>
  <c r="S270" i="58"/>
  <c r="R270" i="58"/>
  <c r="Q270" i="58"/>
  <c r="P270" i="58"/>
  <c r="O270" i="58"/>
  <c r="N270" i="58"/>
  <c r="M270" i="58"/>
  <c r="L270" i="58"/>
  <c r="K270" i="58"/>
  <c r="J270" i="58"/>
  <c r="I270" i="58"/>
  <c r="H270" i="58"/>
  <c r="G270" i="58"/>
  <c r="F270" i="58"/>
  <c r="E270" i="58"/>
  <c r="D270" i="58"/>
  <c r="C270" i="58"/>
  <c r="B270" i="58"/>
  <c r="A270" i="58"/>
  <c r="AF269" i="58"/>
  <c r="AE269" i="58"/>
  <c r="AD269" i="58"/>
  <c r="AC269" i="58"/>
  <c r="AB269" i="58"/>
  <c r="AA269" i="58"/>
  <c r="Z269" i="58"/>
  <c r="Y269" i="58"/>
  <c r="X269" i="58"/>
  <c r="W269" i="58"/>
  <c r="V269" i="58"/>
  <c r="U269" i="58"/>
  <c r="T269" i="58"/>
  <c r="S269" i="58"/>
  <c r="R269" i="58"/>
  <c r="Q269" i="58"/>
  <c r="P269" i="58"/>
  <c r="O269" i="58"/>
  <c r="N269" i="58"/>
  <c r="M269" i="58"/>
  <c r="L269" i="58"/>
  <c r="K269" i="58"/>
  <c r="J269" i="58"/>
  <c r="I269" i="58"/>
  <c r="H269" i="58"/>
  <c r="G269" i="58"/>
  <c r="F269" i="58"/>
  <c r="E269" i="58"/>
  <c r="D269" i="58"/>
  <c r="C269" i="58"/>
  <c r="B269" i="58"/>
  <c r="A269" i="58"/>
  <c r="AF268" i="58"/>
  <c r="AE268" i="58"/>
  <c r="AD268" i="58"/>
  <c r="AC268" i="58"/>
  <c r="AB268" i="58"/>
  <c r="AA268" i="58"/>
  <c r="Z268" i="58"/>
  <c r="Y268" i="58"/>
  <c r="X268" i="58"/>
  <c r="W268" i="58"/>
  <c r="V268" i="58"/>
  <c r="U268" i="58"/>
  <c r="T268" i="58"/>
  <c r="S268" i="58"/>
  <c r="R268" i="58"/>
  <c r="Q268" i="58"/>
  <c r="P268" i="58"/>
  <c r="O268" i="58"/>
  <c r="N268" i="58"/>
  <c r="M268" i="58"/>
  <c r="L268" i="58"/>
  <c r="K268" i="58"/>
  <c r="J268" i="58"/>
  <c r="I268" i="58"/>
  <c r="H268" i="58"/>
  <c r="G268" i="58"/>
  <c r="F268" i="58"/>
  <c r="E268" i="58"/>
  <c r="D268" i="58"/>
  <c r="C268" i="58"/>
  <c r="B268" i="58"/>
  <c r="A268" i="58"/>
  <c r="AE267" i="58"/>
  <c r="AD267" i="58"/>
  <c r="AC267" i="58"/>
  <c r="AB267" i="58"/>
  <c r="AA267" i="58"/>
  <c r="Z267" i="58"/>
  <c r="Y267" i="58"/>
  <c r="X267" i="58"/>
  <c r="W267" i="58"/>
  <c r="V267" i="58"/>
  <c r="U267" i="58"/>
  <c r="T267" i="58"/>
  <c r="S267" i="58"/>
  <c r="R267" i="58"/>
  <c r="Q267" i="58"/>
  <c r="P267" i="58"/>
  <c r="B267" i="58"/>
  <c r="S242" i="58"/>
  <c r="AG232" i="58"/>
  <c r="AF232" i="58"/>
  <c r="AE232" i="58"/>
  <c r="AD232" i="58"/>
  <c r="AC232" i="58"/>
  <c r="AB232" i="58"/>
  <c r="AA232" i="58"/>
  <c r="Z232" i="58"/>
  <c r="Y232" i="58"/>
  <c r="X232" i="58"/>
  <c r="W232" i="58"/>
  <c r="V232" i="58"/>
  <c r="U232" i="58"/>
  <c r="T232" i="58"/>
  <c r="S232" i="58"/>
  <c r="R232" i="58"/>
  <c r="Q232" i="58"/>
  <c r="D232" i="58"/>
  <c r="C232" i="58"/>
  <c r="E231" i="58"/>
  <c r="D267" i="58" s="1"/>
  <c r="D231" i="58"/>
  <c r="C267" i="58" s="1"/>
  <c r="B231" i="58"/>
  <c r="AF267" i="58" s="1"/>
  <c r="D230" i="58"/>
  <c r="E230" i="58" s="1"/>
  <c r="F230" i="58" s="1"/>
  <c r="G230" i="58" s="1"/>
  <c r="H230" i="58" s="1"/>
  <c r="I230" i="58" s="1"/>
  <c r="J230" i="58" s="1"/>
  <c r="K230" i="58" s="1"/>
  <c r="L230" i="58" s="1"/>
  <c r="M230" i="58" s="1"/>
  <c r="N230" i="58" s="1"/>
  <c r="O230" i="58" s="1"/>
  <c r="P230" i="58" s="1"/>
  <c r="B230" i="58"/>
  <c r="E229" i="58"/>
  <c r="F229" i="58" s="1"/>
  <c r="G229" i="58" s="1"/>
  <c r="H229" i="58" s="1"/>
  <c r="I229" i="58" s="1"/>
  <c r="D229" i="58"/>
  <c r="B229" i="58"/>
  <c r="E228" i="58"/>
  <c r="F228" i="58" s="1"/>
  <c r="G228" i="58" s="1"/>
  <c r="H228" i="58" s="1"/>
  <c r="D228" i="58"/>
  <c r="B228" i="58"/>
  <c r="E227" i="58"/>
  <c r="F227" i="58" s="1"/>
  <c r="D227" i="58"/>
  <c r="B227" i="58"/>
  <c r="G226" i="58"/>
  <c r="H226" i="58" s="1"/>
  <c r="F226" i="58"/>
  <c r="E226" i="58"/>
  <c r="D226" i="58"/>
  <c r="B226" i="58"/>
  <c r="B232" i="58" s="1"/>
  <c r="AG224" i="58"/>
  <c r="AF224" i="58"/>
  <c r="AE224" i="58"/>
  <c r="AD224" i="58"/>
  <c r="AC224" i="58"/>
  <c r="AB224" i="58"/>
  <c r="AA224" i="58"/>
  <c r="Z224" i="58"/>
  <c r="Y224" i="58"/>
  <c r="X224" i="58"/>
  <c r="W224" i="58"/>
  <c r="V224" i="58"/>
  <c r="U224" i="58"/>
  <c r="T224" i="58"/>
  <c r="S224" i="58"/>
  <c r="R224" i="58"/>
  <c r="Q224" i="58"/>
  <c r="P224" i="58"/>
  <c r="O224" i="58"/>
  <c r="N224" i="58"/>
  <c r="M224" i="58"/>
  <c r="L224" i="58"/>
  <c r="K224" i="58"/>
  <c r="J224" i="58"/>
  <c r="I224" i="58"/>
  <c r="H224" i="58"/>
  <c r="G224" i="58"/>
  <c r="F224" i="58"/>
  <c r="E224" i="58"/>
  <c r="D224" i="58"/>
  <c r="C224" i="58"/>
  <c r="B224" i="58"/>
  <c r="AI117" i="58"/>
  <c r="AH117" i="58"/>
  <c r="AI116" i="58"/>
  <c r="AH116" i="58"/>
  <c r="AI115" i="58"/>
  <c r="AH115" i="58"/>
  <c r="AI114" i="58"/>
  <c r="AH114" i="58"/>
  <c r="AI113" i="58"/>
  <c r="AH113" i="58"/>
  <c r="AI112" i="58"/>
  <c r="AH112" i="58"/>
  <c r="AI111" i="58"/>
  <c r="AH111" i="58"/>
  <c r="AI110" i="58"/>
  <c r="AH110" i="58"/>
  <c r="AI109" i="58"/>
  <c r="AH109" i="58"/>
  <c r="AF108" i="58"/>
  <c r="AE108" i="58"/>
  <c r="AD108" i="58"/>
  <c r="AC108" i="58"/>
  <c r="AB108" i="58"/>
  <c r="AA108" i="58"/>
  <c r="Z108" i="58"/>
  <c r="Y108" i="58"/>
  <c r="X108" i="58"/>
  <c r="W108" i="58"/>
  <c r="V108" i="58"/>
  <c r="U108" i="58"/>
  <c r="T108" i="58"/>
  <c r="S108" i="58"/>
  <c r="R108" i="58"/>
  <c r="Q108" i="58"/>
  <c r="E108" i="58"/>
  <c r="D108" i="58"/>
  <c r="C108" i="58"/>
  <c r="B108" i="58"/>
  <c r="AI107" i="58"/>
  <c r="AH107" i="58"/>
  <c r="AI106" i="58"/>
  <c r="AH106" i="58"/>
  <c r="AI105" i="58"/>
  <c r="AH105" i="58"/>
  <c r="AI104" i="58"/>
  <c r="AH104" i="58"/>
  <c r="AI103" i="58"/>
  <c r="AH103" i="58"/>
  <c r="AI102" i="58"/>
  <c r="AH102" i="58"/>
  <c r="AI101" i="58"/>
  <c r="AH101" i="58"/>
  <c r="AI100" i="58"/>
  <c r="AH100" i="58"/>
  <c r="AI99" i="58"/>
  <c r="AH99" i="58"/>
  <c r="AI97" i="58"/>
  <c r="AH97" i="58"/>
  <c r="AI96" i="58"/>
  <c r="AH96" i="58"/>
  <c r="AI95" i="58"/>
  <c r="AH95" i="58"/>
  <c r="AI94" i="58"/>
  <c r="AH94" i="58"/>
  <c r="AI93" i="58"/>
  <c r="AH93" i="58"/>
  <c r="AI92" i="58"/>
  <c r="AH92" i="58"/>
  <c r="AI91" i="58"/>
  <c r="AH91" i="58"/>
  <c r="AI88" i="58"/>
  <c r="AH88" i="58"/>
  <c r="AI86" i="58"/>
  <c r="AH86" i="58"/>
  <c r="AG86" i="58"/>
  <c r="AI85" i="58"/>
  <c r="AH85" i="58"/>
  <c r="AI84" i="58"/>
  <c r="AH84" i="58"/>
  <c r="AI83" i="58"/>
  <c r="AH83" i="58"/>
  <c r="AN82" i="58"/>
  <c r="AG82" i="58"/>
  <c r="AF82" i="58"/>
  <c r="AF98" i="58" s="1"/>
  <c r="AE82" i="58"/>
  <c r="AE98" i="58" s="1"/>
  <c r="AD82" i="58"/>
  <c r="AD98" i="58" s="1"/>
  <c r="AC82" i="58"/>
  <c r="AC98" i="58" s="1"/>
  <c r="AB82" i="58"/>
  <c r="AB98" i="58" s="1"/>
  <c r="AA82" i="58"/>
  <c r="AA98" i="58" s="1"/>
  <c r="Z82" i="58"/>
  <c r="Z98" i="58" s="1"/>
  <c r="Y82" i="58"/>
  <c r="Y98" i="58" s="1"/>
  <c r="X82" i="58"/>
  <c r="X98" i="58" s="1"/>
  <c r="W82" i="58"/>
  <c r="W98" i="58" s="1"/>
  <c r="V82" i="58"/>
  <c r="V98" i="58" s="1"/>
  <c r="U82" i="58"/>
  <c r="U98" i="58" s="1"/>
  <c r="T82" i="58"/>
  <c r="T98" i="58" s="1"/>
  <c r="S82" i="58"/>
  <c r="S98" i="58" s="1"/>
  <c r="R82" i="58"/>
  <c r="R98" i="58" s="1"/>
  <c r="Q82" i="58"/>
  <c r="Q98" i="58" s="1"/>
  <c r="P82" i="58"/>
  <c r="P98" i="58" s="1"/>
  <c r="O82" i="58"/>
  <c r="O98" i="58" s="1"/>
  <c r="N82" i="58"/>
  <c r="N98" i="58" s="1"/>
  <c r="M82" i="58"/>
  <c r="M98" i="58" s="1"/>
  <c r="L82" i="58"/>
  <c r="L98" i="58" s="1"/>
  <c r="K82" i="58"/>
  <c r="K98" i="58" s="1"/>
  <c r="J82" i="58"/>
  <c r="J98" i="58" s="1"/>
  <c r="I82" i="58"/>
  <c r="I98" i="58" s="1"/>
  <c r="H82" i="58"/>
  <c r="H98" i="58" s="1"/>
  <c r="G82" i="58"/>
  <c r="G98" i="58" s="1"/>
  <c r="F82" i="58"/>
  <c r="F98" i="58" s="1"/>
  <c r="E82" i="58"/>
  <c r="E98" i="58" s="1"/>
  <c r="D82" i="58"/>
  <c r="D98" i="58" s="1"/>
  <c r="C82" i="58"/>
  <c r="C98" i="58" s="1"/>
  <c r="B82" i="58"/>
  <c r="B98" i="58" s="1"/>
  <c r="AI81" i="58"/>
  <c r="AH81" i="58"/>
  <c r="AN80" i="58"/>
  <c r="AI80" i="58"/>
  <c r="AH80" i="58"/>
  <c r="AN79" i="58"/>
  <c r="AN81" i="58" s="1"/>
  <c r="AI79" i="58"/>
  <c r="AH79" i="58"/>
  <c r="AI78" i="58"/>
  <c r="AH78" i="58"/>
  <c r="AI77" i="58"/>
  <c r="AH77" i="58"/>
  <c r="AI76" i="58"/>
  <c r="AH76" i="58"/>
  <c r="AI75" i="58"/>
  <c r="AH75" i="58"/>
  <c r="AI74" i="58"/>
  <c r="AH74" i="58"/>
  <c r="AI73" i="58"/>
  <c r="AH73" i="58"/>
  <c r="AI72" i="58"/>
  <c r="AH72" i="58"/>
  <c r="AI71" i="58"/>
  <c r="AH71" i="58"/>
  <c r="AG70" i="58"/>
  <c r="AF70" i="58"/>
  <c r="AE70" i="58"/>
  <c r="AD70" i="58"/>
  <c r="AC70" i="58"/>
  <c r="AB70" i="58"/>
  <c r="AA70" i="58"/>
  <c r="Y70" i="58"/>
  <c r="X70" i="58"/>
  <c r="W70" i="58"/>
  <c r="V70" i="58"/>
  <c r="U70" i="58"/>
  <c r="T70" i="58"/>
  <c r="S70" i="58"/>
  <c r="R70" i="58"/>
  <c r="Q70" i="58"/>
  <c r="P70" i="58"/>
  <c r="O70" i="58"/>
  <c r="N70" i="58"/>
  <c r="M70" i="58"/>
  <c r="L70" i="58"/>
  <c r="B70" i="58"/>
  <c r="AI69" i="58"/>
  <c r="AH69" i="58"/>
  <c r="AI68" i="58"/>
  <c r="AH68" i="58"/>
  <c r="AI67" i="58"/>
  <c r="AH67" i="58"/>
  <c r="AF66" i="58"/>
  <c r="AE66" i="58"/>
  <c r="AD66" i="58"/>
  <c r="AC66" i="58"/>
  <c r="AB66" i="58"/>
  <c r="AA66" i="58"/>
  <c r="Y66" i="58"/>
  <c r="X66" i="58"/>
  <c r="W66" i="58"/>
  <c r="V66" i="58"/>
  <c r="U66" i="58"/>
  <c r="T66" i="58"/>
  <c r="S66" i="58"/>
  <c r="R66" i="58"/>
  <c r="Q66" i="58"/>
  <c r="P66" i="58"/>
  <c r="O66" i="58"/>
  <c r="N66" i="58"/>
  <c r="M66" i="58"/>
  <c r="L66" i="58"/>
  <c r="K66" i="58"/>
  <c r="J66" i="58"/>
  <c r="I66" i="58"/>
  <c r="H66" i="58"/>
  <c r="G66" i="58"/>
  <c r="F66" i="58"/>
  <c r="E66" i="58"/>
  <c r="D66" i="58"/>
  <c r="C66" i="58"/>
  <c r="B66" i="58"/>
  <c r="AI65" i="58"/>
  <c r="AH65" i="58"/>
  <c r="AG65" i="58"/>
  <c r="AG66" i="58" s="1"/>
  <c r="AG3" i="58" s="1"/>
  <c r="AI64" i="58"/>
  <c r="AH64" i="58"/>
  <c r="AI63" i="58"/>
  <c r="AH63" i="58"/>
  <c r="AI62" i="58"/>
  <c r="AH62" i="58"/>
  <c r="AI61" i="58"/>
  <c r="AH61" i="58"/>
  <c r="AI60" i="58"/>
  <c r="AH60" i="58"/>
  <c r="AI59" i="58"/>
  <c r="AH59" i="58"/>
  <c r="AI58" i="58"/>
  <c r="AH58" i="58"/>
  <c r="AI57" i="58"/>
  <c r="AH57" i="58"/>
  <c r="AI56" i="58"/>
  <c r="AH56" i="58"/>
  <c r="AI55" i="58"/>
  <c r="AH55" i="58"/>
  <c r="AI54" i="58"/>
  <c r="AH54" i="58"/>
  <c r="AI53" i="58"/>
  <c r="AH53" i="58"/>
  <c r="AG52" i="58"/>
  <c r="AF52" i="58"/>
  <c r="AE52" i="58"/>
  <c r="AD52" i="58"/>
  <c r="AC52" i="58"/>
  <c r="AB52" i="58"/>
  <c r="X52" i="58"/>
  <c r="W52" i="58"/>
  <c r="V52" i="58"/>
  <c r="U52" i="58"/>
  <c r="T52" i="58"/>
  <c r="S52" i="58"/>
  <c r="R52" i="58"/>
  <c r="Q52" i="58"/>
  <c r="P52" i="58"/>
  <c r="O52" i="58"/>
  <c r="N52" i="58"/>
  <c r="M52" i="58"/>
  <c r="L52" i="58"/>
  <c r="K52" i="58"/>
  <c r="J52" i="58"/>
  <c r="I52" i="58"/>
  <c r="H52" i="58"/>
  <c r="G52" i="58"/>
  <c r="F52" i="58"/>
  <c r="E52" i="58"/>
  <c r="D52" i="58"/>
  <c r="C52" i="58"/>
  <c r="B52" i="58"/>
  <c r="AI51" i="58"/>
  <c r="AH51" i="58"/>
  <c r="AI50" i="58"/>
  <c r="AH50" i="58"/>
  <c r="AI49" i="58"/>
  <c r="AH49" i="58"/>
  <c r="AG48" i="58"/>
  <c r="AG87" i="58" s="1"/>
  <c r="AF48" i="58"/>
  <c r="AE48" i="58"/>
  <c r="AD48" i="58"/>
  <c r="AC48" i="58"/>
  <c r="AB48" i="58"/>
  <c r="X48" i="58"/>
  <c r="W48" i="58"/>
  <c r="V48" i="58"/>
  <c r="U48" i="58"/>
  <c r="T48" i="58"/>
  <c r="S48" i="58"/>
  <c r="R48" i="58"/>
  <c r="Q48" i="58"/>
  <c r="P48" i="58"/>
  <c r="O48" i="58"/>
  <c r="N48" i="58"/>
  <c r="N87" i="58" s="1"/>
  <c r="N89" i="58" s="1"/>
  <c r="M48" i="58"/>
  <c r="L48" i="58"/>
  <c r="K48" i="58"/>
  <c r="J48" i="58"/>
  <c r="I48" i="58"/>
  <c r="H48" i="58"/>
  <c r="G48" i="58"/>
  <c r="F48" i="58"/>
  <c r="E48" i="58"/>
  <c r="D48" i="58"/>
  <c r="C48" i="58"/>
  <c r="B48" i="58"/>
  <c r="AI47" i="58"/>
  <c r="AH47" i="58"/>
  <c r="AI46" i="58"/>
  <c r="AH46" i="58"/>
  <c r="AI45" i="58"/>
  <c r="AH45" i="58"/>
  <c r="AI44" i="58"/>
  <c r="AH44" i="58"/>
  <c r="AI43" i="58"/>
  <c r="AH43" i="58"/>
  <c r="AI42" i="58"/>
  <c r="AH42" i="58"/>
  <c r="AI41" i="58"/>
  <c r="AH41" i="58"/>
  <c r="AI40" i="58"/>
  <c r="AH40" i="58"/>
  <c r="AI39" i="58"/>
  <c r="AH39" i="58"/>
  <c r="AI38" i="58"/>
  <c r="AH38" i="58"/>
  <c r="AI37" i="58"/>
  <c r="AH37" i="58"/>
  <c r="AI36" i="58"/>
  <c r="AH36" i="58"/>
  <c r="AI35" i="58"/>
  <c r="AH35" i="58"/>
  <c r="AI34" i="58"/>
  <c r="AH34" i="58"/>
  <c r="AI33" i="58"/>
  <c r="AH33" i="58"/>
  <c r="AI32" i="58"/>
  <c r="AH32" i="58"/>
  <c r="AI31" i="58"/>
  <c r="AH31" i="58"/>
  <c r="AI30" i="58"/>
  <c r="AH30" i="58"/>
  <c r="AI29" i="58"/>
  <c r="AH29" i="58"/>
  <c r="AI28" i="58"/>
  <c r="AH28" i="58"/>
  <c r="AI27" i="58"/>
  <c r="AH27" i="58"/>
  <c r="AI26" i="58"/>
  <c r="AH26" i="58"/>
  <c r="AI25" i="58"/>
  <c r="AH25" i="58"/>
  <c r="AI24" i="58"/>
  <c r="AH24" i="58"/>
  <c r="AI23" i="58"/>
  <c r="AH23" i="58"/>
  <c r="AI22" i="58"/>
  <c r="AH22" i="58"/>
  <c r="AI21" i="58"/>
  <c r="AH21" i="58"/>
  <c r="AI20" i="58"/>
  <c r="AH20" i="58"/>
  <c r="AI19" i="58"/>
  <c r="AH19" i="58"/>
  <c r="AI18" i="58"/>
  <c r="AH18" i="58"/>
  <c r="AI17" i="58"/>
  <c r="AH17" i="58"/>
  <c r="AI16" i="58"/>
  <c r="AH16" i="58"/>
  <c r="AI15" i="58"/>
  <c r="AH15" i="58"/>
  <c r="AI14" i="58"/>
  <c r="AH14" i="58"/>
  <c r="AI13" i="58"/>
  <c r="AH13" i="58"/>
  <c r="AI12" i="58"/>
  <c r="AH12" i="58"/>
  <c r="AI11" i="58"/>
  <c r="AH11" i="58"/>
  <c r="AC5" i="58"/>
  <c r="W5" i="58"/>
  <c r="B5" i="58"/>
  <c r="AG4" i="58"/>
  <c r="K4" i="58"/>
  <c r="E4" i="58"/>
  <c r="H4" i="58" s="1"/>
  <c r="B4" i="58"/>
  <c r="S243" i="58" s="1"/>
  <c r="AG2" i="58"/>
  <c r="AG6" i="58" s="1"/>
  <c r="AD111" i="57"/>
  <c r="M90" i="62" l="1"/>
  <c r="M7" i="62"/>
  <c r="AD246" i="62"/>
  <c r="C90" i="62"/>
  <c r="H7" i="62"/>
  <c r="V246" i="62"/>
  <c r="D90" i="62"/>
  <c r="AC246" i="62"/>
  <c r="K7" i="62"/>
  <c r="C241" i="62"/>
  <c r="AB246" i="62"/>
  <c r="J7" i="62"/>
  <c r="B241" i="62"/>
  <c r="H90" i="62"/>
  <c r="E90" i="62"/>
  <c r="W246" i="62"/>
  <c r="AI87" i="62"/>
  <c r="AH87" i="62"/>
  <c r="AI92" i="62"/>
  <c r="AH92" i="62"/>
  <c r="I226" i="62"/>
  <c r="J229" i="62"/>
  <c r="K229" i="62" s="1"/>
  <c r="L229" i="62" s="1"/>
  <c r="M229" i="62" s="1"/>
  <c r="N229" i="62" s="1"/>
  <c r="O229" i="62" s="1"/>
  <c r="P229" i="62" s="1"/>
  <c r="E267" i="62"/>
  <c r="G231" i="62"/>
  <c r="F108" i="62"/>
  <c r="AH89" i="62"/>
  <c r="B7" i="62"/>
  <c r="A7" i="62" s="1"/>
  <c r="AI89" i="62"/>
  <c r="T246" i="62"/>
  <c r="U90" i="60"/>
  <c r="AM246" i="60"/>
  <c r="AH246" i="60"/>
  <c r="P7" i="60"/>
  <c r="L90" i="60"/>
  <c r="D7" i="60"/>
  <c r="M90" i="60"/>
  <c r="AE246" i="60"/>
  <c r="AD246" i="60"/>
  <c r="J7" i="60"/>
  <c r="J90" i="60"/>
  <c r="AC246" i="60"/>
  <c r="K7" i="60"/>
  <c r="G90" i="60"/>
  <c r="Y246" i="60"/>
  <c r="H90" i="60"/>
  <c r="E7" i="60"/>
  <c r="AA246" i="60"/>
  <c r="I7" i="60"/>
  <c r="Z246" i="60"/>
  <c r="C241" i="60"/>
  <c r="B241" i="60"/>
  <c r="X246" i="60"/>
  <c r="F7" i="60"/>
  <c r="E90" i="60"/>
  <c r="V246" i="60"/>
  <c r="AH87" i="60"/>
  <c r="AE87" i="59"/>
  <c r="AE89" i="59" s="1"/>
  <c r="U246" i="60"/>
  <c r="C7" i="60"/>
  <c r="AI87" i="60"/>
  <c r="AI89" i="60"/>
  <c r="AH89" i="60"/>
  <c r="B7" i="60"/>
  <c r="T246" i="60"/>
  <c r="H226" i="60"/>
  <c r="G108" i="60"/>
  <c r="G232" i="60"/>
  <c r="G267" i="60"/>
  <c r="I231" i="60"/>
  <c r="AD5" i="59"/>
  <c r="AE5" i="59"/>
  <c r="AF87" i="59"/>
  <c r="AF89" i="59" s="1"/>
  <c r="AX246" i="59" s="1"/>
  <c r="AD87" i="59"/>
  <c r="AD89" i="59" s="1"/>
  <c r="AB5" i="59"/>
  <c r="AA5" i="59"/>
  <c r="AB87" i="59"/>
  <c r="AB89" i="59" s="1"/>
  <c r="B232" i="59"/>
  <c r="D232" i="59"/>
  <c r="E87" i="59"/>
  <c r="E89" i="59" s="1"/>
  <c r="E90" i="59" s="1"/>
  <c r="H87" i="59"/>
  <c r="H89" i="59" s="1"/>
  <c r="H90" i="59" s="1"/>
  <c r="G87" i="59"/>
  <c r="G89" i="59" s="1"/>
  <c r="G90" i="59" s="1"/>
  <c r="AG87" i="59"/>
  <c r="AG89" i="59"/>
  <c r="AC87" i="59"/>
  <c r="AC89" i="59" s="1"/>
  <c r="Z5" i="59"/>
  <c r="AA87" i="59"/>
  <c r="AA89" i="59" s="1"/>
  <c r="AI107" i="59"/>
  <c r="AH107" i="59"/>
  <c r="X5" i="59"/>
  <c r="Y87" i="59"/>
  <c r="Y89" i="59" s="1"/>
  <c r="W5" i="59"/>
  <c r="X87" i="59"/>
  <c r="X89" i="59" s="1"/>
  <c r="V5" i="59"/>
  <c r="W87" i="59"/>
  <c r="W89" i="59" s="1"/>
  <c r="U5" i="59"/>
  <c r="V87" i="59"/>
  <c r="V89" i="59" s="1"/>
  <c r="U98" i="59"/>
  <c r="U87" i="59"/>
  <c r="U89" i="59" s="1"/>
  <c r="S5" i="59"/>
  <c r="T87" i="59"/>
  <c r="T89" i="59" s="1"/>
  <c r="Q5" i="59"/>
  <c r="R87" i="59"/>
  <c r="R89" i="59" s="1"/>
  <c r="O5" i="59"/>
  <c r="N5" i="59"/>
  <c r="M5" i="59"/>
  <c r="N87" i="59"/>
  <c r="N89" i="59" s="1"/>
  <c r="N7" i="59" s="1"/>
  <c r="O87" i="59"/>
  <c r="O89" i="59" s="1"/>
  <c r="P5" i="59"/>
  <c r="P87" i="59"/>
  <c r="P89" i="59" s="1"/>
  <c r="P90" i="59" s="1"/>
  <c r="Q87" i="59"/>
  <c r="Q89" i="59" s="1"/>
  <c r="M87" i="59"/>
  <c r="M89" i="59" s="1"/>
  <c r="AI70" i="59"/>
  <c r="I87" i="59"/>
  <c r="I89" i="59" s="1"/>
  <c r="I90" i="59" s="1"/>
  <c r="L87" i="59"/>
  <c r="L89" i="59" s="1"/>
  <c r="L90" i="59" s="1"/>
  <c r="K5" i="59"/>
  <c r="J98" i="59"/>
  <c r="H5" i="59"/>
  <c r="I98" i="59"/>
  <c r="J87" i="59"/>
  <c r="J89" i="59" s="1"/>
  <c r="J90" i="59" s="1"/>
  <c r="K87" i="59"/>
  <c r="K89" i="59" s="1"/>
  <c r="K90" i="59" s="1"/>
  <c r="AI111" i="59"/>
  <c r="F98" i="59"/>
  <c r="F87" i="59"/>
  <c r="F89" i="59" s="1"/>
  <c r="F90" i="59" s="1"/>
  <c r="G98" i="59"/>
  <c r="AH66" i="59"/>
  <c r="C5" i="59"/>
  <c r="D87" i="59"/>
  <c r="D89" i="59" s="1"/>
  <c r="D90" i="59" s="1"/>
  <c r="B5" i="59"/>
  <c r="C87" i="59"/>
  <c r="C89" i="59" s="1"/>
  <c r="C90" i="59" s="1"/>
  <c r="AI52" i="59"/>
  <c r="AF5" i="59"/>
  <c r="AH70" i="59"/>
  <c r="B87" i="59"/>
  <c r="AI66" i="59"/>
  <c r="Q90" i="59"/>
  <c r="Q7" i="59"/>
  <c r="AI246" i="59"/>
  <c r="Y90" i="59"/>
  <c r="Y7" i="59"/>
  <c r="AQ246" i="59"/>
  <c r="J7" i="59"/>
  <c r="R90" i="59"/>
  <c r="R7" i="59"/>
  <c r="AJ246" i="59"/>
  <c r="Z7" i="59"/>
  <c r="AR246" i="59"/>
  <c r="S90" i="59"/>
  <c r="S7" i="59"/>
  <c r="AK246" i="59"/>
  <c r="T90" i="59"/>
  <c r="T7" i="59"/>
  <c r="AL246" i="59"/>
  <c r="AB90" i="59"/>
  <c r="AB7" i="59"/>
  <c r="AT246" i="59"/>
  <c r="E7" i="59"/>
  <c r="W246" i="59"/>
  <c r="M7" i="59"/>
  <c r="AE246" i="59"/>
  <c r="M90" i="59"/>
  <c r="U7" i="59"/>
  <c r="AM246" i="59"/>
  <c r="U90" i="59"/>
  <c r="AC7" i="59"/>
  <c r="AU246" i="59"/>
  <c r="AC90" i="59"/>
  <c r="AA90" i="59"/>
  <c r="AA7" i="59"/>
  <c r="AS246" i="59"/>
  <c r="V7" i="59"/>
  <c r="AN246" i="59"/>
  <c r="V90" i="59"/>
  <c r="AD7" i="59"/>
  <c r="AV246" i="59"/>
  <c r="AD90" i="59"/>
  <c r="J229" i="59"/>
  <c r="K229" i="59" s="1"/>
  <c r="L229" i="59" s="1"/>
  <c r="M229" i="59" s="1"/>
  <c r="N229" i="59" s="1"/>
  <c r="O229" i="59" s="1"/>
  <c r="P229" i="59" s="1"/>
  <c r="Y246" i="59"/>
  <c r="G7" i="59"/>
  <c r="AG246" i="59"/>
  <c r="O90" i="59"/>
  <c r="O7" i="59"/>
  <c r="AO246" i="59"/>
  <c r="W90" i="59"/>
  <c r="W7" i="59"/>
  <c r="AW246" i="59"/>
  <c r="AE90" i="59"/>
  <c r="AE7" i="59"/>
  <c r="G226" i="59"/>
  <c r="H7" i="59"/>
  <c r="Z246" i="59"/>
  <c r="X90" i="59"/>
  <c r="X7" i="59"/>
  <c r="AP246" i="59"/>
  <c r="AF7" i="59"/>
  <c r="AH98" i="59"/>
  <c r="E232" i="59"/>
  <c r="D243" i="59"/>
  <c r="E227" i="59"/>
  <c r="F227" i="59" s="1"/>
  <c r="G227" i="59" s="1"/>
  <c r="H227" i="59" s="1"/>
  <c r="I227" i="59" s="1"/>
  <c r="J227" i="59" s="1"/>
  <c r="K227" i="59" s="1"/>
  <c r="L227" i="59" s="1"/>
  <c r="M227" i="59" s="1"/>
  <c r="N227" i="59" s="1"/>
  <c r="O227" i="59" s="1"/>
  <c r="P227" i="59" s="1"/>
  <c r="E231" i="59"/>
  <c r="E108" i="59" s="1"/>
  <c r="AG2" i="59"/>
  <c r="AG6" i="59" s="1"/>
  <c r="AH82" i="59"/>
  <c r="AH48" i="59"/>
  <c r="AH52" i="59"/>
  <c r="AI82" i="59"/>
  <c r="AI48" i="59"/>
  <c r="AF87" i="58"/>
  <c r="AF89" i="58" s="1"/>
  <c r="AD5" i="58"/>
  <c r="AE87" i="58"/>
  <c r="AE89" i="58" s="1"/>
  <c r="AD87" i="58"/>
  <c r="AD89" i="58" s="1"/>
  <c r="AE5" i="58"/>
  <c r="AC87" i="58"/>
  <c r="AC89" i="58" s="1"/>
  <c r="AB5" i="58"/>
  <c r="AB87" i="58"/>
  <c r="AB89" i="58" s="1"/>
  <c r="AA5" i="58"/>
  <c r="Y5" i="58"/>
  <c r="Z87" i="58"/>
  <c r="Z89" i="58" s="1"/>
  <c r="Z5" i="58"/>
  <c r="AA87" i="58"/>
  <c r="AA89" i="58" s="1"/>
  <c r="X5" i="58"/>
  <c r="Y87" i="58"/>
  <c r="Y89" i="58" s="1"/>
  <c r="X87" i="58"/>
  <c r="X89" i="58" s="1"/>
  <c r="V5" i="58"/>
  <c r="W87" i="58"/>
  <c r="W89" i="58" s="1"/>
  <c r="U5" i="58"/>
  <c r="V87" i="58"/>
  <c r="V89" i="58" s="1"/>
  <c r="T5" i="58"/>
  <c r="U87" i="58"/>
  <c r="U89" i="58" s="1"/>
  <c r="S5" i="58"/>
  <c r="T87" i="58"/>
  <c r="T89" i="58" s="1"/>
  <c r="R5" i="58"/>
  <c r="S87" i="58"/>
  <c r="S89" i="58" s="1"/>
  <c r="Q5" i="58"/>
  <c r="R87" i="58"/>
  <c r="R89" i="58" s="1"/>
  <c r="P5" i="58"/>
  <c r="Q87" i="58"/>
  <c r="Q89" i="58" s="1"/>
  <c r="O5" i="58"/>
  <c r="P87" i="58"/>
  <c r="P89" i="58" s="1"/>
  <c r="N5" i="58"/>
  <c r="O87" i="58"/>
  <c r="O89" i="58" s="1"/>
  <c r="M5" i="58"/>
  <c r="L5" i="58"/>
  <c r="M87" i="58"/>
  <c r="M89" i="58" s="1"/>
  <c r="M7" i="58" s="1"/>
  <c r="K5" i="58"/>
  <c r="AI70" i="58"/>
  <c r="L87" i="58"/>
  <c r="L89" i="58" s="1"/>
  <c r="J5" i="58"/>
  <c r="K87" i="58"/>
  <c r="K89" i="58" s="1"/>
  <c r="I5" i="58"/>
  <c r="J87" i="58"/>
  <c r="J89" i="58" s="1"/>
  <c r="AB246" i="58" s="1"/>
  <c r="H5" i="58"/>
  <c r="I87" i="58"/>
  <c r="I89" i="58" s="1"/>
  <c r="G5" i="58"/>
  <c r="H87" i="58"/>
  <c r="H89" i="58" s="1"/>
  <c r="F5" i="58"/>
  <c r="G87" i="58"/>
  <c r="G89" i="58" s="1"/>
  <c r="Y246" i="58" s="1"/>
  <c r="F87" i="58"/>
  <c r="F89" i="58" s="1"/>
  <c r="F90" i="58" s="1"/>
  <c r="E5" i="58"/>
  <c r="D5" i="58"/>
  <c r="E87" i="58"/>
  <c r="E89" i="58" s="1"/>
  <c r="E90" i="58" s="1"/>
  <c r="C5" i="58"/>
  <c r="D87" i="58"/>
  <c r="D89" i="58" s="1"/>
  <c r="D90" i="58" s="1"/>
  <c r="AI66" i="58"/>
  <c r="C87" i="58"/>
  <c r="C89" i="58" s="1"/>
  <c r="C7" i="58" s="1"/>
  <c r="AI52" i="58"/>
  <c r="AF5" i="58"/>
  <c r="B87" i="58"/>
  <c r="B89" i="58" s="1"/>
  <c r="Y90" i="58"/>
  <c r="Y7" i="58"/>
  <c r="AQ246" i="58"/>
  <c r="J7" i="58"/>
  <c r="R90" i="58"/>
  <c r="R7" i="58"/>
  <c r="AJ246" i="58"/>
  <c r="Z90" i="58"/>
  <c r="Z7" i="58"/>
  <c r="AR246" i="58"/>
  <c r="I90" i="58"/>
  <c r="I7" i="58"/>
  <c r="AA246" i="58"/>
  <c r="S90" i="58"/>
  <c r="S7" i="58"/>
  <c r="AK246" i="58"/>
  <c r="AA90" i="58"/>
  <c r="AA7" i="58"/>
  <c r="AS246" i="58"/>
  <c r="T90" i="58"/>
  <c r="T7" i="58"/>
  <c r="AL246" i="58"/>
  <c r="AB90" i="58"/>
  <c r="AB7" i="58"/>
  <c r="AT246" i="58"/>
  <c r="Q90" i="58"/>
  <c r="Q7" i="58"/>
  <c r="AI246" i="58"/>
  <c r="C90" i="58"/>
  <c r="L90" i="58"/>
  <c r="L7" i="58"/>
  <c r="AD246" i="58"/>
  <c r="E7" i="58"/>
  <c r="W246" i="58"/>
  <c r="AE246" i="58"/>
  <c r="M90" i="58"/>
  <c r="U7" i="58"/>
  <c r="AM246" i="58"/>
  <c r="U90" i="58"/>
  <c r="AC7" i="58"/>
  <c r="AU246" i="58"/>
  <c r="AC90" i="58"/>
  <c r="I226" i="58"/>
  <c r="N7" i="58"/>
  <c r="AF246" i="58"/>
  <c r="N90" i="58"/>
  <c r="V7" i="58"/>
  <c r="AN246" i="58"/>
  <c r="V90" i="58"/>
  <c r="AD7" i="58"/>
  <c r="AV246" i="58"/>
  <c r="AD90" i="58"/>
  <c r="AG89" i="58"/>
  <c r="J229" i="58"/>
  <c r="K229" i="58" s="1"/>
  <c r="L229" i="58" s="1"/>
  <c r="M229" i="58" s="1"/>
  <c r="N229" i="58" s="1"/>
  <c r="O229" i="58" s="1"/>
  <c r="P229" i="58" s="1"/>
  <c r="G90" i="58"/>
  <c r="G7" i="58"/>
  <c r="AG246" i="58"/>
  <c r="O90" i="58"/>
  <c r="O7" i="58"/>
  <c r="AO246" i="58"/>
  <c r="W90" i="58"/>
  <c r="W7" i="58"/>
  <c r="AW246" i="58"/>
  <c r="AE90" i="58"/>
  <c r="AE7" i="58"/>
  <c r="AI98" i="58"/>
  <c r="AH98" i="58"/>
  <c r="K90" i="58"/>
  <c r="K7" i="58"/>
  <c r="AC246" i="58"/>
  <c r="H90" i="58"/>
  <c r="H7" i="58"/>
  <c r="P90" i="58"/>
  <c r="P7" i="58"/>
  <c r="AH246" i="58"/>
  <c r="X90" i="58"/>
  <c r="X7" i="58"/>
  <c r="AP246" i="58"/>
  <c r="AF90" i="58"/>
  <c r="AF7" i="58"/>
  <c r="AX246" i="58"/>
  <c r="G227" i="58"/>
  <c r="H227" i="58" s="1"/>
  <c r="I227" i="58" s="1"/>
  <c r="J227" i="58" s="1"/>
  <c r="K227" i="58" s="1"/>
  <c r="L227" i="58" s="1"/>
  <c r="M227" i="58" s="1"/>
  <c r="N227" i="58" s="1"/>
  <c r="O227" i="58" s="1"/>
  <c r="P227" i="58" s="1"/>
  <c r="AH70" i="58"/>
  <c r="E232" i="58"/>
  <c r="D243" i="58"/>
  <c r="AH66" i="58"/>
  <c r="F231" i="58"/>
  <c r="AH82" i="58"/>
  <c r="AH48" i="58"/>
  <c r="AH52" i="58"/>
  <c r="AI82" i="58"/>
  <c r="AI48" i="58"/>
  <c r="V48" i="57"/>
  <c r="K6" i="62" l="1"/>
  <c r="H231" i="62"/>
  <c r="F267" i="62"/>
  <c r="G108" i="62"/>
  <c r="G232" i="62"/>
  <c r="AH90" i="62"/>
  <c r="AI90" i="62"/>
  <c r="J226" i="62"/>
  <c r="K6" i="60"/>
  <c r="AF90" i="59"/>
  <c r="A7" i="60"/>
  <c r="I226" i="60"/>
  <c r="H108" i="60"/>
  <c r="H232" i="60"/>
  <c r="H267" i="60"/>
  <c r="J231" i="60"/>
  <c r="AI90" i="60"/>
  <c r="AH90" i="60"/>
  <c r="AI98" i="59"/>
  <c r="L7" i="59"/>
  <c r="AA246" i="59"/>
  <c r="I7" i="59"/>
  <c r="X246" i="59"/>
  <c r="D7" i="59"/>
  <c r="N90" i="59"/>
  <c r="AF246" i="59"/>
  <c r="AH246" i="59"/>
  <c r="P7" i="59"/>
  <c r="AD246" i="59"/>
  <c r="AC246" i="59"/>
  <c r="K7" i="59"/>
  <c r="C241" i="59"/>
  <c r="K6" i="59" s="1"/>
  <c r="B241" i="59"/>
  <c r="AB246" i="59"/>
  <c r="F7" i="59"/>
  <c r="V246" i="59"/>
  <c r="AH87" i="59"/>
  <c r="U246" i="59"/>
  <c r="C7" i="59"/>
  <c r="AI87" i="59"/>
  <c r="B89" i="59"/>
  <c r="AI89" i="59" s="1"/>
  <c r="H226" i="59"/>
  <c r="D267" i="59"/>
  <c r="F231" i="59"/>
  <c r="F108" i="59" s="1"/>
  <c r="B90" i="59"/>
  <c r="B7" i="59"/>
  <c r="A7" i="59" s="1"/>
  <c r="T246" i="59"/>
  <c r="J90" i="58"/>
  <c r="D7" i="58"/>
  <c r="X246" i="58"/>
  <c r="U246" i="58"/>
  <c r="C241" i="58"/>
  <c r="F7" i="58"/>
  <c r="Z246" i="58"/>
  <c r="B241" i="58"/>
  <c r="V246" i="58"/>
  <c r="AH87" i="58"/>
  <c r="AI87" i="58"/>
  <c r="B90" i="58"/>
  <c r="AI89" i="58"/>
  <c r="AH89" i="58"/>
  <c r="B7" i="58"/>
  <c r="A7" i="58" s="1"/>
  <c r="T246" i="58"/>
  <c r="E267" i="58"/>
  <c r="G231" i="58"/>
  <c r="F108" i="58"/>
  <c r="J226" i="58"/>
  <c r="F232" i="58"/>
  <c r="Q111" i="57"/>
  <c r="P111" i="57"/>
  <c r="AF66" i="56"/>
  <c r="AF70" i="56"/>
  <c r="AF82" i="56"/>
  <c r="B48" i="57"/>
  <c r="B52" i="57"/>
  <c r="AF271" i="57"/>
  <c r="AE271" i="57"/>
  <c r="AD271" i="57"/>
  <c r="AC271" i="57"/>
  <c r="AB271" i="57"/>
  <c r="AA271" i="57"/>
  <c r="Z271" i="57"/>
  <c r="Y271" i="57"/>
  <c r="X271" i="57"/>
  <c r="W271" i="57"/>
  <c r="V271" i="57"/>
  <c r="U271" i="57"/>
  <c r="T271" i="57"/>
  <c r="S271" i="57"/>
  <c r="R271" i="57"/>
  <c r="Q271" i="57"/>
  <c r="P271" i="57"/>
  <c r="O271" i="57"/>
  <c r="N271" i="57"/>
  <c r="M271" i="57"/>
  <c r="L271" i="57"/>
  <c r="K271" i="57"/>
  <c r="J271" i="57"/>
  <c r="I271" i="57"/>
  <c r="H271" i="57"/>
  <c r="G271" i="57"/>
  <c r="F271" i="57"/>
  <c r="E271" i="57"/>
  <c r="D271" i="57"/>
  <c r="C271" i="57"/>
  <c r="B271" i="57"/>
  <c r="A271" i="57"/>
  <c r="AF270" i="57"/>
  <c r="AE270" i="57"/>
  <c r="AD270" i="57"/>
  <c r="AC270" i="57"/>
  <c r="AB270" i="57"/>
  <c r="AA270" i="57"/>
  <c r="Z270" i="57"/>
  <c r="Y270" i="57"/>
  <c r="X270" i="57"/>
  <c r="W270" i="57"/>
  <c r="V270" i="57"/>
  <c r="U270" i="57"/>
  <c r="T270" i="57"/>
  <c r="S270" i="57"/>
  <c r="R270" i="57"/>
  <c r="Q270" i="57"/>
  <c r="P270" i="57"/>
  <c r="O270" i="57"/>
  <c r="N270" i="57"/>
  <c r="M270" i="57"/>
  <c r="L270" i="57"/>
  <c r="K270" i="57"/>
  <c r="J270" i="57"/>
  <c r="I270" i="57"/>
  <c r="H270" i="57"/>
  <c r="G270" i="57"/>
  <c r="F270" i="57"/>
  <c r="E270" i="57"/>
  <c r="D270" i="57"/>
  <c r="C270" i="57"/>
  <c r="B270" i="57"/>
  <c r="A270" i="57"/>
  <c r="AF269" i="57"/>
  <c r="AE269" i="57"/>
  <c r="AD269" i="57"/>
  <c r="AC269" i="57"/>
  <c r="AB269" i="57"/>
  <c r="AA269" i="57"/>
  <c r="Z269" i="57"/>
  <c r="Y269" i="57"/>
  <c r="X269" i="57"/>
  <c r="W269" i="57"/>
  <c r="V269" i="57"/>
  <c r="U269" i="57"/>
  <c r="T269" i="57"/>
  <c r="S269" i="57"/>
  <c r="R269" i="57"/>
  <c r="Q269" i="57"/>
  <c r="P269" i="57"/>
  <c r="O269" i="57"/>
  <c r="N269" i="57"/>
  <c r="M269" i="57"/>
  <c r="L269" i="57"/>
  <c r="K269" i="57"/>
  <c r="J269" i="57"/>
  <c r="I269" i="57"/>
  <c r="H269" i="57"/>
  <c r="G269" i="57"/>
  <c r="F269" i="57"/>
  <c r="E269" i="57"/>
  <c r="D269" i="57"/>
  <c r="C269" i="57"/>
  <c r="B269" i="57"/>
  <c r="A269" i="57"/>
  <c r="AF268" i="57"/>
  <c r="AE268" i="57"/>
  <c r="AD268" i="57"/>
  <c r="AC268" i="57"/>
  <c r="AB268" i="57"/>
  <c r="AA268" i="57"/>
  <c r="Z268" i="57"/>
  <c r="Y268" i="57"/>
  <c r="X268" i="57"/>
  <c r="W268" i="57"/>
  <c r="V268" i="57"/>
  <c r="U268" i="57"/>
  <c r="T268" i="57"/>
  <c r="S268" i="57"/>
  <c r="R268" i="57"/>
  <c r="Q268" i="57"/>
  <c r="P268" i="57"/>
  <c r="O268" i="57"/>
  <c r="N268" i="57"/>
  <c r="M268" i="57"/>
  <c r="L268" i="57"/>
  <c r="K268" i="57"/>
  <c r="J268" i="57"/>
  <c r="I268" i="57"/>
  <c r="H268" i="57"/>
  <c r="G268" i="57"/>
  <c r="F268" i="57"/>
  <c r="E268" i="57"/>
  <c r="D268" i="57"/>
  <c r="C268" i="57"/>
  <c r="B268" i="57"/>
  <c r="A268" i="57"/>
  <c r="AE267" i="57"/>
  <c r="AD267" i="57"/>
  <c r="AC267" i="57"/>
  <c r="AB267" i="57"/>
  <c r="AA267" i="57"/>
  <c r="Z267" i="57"/>
  <c r="Y267" i="57"/>
  <c r="X267" i="57"/>
  <c r="W267" i="57"/>
  <c r="V267" i="57"/>
  <c r="U267" i="57"/>
  <c r="T267" i="57"/>
  <c r="S267" i="57"/>
  <c r="R267" i="57"/>
  <c r="Q267" i="57"/>
  <c r="P267" i="57"/>
  <c r="B267" i="57"/>
  <c r="S242" i="57"/>
  <c r="AG232" i="57"/>
  <c r="AF232" i="57"/>
  <c r="AE232" i="57"/>
  <c r="AD232" i="57"/>
  <c r="AC232" i="57"/>
  <c r="AB232" i="57"/>
  <c r="AA232" i="57"/>
  <c r="Z232" i="57"/>
  <c r="Y232" i="57"/>
  <c r="X232" i="57"/>
  <c r="W232" i="57"/>
  <c r="V232" i="57"/>
  <c r="U232" i="57"/>
  <c r="T232" i="57"/>
  <c r="S232" i="57"/>
  <c r="R232" i="57"/>
  <c r="Q232" i="57"/>
  <c r="C232" i="57"/>
  <c r="E231" i="57"/>
  <c r="D267" i="57" s="1"/>
  <c r="D231" i="57"/>
  <c r="C267" i="57" s="1"/>
  <c r="B231" i="57"/>
  <c r="AF267" i="57" s="1"/>
  <c r="E230" i="57"/>
  <c r="F230" i="57" s="1"/>
  <c r="G230" i="57" s="1"/>
  <c r="H230" i="57" s="1"/>
  <c r="I230" i="57" s="1"/>
  <c r="J230" i="57" s="1"/>
  <c r="K230" i="57" s="1"/>
  <c r="L230" i="57" s="1"/>
  <c r="M230" i="57" s="1"/>
  <c r="N230" i="57" s="1"/>
  <c r="O230" i="57" s="1"/>
  <c r="P230" i="57" s="1"/>
  <c r="D230" i="57"/>
  <c r="B230" i="57"/>
  <c r="F229" i="57"/>
  <c r="G229" i="57" s="1"/>
  <c r="H229" i="57" s="1"/>
  <c r="I229" i="57" s="1"/>
  <c r="E229" i="57"/>
  <c r="D229" i="57"/>
  <c r="B229" i="57"/>
  <c r="D228" i="57"/>
  <c r="E228" i="57" s="1"/>
  <c r="F228" i="57" s="1"/>
  <c r="G228" i="57" s="1"/>
  <c r="H228" i="57" s="1"/>
  <c r="B228" i="57"/>
  <c r="E227" i="57"/>
  <c r="F227" i="57" s="1"/>
  <c r="G227" i="57" s="1"/>
  <c r="H227" i="57" s="1"/>
  <c r="I227" i="57" s="1"/>
  <c r="J227" i="57" s="1"/>
  <c r="K227" i="57" s="1"/>
  <c r="L227" i="57" s="1"/>
  <c r="M227" i="57" s="1"/>
  <c r="N227" i="57" s="1"/>
  <c r="O227" i="57" s="1"/>
  <c r="P227" i="57" s="1"/>
  <c r="D227" i="57"/>
  <c r="D232" i="57" s="1"/>
  <c r="B227" i="57"/>
  <c r="E226" i="57"/>
  <c r="F226" i="57" s="1"/>
  <c r="D226" i="57"/>
  <c r="B226" i="57"/>
  <c r="B232" i="57" s="1"/>
  <c r="AG224" i="57"/>
  <c r="AF224" i="57"/>
  <c r="AE224" i="57"/>
  <c r="AD224" i="57"/>
  <c r="AC224" i="57"/>
  <c r="AB224" i="57"/>
  <c r="AA224" i="57"/>
  <c r="Z224" i="57"/>
  <c r="Y224" i="57"/>
  <c r="X224" i="57"/>
  <c r="W224" i="57"/>
  <c r="V224" i="57"/>
  <c r="U224" i="57"/>
  <c r="T224" i="57"/>
  <c r="S224" i="57"/>
  <c r="R224" i="57"/>
  <c r="Q224" i="57"/>
  <c r="P224" i="57"/>
  <c r="O224" i="57"/>
  <c r="N224" i="57"/>
  <c r="M224" i="57"/>
  <c r="L224" i="57"/>
  <c r="K224" i="57"/>
  <c r="J224" i="57"/>
  <c r="I224" i="57"/>
  <c r="H224" i="57"/>
  <c r="G224" i="57"/>
  <c r="F224" i="57"/>
  <c r="E224" i="57"/>
  <c r="D224" i="57"/>
  <c r="C224" i="57"/>
  <c r="B224" i="57"/>
  <c r="AI117" i="57"/>
  <c r="AH117" i="57"/>
  <c r="AI116" i="57"/>
  <c r="AH116" i="57"/>
  <c r="AI115" i="57"/>
  <c r="AH115" i="57"/>
  <c r="AI114" i="57"/>
  <c r="AH114" i="57"/>
  <c r="AI113" i="57"/>
  <c r="AH113" i="57"/>
  <c r="AI112" i="57"/>
  <c r="AH112" i="57"/>
  <c r="AI111" i="57"/>
  <c r="AH111" i="57"/>
  <c r="AI110" i="57"/>
  <c r="AH110" i="57"/>
  <c r="AI109" i="57"/>
  <c r="AH109" i="57"/>
  <c r="AF108" i="57"/>
  <c r="AE108" i="57"/>
  <c r="AD108" i="57"/>
  <c r="AC108" i="57"/>
  <c r="AB108" i="57"/>
  <c r="AA108" i="57"/>
  <c r="Z108" i="57"/>
  <c r="Y108" i="57"/>
  <c r="X108" i="57"/>
  <c r="W108" i="57"/>
  <c r="V108" i="57"/>
  <c r="U108" i="57"/>
  <c r="T108" i="57"/>
  <c r="S108" i="57"/>
  <c r="R108" i="57"/>
  <c r="Q108" i="57"/>
  <c r="D108" i="57"/>
  <c r="C108" i="57"/>
  <c r="B108" i="57"/>
  <c r="AI107" i="57"/>
  <c r="AH107" i="57"/>
  <c r="AI106" i="57"/>
  <c r="AH106" i="57"/>
  <c r="AI105" i="57"/>
  <c r="AH105" i="57"/>
  <c r="AI104" i="57"/>
  <c r="AH104" i="57"/>
  <c r="AI103" i="57"/>
  <c r="AH103" i="57"/>
  <c r="AI102" i="57"/>
  <c r="AH102" i="57"/>
  <c r="AI101" i="57"/>
  <c r="AH101" i="57"/>
  <c r="AI100" i="57"/>
  <c r="AH100" i="57"/>
  <c r="AI99" i="57"/>
  <c r="AH99" i="57"/>
  <c r="AI97" i="57"/>
  <c r="AH97" i="57"/>
  <c r="AI96" i="57"/>
  <c r="AH96" i="57"/>
  <c r="AI95" i="57"/>
  <c r="AH95" i="57"/>
  <c r="AI94" i="57"/>
  <c r="AH94" i="57"/>
  <c r="AI93" i="57"/>
  <c r="AH93" i="57"/>
  <c r="AI92" i="57"/>
  <c r="AH92" i="57"/>
  <c r="AI91" i="57"/>
  <c r="AH91" i="57"/>
  <c r="AI88" i="57"/>
  <c r="AH88" i="57"/>
  <c r="AI86" i="57"/>
  <c r="AH86" i="57"/>
  <c r="AG86" i="57"/>
  <c r="AG89" i="57" s="1"/>
  <c r="AI85" i="57"/>
  <c r="AH85" i="57"/>
  <c r="AI84" i="57"/>
  <c r="AH84" i="57"/>
  <c r="AI83" i="57"/>
  <c r="AH83" i="57"/>
  <c r="AN82" i="57"/>
  <c r="AG82" i="57"/>
  <c r="AF82" i="57"/>
  <c r="AF98" i="57" s="1"/>
  <c r="AE82" i="57"/>
  <c r="AE98" i="57" s="1"/>
  <c r="AD82" i="57"/>
  <c r="AD98" i="57" s="1"/>
  <c r="AC82" i="57"/>
  <c r="AC98" i="57" s="1"/>
  <c r="AB82" i="57"/>
  <c r="AB98" i="57" s="1"/>
  <c r="AA82" i="57"/>
  <c r="AA98" i="57" s="1"/>
  <c r="Z82" i="57"/>
  <c r="Z98" i="57" s="1"/>
  <c r="Y82" i="57"/>
  <c r="Y98" i="57" s="1"/>
  <c r="X82" i="57"/>
  <c r="X98" i="57" s="1"/>
  <c r="W82" i="57"/>
  <c r="W98" i="57" s="1"/>
  <c r="V82" i="57"/>
  <c r="V98" i="57" s="1"/>
  <c r="U82" i="57"/>
  <c r="U98" i="57" s="1"/>
  <c r="T82" i="57"/>
  <c r="T98" i="57" s="1"/>
  <c r="S82" i="57"/>
  <c r="S98" i="57" s="1"/>
  <c r="R82" i="57"/>
  <c r="R98" i="57" s="1"/>
  <c r="Q82" i="57"/>
  <c r="Q98" i="57" s="1"/>
  <c r="P82" i="57"/>
  <c r="P98" i="57" s="1"/>
  <c r="O82" i="57"/>
  <c r="O98" i="57" s="1"/>
  <c r="N82" i="57"/>
  <c r="N98" i="57" s="1"/>
  <c r="M82" i="57"/>
  <c r="M98" i="57" s="1"/>
  <c r="L82" i="57"/>
  <c r="L98" i="57" s="1"/>
  <c r="K82" i="57"/>
  <c r="K98" i="57" s="1"/>
  <c r="J82" i="57"/>
  <c r="J98" i="57" s="1"/>
  <c r="I82" i="57"/>
  <c r="I98" i="57" s="1"/>
  <c r="H82" i="57"/>
  <c r="H98" i="57" s="1"/>
  <c r="G82" i="57"/>
  <c r="G98" i="57" s="1"/>
  <c r="F82" i="57"/>
  <c r="F98" i="57" s="1"/>
  <c r="E82" i="57"/>
  <c r="E98" i="57" s="1"/>
  <c r="D82" i="57"/>
  <c r="D98" i="57" s="1"/>
  <c r="C82" i="57"/>
  <c r="C98" i="57" s="1"/>
  <c r="B82" i="57"/>
  <c r="B98" i="57" s="1"/>
  <c r="AI81" i="57"/>
  <c r="AH81" i="57"/>
  <c r="AN80" i="57"/>
  <c r="AI80" i="57"/>
  <c r="AH80" i="57"/>
  <c r="AN79" i="57"/>
  <c r="AN81" i="57" s="1"/>
  <c r="AI79" i="57"/>
  <c r="AH79" i="57"/>
  <c r="AI78" i="57"/>
  <c r="AH78" i="57"/>
  <c r="AI77" i="57"/>
  <c r="AH77" i="57"/>
  <c r="AI76" i="57"/>
  <c r="AH76" i="57"/>
  <c r="AI75" i="57"/>
  <c r="AH75" i="57"/>
  <c r="AI74" i="57"/>
  <c r="AH74" i="57"/>
  <c r="AI73" i="57"/>
  <c r="AH73" i="57"/>
  <c r="AI72" i="57"/>
  <c r="AH72" i="57"/>
  <c r="AI71" i="57"/>
  <c r="AH71" i="57"/>
  <c r="AG70" i="57"/>
  <c r="AF70" i="57"/>
  <c r="AE70" i="57"/>
  <c r="AD70" i="57"/>
  <c r="AC70" i="57"/>
  <c r="AB70" i="57"/>
  <c r="AA70" i="57"/>
  <c r="Z70" i="57"/>
  <c r="Y70" i="57"/>
  <c r="X70" i="57"/>
  <c r="W70" i="57"/>
  <c r="V70" i="57"/>
  <c r="U70" i="57"/>
  <c r="T70" i="57"/>
  <c r="S70" i="57"/>
  <c r="R70" i="57"/>
  <c r="Q70" i="57"/>
  <c r="P70" i="57"/>
  <c r="O70" i="57"/>
  <c r="N70" i="57"/>
  <c r="M70" i="57"/>
  <c r="L70" i="57"/>
  <c r="B70" i="57"/>
  <c r="AI69" i="57"/>
  <c r="AH69" i="57"/>
  <c r="AI68" i="57"/>
  <c r="AH68" i="57"/>
  <c r="AI67" i="57"/>
  <c r="AH67" i="57"/>
  <c r="AF66" i="57"/>
  <c r="AE66" i="57"/>
  <c r="AD66" i="57"/>
  <c r="AC66" i="57"/>
  <c r="AB66" i="57"/>
  <c r="AA66" i="57"/>
  <c r="Z66" i="57"/>
  <c r="Y66" i="57"/>
  <c r="X66" i="57"/>
  <c r="W66" i="57"/>
  <c r="V66" i="57"/>
  <c r="U66" i="57"/>
  <c r="T66" i="57"/>
  <c r="S66" i="57"/>
  <c r="R66" i="57"/>
  <c r="Q66" i="57"/>
  <c r="P66" i="57"/>
  <c r="O66" i="57"/>
  <c r="N66" i="57"/>
  <c r="M66" i="57"/>
  <c r="L66" i="57"/>
  <c r="K66" i="57"/>
  <c r="J66" i="57"/>
  <c r="I66" i="57"/>
  <c r="H66" i="57"/>
  <c r="G66" i="57"/>
  <c r="F66" i="57"/>
  <c r="E66" i="57"/>
  <c r="D66" i="57"/>
  <c r="C66" i="57"/>
  <c r="B66" i="57"/>
  <c r="AI65" i="57"/>
  <c r="AH65" i="57"/>
  <c r="AG65" i="57"/>
  <c r="AG66" i="57" s="1"/>
  <c r="AG3" i="57" s="1"/>
  <c r="AI64" i="57"/>
  <c r="AH64" i="57"/>
  <c r="AI63" i="57"/>
  <c r="AH63" i="57"/>
  <c r="AI62" i="57"/>
  <c r="AH62" i="57"/>
  <c r="AI61" i="57"/>
  <c r="AH61" i="57"/>
  <c r="AI60" i="57"/>
  <c r="AH60" i="57"/>
  <c r="AI59" i="57"/>
  <c r="AH59" i="57"/>
  <c r="AI58" i="57"/>
  <c r="AH58" i="57"/>
  <c r="AI57" i="57"/>
  <c r="AH57" i="57"/>
  <c r="AI56" i="57"/>
  <c r="AH56" i="57"/>
  <c r="AI55" i="57"/>
  <c r="AH55" i="57"/>
  <c r="AI54" i="57"/>
  <c r="AH54" i="57"/>
  <c r="AI53" i="57"/>
  <c r="AH53" i="57"/>
  <c r="AG52" i="57"/>
  <c r="AF52" i="57"/>
  <c r="AE52" i="57"/>
  <c r="AD52" i="57"/>
  <c r="AC52" i="57"/>
  <c r="AB52" i="57"/>
  <c r="AA52" i="57"/>
  <c r="Z52" i="57"/>
  <c r="Y52" i="57"/>
  <c r="X52" i="57"/>
  <c r="W52" i="57"/>
  <c r="V52" i="57"/>
  <c r="U52" i="57"/>
  <c r="T52" i="57"/>
  <c r="S52" i="57"/>
  <c r="R52" i="57"/>
  <c r="Q52" i="57"/>
  <c r="P52" i="57"/>
  <c r="O52" i="57"/>
  <c r="N52" i="57"/>
  <c r="M52" i="57"/>
  <c r="L52" i="57"/>
  <c r="K52" i="57"/>
  <c r="J52" i="57"/>
  <c r="I52" i="57"/>
  <c r="H52" i="57"/>
  <c r="G52" i="57"/>
  <c r="F52" i="57"/>
  <c r="E52" i="57"/>
  <c r="D52" i="57"/>
  <c r="C52" i="57"/>
  <c r="AI51" i="57"/>
  <c r="AH51" i="57"/>
  <c r="AI50" i="57"/>
  <c r="AH50" i="57"/>
  <c r="AI49" i="57"/>
  <c r="AH49" i="57"/>
  <c r="AG48" i="57"/>
  <c r="AF48" i="57"/>
  <c r="AE48" i="57"/>
  <c r="AD48" i="57"/>
  <c r="AC48" i="57"/>
  <c r="AB48" i="57"/>
  <c r="AA48" i="57"/>
  <c r="Z48" i="57"/>
  <c r="Y48" i="57"/>
  <c r="X48" i="57"/>
  <c r="W48" i="57"/>
  <c r="U48" i="57"/>
  <c r="T48" i="57"/>
  <c r="S48" i="57"/>
  <c r="R48" i="57"/>
  <c r="Q48" i="57"/>
  <c r="P48" i="57"/>
  <c r="O48" i="57"/>
  <c r="N48" i="57"/>
  <c r="M48" i="57"/>
  <c r="L48" i="57"/>
  <c r="K48" i="57"/>
  <c r="J48" i="57"/>
  <c r="I48" i="57"/>
  <c r="H48" i="57"/>
  <c r="G48" i="57"/>
  <c r="F48" i="57"/>
  <c r="E48" i="57"/>
  <c r="D48" i="57"/>
  <c r="C48" i="57"/>
  <c r="C87" i="57" s="1"/>
  <c r="C89" i="57" s="1"/>
  <c r="AI47" i="57"/>
  <c r="AH47" i="57"/>
  <c r="AI46" i="57"/>
  <c r="AH46" i="57"/>
  <c r="AI45" i="57"/>
  <c r="AH45" i="57"/>
  <c r="AI44" i="57"/>
  <c r="AH44" i="57"/>
  <c r="AI43" i="57"/>
  <c r="AH43" i="57"/>
  <c r="AI42" i="57"/>
  <c r="AH42" i="57"/>
  <c r="AI41" i="57"/>
  <c r="AH41" i="57"/>
  <c r="AI40" i="57"/>
  <c r="AH40" i="57"/>
  <c r="AI39" i="57"/>
  <c r="AH39" i="57"/>
  <c r="AI38" i="57"/>
  <c r="AH38" i="57"/>
  <c r="AI37" i="57"/>
  <c r="AH37" i="57"/>
  <c r="AI36" i="57"/>
  <c r="AH36" i="57"/>
  <c r="AI35" i="57"/>
  <c r="AH35" i="57"/>
  <c r="AI34" i="57"/>
  <c r="AH34" i="57"/>
  <c r="AI33" i="57"/>
  <c r="AH33" i="57"/>
  <c r="AI32" i="57"/>
  <c r="AH32" i="57"/>
  <c r="AI31" i="57"/>
  <c r="AH31" i="57"/>
  <c r="AI30" i="57"/>
  <c r="AH30" i="57"/>
  <c r="AI29" i="57"/>
  <c r="AH29" i="57"/>
  <c r="AI28" i="57"/>
  <c r="AH28" i="57"/>
  <c r="AI27" i="57"/>
  <c r="AH27" i="57"/>
  <c r="AI26" i="57"/>
  <c r="AH26" i="57"/>
  <c r="AI25" i="57"/>
  <c r="AH25" i="57"/>
  <c r="AI24" i="57"/>
  <c r="AH24" i="57"/>
  <c r="AI23" i="57"/>
  <c r="AH23" i="57"/>
  <c r="AI22" i="57"/>
  <c r="AH22" i="57"/>
  <c r="AI21" i="57"/>
  <c r="AH21" i="57"/>
  <c r="AI20" i="57"/>
  <c r="AH20" i="57"/>
  <c r="AI19" i="57"/>
  <c r="AH19" i="57"/>
  <c r="AI18" i="57"/>
  <c r="AH18" i="57"/>
  <c r="AI17" i="57"/>
  <c r="AH17" i="57"/>
  <c r="AI16" i="57"/>
  <c r="AH16" i="57"/>
  <c r="AI15" i="57"/>
  <c r="AH15" i="57"/>
  <c r="AI14" i="57"/>
  <c r="AH14" i="57"/>
  <c r="AI13" i="57"/>
  <c r="AH13" i="57"/>
  <c r="AI12" i="57"/>
  <c r="AH12" i="57"/>
  <c r="AI11" i="57"/>
  <c r="AH11" i="57"/>
  <c r="AE5" i="57"/>
  <c r="R5" i="57"/>
  <c r="AG4" i="57"/>
  <c r="K4" i="57"/>
  <c r="E4" i="57"/>
  <c r="H4" i="57" s="1"/>
  <c r="B4" i="57"/>
  <c r="S243" i="57" s="1"/>
  <c r="AG2" i="57"/>
  <c r="K226" i="62" l="1"/>
  <c r="G267" i="62"/>
  <c r="I231" i="62"/>
  <c r="H108" i="62"/>
  <c r="H232" i="62"/>
  <c r="K231" i="60"/>
  <c r="I267" i="60"/>
  <c r="I108" i="60"/>
  <c r="J226" i="60"/>
  <c r="AH89" i="59"/>
  <c r="AI90" i="59"/>
  <c r="AH90" i="59"/>
  <c r="E267" i="59"/>
  <c r="G231" i="59"/>
  <c r="G108" i="59" s="1"/>
  <c r="F232" i="59"/>
  <c r="I226" i="59"/>
  <c r="K6" i="58"/>
  <c r="F267" i="58"/>
  <c r="H231" i="58"/>
  <c r="G108" i="58"/>
  <c r="G232" i="58"/>
  <c r="K226" i="58"/>
  <c r="AI90" i="58"/>
  <c r="AH90" i="58"/>
  <c r="AF87" i="57"/>
  <c r="AF89" i="57" s="1"/>
  <c r="AF90" i="57" s="1"/>
  <c r="AD5" i="57"/>
  <c r="AE87" i="57"/>
  <c r="AE89" i="57" s="1"/>
  <c r="AE90" i="57" s="1"/>
  <c r="AC5" i="57"/>
  <c r="AD87" i="57"/>
  <c r="AD89" i="57" s="1"/>
  <c r="AD90" i="57" s="1"/>
  <c r="AB5" i="57"/>
  <c r="AC87" i="57"/>
  <c r="AC89" i="57" s="1"/>
  <c r="AC90" i="57" s="1"/>
  <c r="AA5" i="57"/>
  <c r="AB87" i="57"/>
  <c r="AB89" i="57" s="1"/>
  <c r="AB90" i="57" s="1"/>
  <c r="AA87" i="57"/>
  <c r="AA89" i="57" s="1"/>
  <c r="Z5" i="57"/>
  <c r="Y5" i="57"/>
  <c r="Z87" i="57"/>
  <c r="Z89" i="57" s="1"/>
  <c r="X5" i="57"/>
  <c r="Y87" i="57"/>
  <c r="Y89" i="57" s="1"/>
  <c r="Y7" i="57" s="1"/>
  <c r="W5" i="57"/>
  <c r="X87" i="57"/>
  <c r="X89" i="57" s="1"/>
  <c r="X90" i="57" s="1"/>
  <c r="V5" i="57"/>
  <c r="W87" i="57"/>
  <c r="W89" i="57" s="1"/>
  <c r="AO246" i="57" s="1"/>
  <c r="V87" i="57"/>
  <c r="V89" i="57" s="1"/>
  <c r="U5" i="57"/>
  <c r="T5" i="57"/>
  <c r="U87" i="57"/>
  <c r="U89" i="57" s="1"/>
  <c r="U90" i="57" s="1"/>
  <c r="S5" i="57"/>
  <c r="T87" i="57"/>
  <c r="T89" i="57" s="1"/>
  <c r="AL246" i="57" s="1"/>
  <c r="S87" i="57"/>
  <c r="S89" i="57" s="1"/>
  <c r="S90" i="57" s="1"/>
  <c r="Q5" i="57"/>
  <c r="R87" i="57"/>
  <c r="R89" i="57" s="1"/>
  <c r="P5" i="57"/>
  <c r="O5" i="57"/>
  <c r="P87" i="57"/>
  <c r="P89" i="57" s="1"/>
  <c r="Q87" i="57"/>
  <c r="Q89" i="57" s="1"/>
  <c r="N5" i="57"/>
  <c r="O87" i="57"/>
  <c r="O89" i="57" s="1"/>
  <c r="M5" i="57"/>
  <c r="AI70" i="57"/>
  <c r="N87" i="57"/>
  <c r="N89" i="57" s="1"/>
  <c r="L5" i="57"/>
  <c r="M87" i="57"/>
  <c r="M89" i="57" s="1"/>
  <c r="M7" i="57" s="1"/>
  <c r="K5" i="57"/>
  <c r="L87" i="57"/>
  <c r="L89" i="57" s="1"/>
  <c r="L90" i="57" s="1"/>
  <c r="J5" i="57"/>
  <c r="K87" i="57"/>
  <c r="K89" i="57" s="1"/>
  <c r="K90" i="57" s="1"/>
  <c r="I5" i="57"/>
  <c r="J87" i="57"/>
  <c r="J89" i="57" s="1"/>
  <c r="AB246" i="57" s="1"/>
  <c r="H5" i="57"/>
  <c r="I87" i="57"/>
  <c r="I89" i="57" s="1"/>
  <c r="I90" i="57" s="1"/>
  <c r="G5" i="57"/>
  <c r="H87" i="57"/>
  <c r="H89" i="57" s="1"/>
  <c r="E5" i="57"/>
  <c r="F87" i="57"/>
  <c r="F89" i="57" s="1"/>
  <c r="F7" i="57" s="1"/>
  <c r="F5" i="57"/>
  <c r="G87" i="57"/>
  <c r="G89" i="57" s="1"/>
  <c r="D5" i="57"/>
  <c r="E87" i="57"/>
  <c r="E89" i="57" s="1"/>
  <c r="E7" i="57" s="1"/>
  <c r="C5" i="57"/>
  <c r="D87" i="57"/>
  <c r="D89" i="57" s="1"/>
  <c r="V246" i="57" s="1"/>
  <c r="B5" i="57"/>
  <c r="AI66" i="57"/>
  <c r="AI52" i="57"/>
  <c r="AF5" i="57"/>
  <c r="B87" i="57"/>
  <c r="V7" i="57"/>
  <c r="AN246" i="57"/>
  <c r="V90" i="57"/>
  <c r="AG246" i="57"/>
  <c r="O90" i="57"/>
  <c r="O7" i="57"/>
  <c r="W90" i="57"/>
  <c r="W7" i="57"/>
  <c r="AW246" i="57"/>
  <c r="AI98" i="57"/>
  <c r="AH98" i="57"/>
  <c r="AF7" i="57"/>
  <c r="AX246" i="57"/>
  <c r="Q90" i="57"/>
  <c r="Q7" i="57"/>
  <c r="AI246" i="57"/>
  <c r="AG87" i="57"/>
  <c r="R90" i="57"/>
  <c r="R7" i="57"/>
  <c r="AJ246" i="57"/>
  <c r="Z90" i="57"/>
  <c r="Z7" i="57"/>
  <c r="AR246" i="57"/>
  <c r="G226" i="57"/>
  <c r="AC246" i="57"/>
  <c r="AA90" i="57"/>
  <c r="AA7" i="57"/>
  <c r="AS246" i="57"/>
  <c r="J229" i="57"/>
  <c r="K229" i="57" s="1"/>
  <c r="L229" i="57" s="1"/>
  <c r="M229" i="57" s="1"/>
  <c r="N229" i="57" s="1"/>
  <c r="O229" i="57" s="1"/>
  <c r="P229" i="57" s="1"/>
  <c r="N7" i="57"/>
  <c r="AF246" i="57"/>
  <c r="N90" i="57"/>
  <c r="P90" i="57"/>
  <c r="P7" i="57"/>
  <c r="AH246" i="57"/>
  <c r="AG6" i="57"/>
  <c r="H90" i="57"/>
  <c r="H7" i="57"/>
  <c r="Z246" i="57"/>
  <c r="C90" i="57"/>
  <c r="C7" i="57"/>
  <c r="U246" i="57"/>
  <c r="M90" i="57"/>
  <c r="AH70" i="57"/>
  <c r="E232" i="57"/>
  <c r="D243" i="57"/>
  <c r="AH66" i="57"/>
  <c r="E108" i="57"/>
  <c r="F231" i="57"/>
  <c r="AH82" i="57"/>
  <c r="AH48" i="57"/>
  <c r="AH52" i="57"/>
  <c r="AI82" i="57"/>
  <c r="AI48" i="57"/>
  <c r="H267" i="62" l="1"/>
  <c r="J231" i="62"/>
  <c r="I108" i="62"/>
  <c r="L226" i="62"/>
  <c r="J108" i="60"/>
  <c r="K226" i="60"/>
  <c r="J267" i="60"/>
  <c r="L231" i="60"/>
  <c r="F267" i="59"/>
  <c r="H231" i="59"/>
  <c r="H108" i="59" s="1"/>
  <c r="G232" i="59"/>
  <c r="J226" i="59"/>
  <c r="G267" i="58"/>
  <c r="I231" i="58"/>
  <c r="H232" i="58"/>
  <c r="H108" i="58"/>
  <c r="L226" i="58"/>
  <c r="AE7" i="57"/>
  <c r="AV246" i="57"/>
  <c r="AD7" i="57"/>
  <c r="AC7" i="57"/>
  <c r="AU246" i="57"/>
  <c r="AK246" i="57"/>
  <c r="S7" i="57"/>
  <c r="T7" i="57"/>
  <c r="T90" i="57"/>
  <c r="U7" i="57"/>
  <c r="AM246" i="57"/>
  <c r="AQ246" i="57"/>
  <c r="Y90" i="57"/>
  <c r="AT246" i="57"/>
  <c r="AB7" i="57"/>
  <c r="AP246" i="57"/>
  <c r="X7" i="57"/>
  <c r="AE246" i="57"/>
  <c r="AD246" i="57"/>
  <c r="L7" i="57"/>
  <c r="W246" i="57"/>
  <c r="B241" i="57"/>
  <c r="J7" i="57"/>
  <c r="J90" i="57"/>
  <c r="K7" i="57"/>
  <c r="AA246" i="57"/>
  <c r="I7" i="57"/>
  <c r="G7" i="57"/>
  <c r="G90" i="57"/>
  <c r="C241" i="57"/>
  <c r="K6" i="57" s="1"/>
  <c r="Y246" i="57"/>
  <c r="F90" i="57"/>
  <c r="X246" i="57"/>
  <c r="E90" i="57"/>
  <c r="AH87" i="57"/>
  <c r="D7" i="57"/>
  <c r="D90" i="57"/>
  <c r="AI87" i="57"/>
  <c r="B89" i="57"/>
  <c r="B90" i="57" s="1"/>
  <c r="E267" i="57"/>
  <c r="G231" i="57"/>
  <c r="F108" i="57"/>
  <c r="H226" i="57"/>
  <c r="F232" i="57"/>
  <c r="M226" i="62" l="1"/>
  <c r="K231" i="62"/>
  <c r="I267" i="62"/>
  <c r="J108" i="62"/>
  <c r="K267" i="60"/>
  <c r="M231" i="60"/>
  <c r="L226" i="60"/>
  <c r="K108" i="60"/>
  <c r="G267" i="59"/>
  <c r="I231" i="59"/>
  <c r="I108" i="59" s="1"/>
  <c r="H232" i="59"/>
  <c r="K226" i="59"/>
  <c r="M226" i="58"/>
  <c r="H267" i="58"/>
  <c r="J231" i="58"/>
  <c r="I108" i="58"/>
  <c r="T246" i="57"/>
  <c r="B7" i="57"/>
  <c r="A7" i="57" s="1"/>
  <c r="AH89" i="57"/>
  <c r="AI89" i="57"/>
  <c r="F267" i="57"/>
  <c r="H231" i="57"/>
  <c r="G232" i="57"/>
  <c r="I226" i="57"/>
  <c r="H108" i="57"/>
  <c r="H232" i="57"/>
  <c r="G108" i="57"/>
  <c r="AI90" i="57"/>
  <c r="AH90" i="57"/>
  <c r="J267" i="62" l="1"/>
  <c r="L231" i="62"/>
  <c r="K108" i="62"/>
  <c r="N226" i="62"/>
  <c r="M226" i="60"/>
  <c r="L108" i="60"/>
  <c r="L267" i="60"/>
  <c r="N231" i="60"/>
  <c r="H267" i="59"/>
  <c r="J231" i="59"/>
  <c r="J108" i="59" s="1"/>
  <c r="L226" i="59"/>
  <c r="K231" i="58"/>
  <c r="I267" i="58"/>
  <c r="J108" i="58"/>
  <c r="N226" i="58"/>
  <c r="G267" i="57"/>
  <c r="I231" i="57"/>
  <c r="I108" i="57"/>
  <c r="J226" i="57"/>
  <c r="O226" i="62" l="1"/>
  <c r="K267" i="62"/>
  <c r="M231" i="62"/>
  <c r="L108" i="62"/>
  <c r="M267" i="60"/>
  <c r="O231" i="60"/>
  <c r="N226" i="60"/>
  <c r="M108" i="60"/>
  <c r="M226" i="59"/>
  <c r="K231" i="59"/>
  <c r="K108" i="59" s="1"/>
  <c r="I267" i="59"/>
  <c r="O226" i="58"/>
  <c r="J267" i="58"/>
  <c r="L231" i="58"/>
  <c r="K108" i="58"/>
  <c r="H267" i="57"/>
  <c r="J231" i="57"/>
  <c r="J108" i="57"/>
  <c r="K226" i="57"/>
  <c r="L267" i="62" l="1"/>
  <c r="N231" i="62"/>
  <c r="M108" i="62"/>
  <c r="P226" i="62"/>
  <c r="O226" i="60"/>
  <c r="N108" i="60"/>
  <c r="N267" i="60"/>
  <c r="P231" i="60"/>
  <c r="O267" i="60" s="1"/>
  <c r="J267" i="59"/>
  <c r="L231" i="59"/>
  <c r="L108" i="59" s="1"/>
  <c r="N226" i="59"/>
  <c r="K267" i="58"/>
  <c r="M231" i="58"/>
  <c r="L108" i="58"/>
  <c r="P226" i="58"/>
  <c r="L226" i="57"/>
  <c r="K231" i="57"/>
  <c r="I267" i="57"/>
  <c r="M267" i="62" l="1"/>
  <c r="O231" i="62"/>
  <c r="N108" i="62"/>
  <c r="P226" i="60"/>
  <c r="O108" i="60"/>
  <c r="O226" i="59"/>
  <c r="K267" i="59"/>
  <c r="M231" i="59"/>
  <c r="L267" i="58"/>
  <c r="N231" i="58"/>
  <c r="M108" i="58"/>
  <c r="J267" i="57"/>
  <c r="L231" i="57"/>
  <c r="K108" i="57"/>
  <c r="M226" i="57"/>
  <c r="L108" i="57"/>
  <c r="N267" i="62" l="1"/>
  <c r="P231" i="62"/>
  <c r="O267" i="62" s="1"/>
  <c r="O108" i="62"/>
  <c r="AI108" i="60"/>
  <c r="AH108" i="60"/>
  <c r="L267" i="59"/>
  <c r="N231" i="59"/>
  <c r="M108" i="59"/>
  <c r="P226" i="59"/>
  <c r="M267" i="58"/>
  <c r="O231" i="58"/>
  <c r="N108" i="58"/>
  <c r="N226" i="57"/>
  <c r="K267" i="57"/>
  <c r="M231" i="57"/>
  <c r="AH108" i="62" l="1"/>
  <c r="AI108" i="62"/>
  <c r="M267" i="59"/>
  <c r="O231" i="59"/>
  <c r="N108" i="59"/>
  <c r="N267" i="58"/>
  <c r="P231" i="58"/>
  <c r="O267" i="58" s="1"/>
  <c r="O108" i="58"/>
  <c r="L267" i="57"/>
  <c r="N231" i="57"/>
  <c r="M108" i="57"/>
  <c r="O226" i="57"/>
  <c r="N108" i="57"/>
  <c r="N267" i="59" l="1"/>
  <c r="P231" i="59"/>
  <c r="O267" i="59" s="1"/>
  <c r="O108" i="59"/>
  <c r="AI108" i="58"/>
  <c r="AH108" i="58"/>
  <c r="P226" i="57"/>
  <c r="O108" i="57"/>
  <c r="M267" i="57"/>
  <c r="O231" i="57"/>
  <c r="AH108" i="59" l="1"/>
  <c r="AI108" i="59"/>
  <c r="N267" i="57"/>
  <c r="P231" i="57"/>
  <c r="O267" i="57" s="1"/>
  <c r="AI108" i="57"/>
  <c r="AH108" i="57"/>
  <c r="M48" i="56" l="1"/>
  <c r="M52" i="56"/>
  <c r="B52" i="56" l="1"/>
  <c r="AF271" i="56"/>
  <c r="AE271" i="56"/>
  <c r="AD271" i="56"/>
  <c r="AC271" i="56"/>
  <c r="AB271" i="56"/>
  <c r="AA271" i="56"/>
  <c r="Z271" i="56"/>
  <c r="Y271" i="56"/>
  <c r="X271" i="56"/>
  <c r="W271" i="56"/>
  <c r="V271" i="56"/>
  <c r="U271" i="56"/>
  <c r="T271" i="56"/>
  <c r="S271" i="56"/>
  <c r="R271" i="56"/>
  <c r="Q271" i="56"/>
  <c r="P271" i="56"/>
  <c r="O271" i="56"/>
  <c r="N271" i="56"/>
  <c r="M271" i="56"/>
  <c r="L271" i="56"/>
  <c r="K271" i="56"/>
  <c r="J271" i="56"/>
  <c r="I271" i="56"/>
  <c r="H271" i="56"/>
  <c r="G271" i="56"/>
  <c r="F271" i="56"/>
  <c r="E271" i="56"/>
  <c r="D271" i="56"/>
  <c r="C271" i="56"/>
  <c r="B271" i="56"/>
  <c r="A271" i="56"/>
  <c r="AF270" i="56"/>
  <c r="AE270" i="56"/>
  <c r="AD270" i="56"/>
  <c r="AC270" i="56"/>
  <c r="AB270" i="56"/>
  <c r="AA270" i="56"/>
  <c r="Z270" i="56"/>
  <c r="Y270" i="56"/>
  <c r="X270" i="56"/>
  <c r="W270" i="56"/>
  <c r="V270" i="56"/>
  <c r="U270" i="56"/>
  <c r="T270" i="56"/>
  <c r="S270" i="56"/>
  <c r="R270" i="56"/>
  <c r="Q270" i="56"/>
  <c r="P270" i="56"/>
  <c r="O270" i="56"/>
  <c r="N270" i="56"/>
  <c r="M270" i="56"/>
  <c r="L270" i="56"/>
  <c r="K270" i="56"/>
  <c r="J270" i="56"/>
  <c r="I270" i="56"/>
  <c r="H270" i="56"/>
  <c r="G270" i="56"/>
  <c r="F270" i="56"/>
  <c r="E270" i="56"/>
  <c r="D270" i="56"/>
  <c r="C270" i="56"/>
  <c r="B270" i="56"/>
  <c r="A270" i="56"/>
  <c r="AF269" i="56"/>
  <c r="AE269" i="56"/>
  <c r="AD269" i="56"/>
  <c r="AC269" i="56"/>
  <c r="AB269" i="56"/>
  <c r="AA269" i="56"/>
  <c r="Z269" i="56"/>
  <c r="Y269" i="56"/>
  <c r="X269" i="56"/>
  <c r="W269" i="56"/>
  <c r="V269" i="56"/>
  <c r="U269" i="56"/>
  <c r="T269" i="56"/>
  <c r="S269" i="56"/>
  <c r="R269" i="56"/>
  <c r="Q269" i="56"/>
  <c r="P269" i="56"/>
  <c r="O269" i="56"/>
  <c r="N269" i="56"/>
  <c r="M269" i="56"/>
  <c r="L269" i="56"/>
  <c r="K269" i="56"/>
  <c r="J269" i="56"/>
  <c r="I269" i="56"/>
  <c r="H269" i="56"/>
  <c r="G269" i="56"/>
  <c r="F269" i="56"/>
  <c r="E269" i="56"/>
  <c r="D269" i="56"/>
  <c r="C269" i="56"/>
  <c r="B269" i="56"/>
  <c r="A269" i="56"/>
  <c r="AF268" i="56"/>
  <c r="AE268" i="56"/>
  <c r="AD268" i="56"/>
  <c r="AC268" i="56"/>
  <c r="AB268" i="56"/>
  <c r="AA268" i="56"/>
  <c r="Z268" i="56"/>
  <c r="Y268" i="56"/>
  <c r="X268" i="56"/>
  <c r="W268" i="56"/>
  <c r="V268" i="56"/>
  <c r="U268" i="56"/>
  <c r="T268" i="56"/>
  <c r="S268" i="56"/>
  <c r="R268" i="56"/>
  <c r="Q268" i="56"/>
  <c r="P268" i="56"/>
  <c r="O268" i="56"/>
  <c r="N268" i="56"/>
  <c r="M268" i="56"/>
  <c r="L268" i="56"/>
  <c r="K268" i="56"/>
  <c r="J268" i="56"/>
  <c r="I268" i="56"/>
  <c r="H268" i="56"/>
  <c r="G268" i="56"/>
  <c r="F268" i="56"/>
  <c r="E268" i="56"/>
  <c r="D268" i="56"/>
  <c r="C268" i="56"/>
  <c r="B268" i="56"/>
  <c r="A268" i="56"/>
  <c r="AE267" i="56"/>
  <c r="AD267" i="56"/>
  <c r="AC267" i="56"/>
  <c r="AB267" i="56"/>
  <c r="AA267" i="56"/>
  <c r="Z267" i="56"/>
  <c r="Y267" i="56"/>
  <c r="X267" i="56"/>
  <c r="W267" i="56"/>
  <c r="V267" i="56"/>
  <c r="U267" i="56"/>
  <c r="T267" i="56"/>
  <c r="S267" i="56"/>
  <c r="R267" i="56"/>
  <c r="Q267" i="56"/>
  <c r="P267" i="56"/>
  <c r="B267" i="56"/>
  <c r="S242" i="56"/>
  <c r="AG232" i="56"/>
  <c r="AF232" i="56"/>
  <c r="AE232" i="56"/>
  <c r="AD232" i="56"/>
  <c r="AC232" i="56"/>
  <c r="AB232" i="56"/>
  <c r="AA232" i="56"/>
  <c r="Z232" i="56"/>
  <c r="Y232" i="56"/>
  <c r="X232" i="56"/>
  <c r="W232" i="56"/>
  <c r="V232" i="56"/>
  <c r="U232" i="56"/>
  <c r="T232" i="56"/>
  <c r="S232" i="56"/>
  <c r="R232" i="56"/>
  <c r="Q232" i="56"/>
  <c r="D232" i="56"/>
  <c r="C232" i="56"/>
  <c r="E231" i="56"/>
  <c r="D267" i="56" s="1"/>
  <c r="D231" i="56"/>
  <c r="C267" i="56" s="1"/>
  <c r="B231" i="56"/>
  <c r="AF267" i="56" s="1"/>
  <c r="E230" i="56"/>
  <c r="F230" i="56" s="1"/>
  <c r="G230" i="56" s="1"/>
  <c r="H230" i="56" s="1"/>
  <c r="I230" i="56" s="1"/>
  <c r="J230" i="56" s="1"/>
  <c r="K230" i="56" s="1"/>
  <c r="L230" i="56" s="1"/>
  <c r="M230" i="56" s="1"/>
  <c r="N230" i="56" s="1"/>
  <c r="O230" i="56" s="1"/>
  <c r="P230" i="56" s="1"/>
  <c r="D230" i="56"/>
  <c r="B230" i="56"/>
  <c r="E229" i="56"/>
  <c r="F229" i="56" s="1"/>
  <c r="G229" i="56" s="1"/>
  <c r="H229" i="56" s="1"/>
  <c r="I229" i="56" s="1"/>
  <c r="D229" i="56"/>
  <c r="B229" i="56"/>
  <c r="E228" i="56"/>
  <c r="F228" i="56" s="1"/>
  <c r="G228" i="56" s="1"/>
  <c r="H228" i="56" s="1"/>
  <c r="D228" i="56"/>
  <c r="B228" i="56"/>
  <c r="E227" i="56"/>
  <c r="F227" i="56" s="1"/>
  <c r="G227" i="56" s="1"/>
  <c r="H227" i="56" s="1"/>
  <c r="I227" i="56" s="1"/>
  <c r="J227" i="56" s="1"/>
  <c r="K227" i="56" s="1"/>
  <c r="L227" i="56" s="1"/>
  <c r="M227" i="56" s="1"/>
  <c r="N227" i="56" s="1"/>
  <c r="O227" i="56" s="1"/>
  <c r="P227" i="56" s="1"/>
  <c r="D227" i="56"/>
  <c r="B227" i="56"/>
  <c r="E226" i="56"/>
  <c r="F226" i="56" s="1"/>
  <c r="D226" i="56"/>
  <c r="B226" i="56"/>
  <c r="B108" i="56" s="1"/>
  <c r="AG224" i="56"/>
  <c r="AF224" i="56"/>
  <c r="AE224" i="56"/>
  <c r="AD224" i="56"/>
  <c r="AC224" i="56"/>
  <c r="AB224" i="56"/>
  <c r="AA224" i="56"/>
  <c r="Z224" i="56"/>
  <c r="Y224" i="56"/>
  <c r="X224" i="56"/>
  <c r="W224" i="56"/>
  <c r="V224" i="56"/>
  <c r="U224" i="56"/>
  <c r="T224" i="56"/>
  <c r="S224" i="56"/>
  <c r="R224" i="56"/>
  <c r="Q224" i="56"/>
  <c r="P224" i="56"/>
  <c r="O224" i="56"/>
  <c r="N224" i="56"/>
  <c r="M224" i="56"/>
  <c r="L224" i="56"/>
  <c r="K224" i="56"/>
  <c r="J224" i="56"/>
  <c r="I224" i="56"/>
  <c r="H224" i="56"/>
  <c r="G224" i="56"/>
  <c r="F224" i="56"/>
  <c r="E224" i="56"/>
  <c r="D224" i="56"/>
  <c r="C224" i="56"/>
  <c r="B224" i="56"/>
  <c r="AI117" i="56"/>
  <c r="AH117" i="56"/>
  <c r="AI116" i="56"/>
  <c r="AH116" i="56"/>
  <c r="AI115" i="56"/>
  <c r="AH115" i="56"/>
  <c r="AI114" i="56"/>
  <c r="AH114" i="56"/>
  <c r="AI113" i="56"/>
  <c r="AH113" i="56"/>
  <c r="AI112" i="56"/>
  <c r="AH112" i="56"/>
  <c r="AI111" i="56"/>
  <c r="AH111" i="56"/>
  <c r="AI110" i="56"/>
  <c r="AH110" i="56"/>
  <c r="AI109" i="56"/>
  <c r="AH109" i="56"/>
  <c r="AF108" i="56"/>
  <c r="AE108" i="56"/>
  <c r="AD108" i="56"/>
  <c r="AC108" i="56"/>
  <c r="AB108" i="56"/>
  <c r="AA108" i="56"/>
  <c r="Z108" i="56"/>
  <c r="Y108" i="56"/>
  <c r="X108" i="56"/>
  <c r="W108" i="56"/>
  <c r="V108" i="56"/>
  <c r="U108" i="56"/>
  <c r="T108" i="56"/>
  <c r="S108" i="56"/>
  <c r="R108" i="56"/>
  <c r="Q108" i="56"/>
  <c r="D108" i="56"/>
  <c r="C108" i="56"/>
  <c r="AI107" i="56"/>
  <c r="AH107" i="56"/>
  <c r="AI106" i="56"/>
  <c r="AH106" i="56"/>
  <c r="AI105" i="56"/>
  <c r="AH105" i="56"/>
  <c r="AI104" i="56"/>
  <c r="AH104" i="56"/>
  <c r="AI103" i="56"/>
  <c r="AH103" i="56"/>
  <c r="AI102" i="56"/>
  <c r="AH102" i="56"/>
  <c r="AI101" i="56"/>
  <c r="AH101" i="56"/>
  <c r="AI100" i="56"/>
  <c r="AH100" i="56"/>
  <c r="AI99" i="56"/>
  <c r="AH99" i="56"/>
  <c r="AI97" i="56"/>
  <c r="AH97" i="56"/>
  <c r="AI96" i="56"/>
  <c r="AH96" i="56"/>
  <c r="AI95" i="56"/>
  <c r="AH95" i="56"/>
  <c r="AI94" i="56"/>
  <c r="AH94" i="56"/>
  <c r="AI93" i="56"/>
  <c r="AH93" i="56"/>
  <c r="AI92" i="56"/>
  <c r="AH92" i="56"/>
  <c r="AI91" i="56"/>
  <c r="AH91" i="56"/>
  <c r="AI88" i="56"/>
  <c r="AH88" i="56"/>
  <c r="AI86" i="56"/>
  <c r="AH86" i="56"/>
  <c r="AG86" i="56"/>
  <c r="AG89" i="56" s="1"/>
  <c r="AI85" i="56"/>
  <c r="AH85" i="56"/>
  <c r="AI84" i="56"/>
  <c r="AH84" i="56"/>
  <c r="AI83" i="56"/>
  <c r="AH83" i="56"/>
  <c r="AN82" i="56"/>
  <c r="AG82" i="56"/>
  <c r="AE5" i="56"/>
  <c r="AE82" i="56"/>
  <c r="AD5" i="56" s="1"/>
  <c r="AD82" i="56"/>
  <c r="AD98" i="56" s="1"/>
  <c r="AC82" i="56"/>
  <c r="AC98" i="56" s="1"/>
  <c r="AB82" i="56"/>
  <c r="AB98" i="56" s="1"/>
  <c r="AA82" i="56"/>
  <c r="AA98" i="56" s="1"/>
  <c r="Z82" i="56"/>
  <c r="Z98" i="56" s="1"/>
  <c r="Y82" i="56"/>
  <c r="Y98" i="56" s="1"/>
  <c r="X82" i="56"/>
  <c r="W5" i="56" s="1"/>
  <c r="W82" i="56"/>
  <c r="V5" i="56" s="1"/>
  <c r="V82" i="56"/>
  <c r="V98" i="56" s="1"/>
  <c r="U82" i="56"/>
  <c r="U98" i="56" s="1"/>
  <c r="T82" i="56"/>
  <c r="T98" i="56" s="1"/>
  <c r="S82" i="56"/>
  <c r="S98" i="56" s="1"/>
  <c r="R82" i="56"/>
  <c r="R98" i="56" s="1"/>
  <c r="Q82" i="56"/>
  <c r="Q98" i="56" s="1"/>
  <c r="P82" i="56"/>
  <c r="O5" i="56" s="1"/>
  <c r="O82" i="56"/>
  <c r="O98" i="56" s="1"/>
  <c r="N82" i="56"/>
  <c r="N98" i="56" s="1"/>
  <c r="M82" i="56"/>
  <c r="M98" i="56" s="1"/>
  <c r="L82" i="56"/>
  <c r="L98" i="56" s="1"/>
  <c r="K82" i="56"/>
  <c r="K98" i="56" s="1"/>
  <c r="J82" i="56"/>
  <c r="J98" i="56" s="1"/>
  <c r="I82" i="56"/>
  <c r="I98" i="56" s="1"/>
  <c r="H82" i="56"/>
  <c r="G5" i="56" s="1"/>
  <c r="G82" i="56"/>
  <c r="F5" i="56" s="1"/>
  <c r="F82" i="56"/>
  <c r="F98" i="56" s="1"/>
  <c r="E82" i="56"/>
  <c r="E98" i="56" s="1"/>
  <c r="D82" i="56"/>
  <c r="D98" i="56" s="1"/>
  <c r="C82" i="56"/>
  <c r="C98" i="56" s="1"/>
  <c r="B82" i="56"/>
  <c r="B98" i="56" s="1"/>
  <c r="AI81" i="56"/>
  <c r="AH81" i="56"/>
  <c r="AN80" i="56"/>
  <c r="AI80" i="56"/>
  <c r="AH80" i="56"/>
  <c r="AN79" i="56"/>
  <c r="AN81" i="56" s="1"/>
  <c r="AI79" i="56"/>
  <c r="AH79" i="56"/>
  <c r="AI78" i="56"/>
  <c r="AH78" i="56"/>
  <c r="AI77" i="56"/>
  <c r="AH77" i="56"/>
  <c r="AI76" i="56"/>
  <c r="AH76" i="56"/>
  <c r="AI75" i="56"/>
  <c r="AH75" i="56"/>
  <c r="AI74" i="56"/>
  <c r="AH74" i="56"/>
  <c r="AI73" i="56"/>
  <c r="AH73" i="56"/>
  <c r="AI72" i="56"/>
  <c r="AH72" i="56"/>
  <c r="AI71" i="56"/>
  <c r="AH71" i="56"/>
  <c r="AG70" i="56"/>
  <c r="AE70" i="56"/>
  <c r="AD70" i="56"/>
  <c r="AC70" i="56"/>
  <c r="AB70" i="56"/>
  <c r="AA70" i="56"/>
  <c r="Z70" i="56"/>
  <c r="Y70" i="56"/>
  <c r="X70" i="56"/>
  <c r="W70" i="56"/>
  <c r="V70" i="56"/>
  <c r="U70" i="56"/>
  <c r="T70" i="56"/>
  <c r="S70" i="56"/>
  <c r="R70" i="56"/>
  <c r="Q70" i="56"/>
  <c r="P70" i="56"/>
  <c r="O70" i="56"/>
  <c r="N70" i="56"/>
  <c r="M70" i="56"/>
  <c r="L70" i="56"/>
  <c r="B70" i="56"/>
  <c r="AI69" i="56"/>
  <c r="AH69" i="56"/>
  <c r="AI68" i="56"/>
  <c r="AH68" i="56"/>
  <c r="AI67" i="56"/>
  <c r="AH67" i="56"/>
  <c r="AE66" i="56"/>
  <c r="AD66" i="56"/>
  <c r="AC66" i="56"/>
  <c r="AB66" i="56"/>
  <c r="AA66" i="56"/>
  <c r="Z66" i="56"/>
  <c r="Y66" i="56"/>
  <c r="X66" i="56"/>
  <c r="W66" i="56"/>
  <c r="V66" i="56"/>
  <c r="U66" i="56"/>
  <c r="T66" i="56"/>
  <c r="S66" i="56"/>
  <c r="R66" i="56"/>
  <c r="Q66" i="56"/>
  <c r="P66" i="56"/>
  <c r="O66" i="56"/>
  <c r="N66" i="56"/>
  <c r="M66" i="56"/>
  <c r="L66" i="56"/>
  <c r="K66" i="56"/>
  <c r="J66" i="56"/>
  <c r="I66" i="56"/>
  <c r="H66" i="56"/>
  <c r="G66" i="56"/>
  <c r="F66" i="56"/>
  <c r="E66" i="56"/>
  <c r="D66" i="56"/>
  <c r="C66" i="56"/>
  <c r="B66" i="56"/>
  <c r="AI65" i="56"/>
  <c r="AH65" i="56"/>
  <c r="AG65" i="56"/>
  <c r="AG66" i="56" s="1"/>
  <c r="AG3" i="56" s="1"/>
  <c r="AG6" i="56" s="1"/>
  <c r="AI64" i="56"/>
  <c r="AH64" i="56"/>
  <c r="AI63" i="56"/>
  <c r="AH63" i="56"/>
  <c r="AI62" i="56"/>
  <c r="AH62" i="56"/>
  <c r="AI61" i="56"/>
  <c r="AH61" i="56"/>
  <c r="AI60" i="56"/>
  <c r="AH60" i="56"/>
  <c r="AI59" i="56"/>
  <c r="AH59" i="56"/>
  <c r="AI58" i="56"/>
  <c r="AH58" i="56"/>
  <c r="AI57" i="56"/>
  <c r="AH57" i="56"/>
  <c r="AI56" i="56"/>
  <c r="AH56" i="56"/>
  <c r="AI55" i="56"/>
  <c r="AH55" i="56"/>
  <c r="AI54" i="56"/>
  <c r="AH54" i="56"/>
  <c r="AI53" i="56"/>
  <c r="AH53" i="56"/>
  <c r="AG52" i="56"/>
  <c r="AF52" i="56"/>
  <c r="AE52" i="56"/>
  <c r="AD52" i="56"/>
  <c r="AC52" i="56"/>
  <c r="AB52" i="56"/>
  <c r="AA52" i="56"/>
  <c r="Z52" i="56"/>
  <c r="Y52" i="56"/>
  <c r="X52" i="56"/>
  <c r="W52" i="56"/>
  <c r="V52" i="56"/>
  <c r="U52" i="56"/>
  <c r="T52" i="56"/>
  <c r="S52" i="56"/>
  <c r="R52" i="56"/>
  <c r="Q52" i="56"/>
  <c r="P52" i="56"/>
  <c r="O52" i="56"/>
  <c r="N52" i="56"/>
  <c r="L52" i="56"/>
  <c r="K52" i="56"/>
  <c r="J52" i="56"/>
  <c r="I52" i="56"/>
  <c r="H52" i="56"/>
  <c r="G52" i="56"/>
  <c r="F52" i="56"/>
  <c r="E52" i="56"/>
  <c r="D52" i="56"/>
  <c r="C52" i="56"/>
  <c r="AI51" i="56"/>
  <c r="AH51" i="56"/>
  <c r="AI50" i="56"/>
  <c r="AH50" i="56"/>
  <c r="AI49" i="56"/>
  <c r="AH49" i="56"/>
  <c r="AG48" i="56"/>
  <c r="AF48" i="56"/>
  <c r="AF87" i="56" s="1"/>
  <c r="AE48" i="56"/>
  <c r="AD48" i="56"/>
  <c r="AC48" i="56"/>
  <c r="AB48" i="56"/>
  <c r="AA48" i="56"/>
  <c r="Z48" i="56"/>
  <c r="Y48" i="56"/>
  <c r="X48" i="56"/>
  <c r="W48" i="56"/>
  <c r="V48" i="56"/>
  <c r="U48" i="56"/>
  <c r="T48" i="56"/>
  <c r="S48" i="56"/>
  <c r="R48" i="56"/>
  <c r="Q48" i="56"/>
  <c r="P48" i="56"/>
  <c r="O48" i="56"/>
  <c r="N48" i="56"/>
  <c r="L48" i="56"/>
  <c r="K48" i="56"/>
  <c r="J48" i="56"/>
  <c r="I48" i="56"/>
  <c r="H48" i="56"/>
  <c r="G48" i="56"/>
  <c r="F48" i="56"/>
  <c r="E48" i="56"/>
  <c r="D48" i="56"/>
  <c r="C48" i="56"/>
  <c r="B48" i="56"/>
  <c r="AI47" i="56"/>
  <c r="AH47" i="56"/>
  <c r="AI46" i="56"/>
  <c r="AH46" i="56"/>
  <c r="AI45" i="56"/>
  <c r="AH45" i="56"/>
  <c r="AI44" i="56"/>
  <c r="AH44" i="56"/>
  <c r="AI43" i="56"/>
  <c r="AH43" i="56"/>
  <c r="AI42" i="56"/>
  <c r="AH42" i="56"/>
  <c r="AI41" i="56"/>
  <c r="AH41" i="56"/>
  <c r="AI40" i="56"/>
  <c r="AH40" i="56"/>
  <c r="AI39" i="56"/>
  <c r="AH39" i="56"/>
  <c r="AI38" i="56"/>
  <c r="AH38" i="56"/>
  <c r="AI37" i="56"/>
  <c r="AH37" i="56"/>
  <c r="AI36" i="56"/>
  <c r="AH36" i="56"/>
  <c r="AI35" i="56"/>
  <c r="AH35" i="56"/>
  <c r="AI34" i="56"/>
  <c r="AH34" i="56"/>
  <c r="AI33" i="56"/>
  <c r="AH33" i="56"/>
  <c r="AI32" i="56"/>
  <c r="AH32" i="56"/>
  <c r="AI31" i="56"/>
  <c r="AH31" i="56"/>
  <c r="AI30" i="56"/>
  <c r="AH30" i="56"/>
  <c r="AI29" i="56"/>
  <c r="AH29" i="56"/>
  <c r="AI28" i="56"/>
  <c r="AH28" i="56"/>
  <c r="AI27" i="56"/>
  <c r="AH27" i="56"/>
  <c r="AI26" i="56"/>
  <c r="AH26" i="56"/>
  <c r="AI25" i="56"/>
  <c r="AH25" i="56"/>
  <c r="AI24" i="56"/>
  <c r="AH24" i="56"/>
  <c r="AI23" i="56"/>
  <c r="AH23" i="56"/>
  <c r="AI22" i="56"/>
  <c r="AH22" i="56"/>
  <c r="AI21" i="56"/>
  <c r="AH21" i="56"/>
  <c r="AI20" i="56"/>
  <c r="AH20" i="56"/>
  <c r="AI19" i="56"/>
  <c r="AH19" i="56"/>
  <c r="AI18" i="56"/>
  <c r="AH18" i="56"/>
  <c r="AI17" i="56"/>
  <c r="AH17" i="56"/>
  <c r="AI16" i="56"/>
  <c r="AH16" i="56"/>
  <c r="AI15" i="56"/>
  <c r="AH15" i="56"/>
  <c r="AI14" i="56"/>
  <c r="AH14" i="56"/>
  <c r="AI13" i="56"/>
  <c r="AH13" i="56"/>
  <c r="AI12" i="56"/>
  <c r="AH12" i="56"/>
  <c r="AI11" i="56"/>
  <c r="AH11" i="56"/>
  <c r="Z5" i="56"/>
  <c r="M5" i="56"/>
  <c r="AG4" i="56"/>
  <c r="K4" i="56"/>
  <c r="E4" i="56"/>
  <c r="H4" i="56" s="1"/>
  <c r="B4" i="56"/>
  <c r="S243" i="56" s="1"/>
  <c r="AG2" i="56"/>
  <c r="AF89" i="56" l="1"/>
  <c r="AE98" i="56"/>
  <c r="AE87" i="56"/>
  <c r="AE89" i="56" s="1"/>
  <c r="AD87" i="56"/>
  <c r="AD89" i="56" s="1"/>
  <c r="AV246" i="56" s="1"/>
  <c r="AC5" i="56"/>
  <c r="AB5" i="56"/>
  <c r="AC87" i="56"/>
  <c r="AC89" i="56" s="1"/>
  <c r="AU246" i="56" s="1"/>
  <c r="AA5" i="56"/>
  <c r="AB87" i="56"/>
  <c r="AB89" i="56" s="1"/>
  <c r="AB90" i="56" s="1"/>
  <c r="AA87" i="56"/>
  <c r="AA89" i="56" s="1"/>
  <c r="AA7" i="56" s="1"/>
  <c r="Y5" i="56"/>
  <c r="Z87" i="56"/>
  <c r="Z89" i="56" s="1"/>
  <c r="Z90" i="56" s="1"/>
  <c r="Y87" i="56"/>
  <c r="Y89" i="56" s="1"/>
  <c r="X5" i="56"/>
  <c r="X87" i="56"/>
  <c r="X89" i="56" s="1"/>
  <c r="X90" i="56" s="1"/>
  <c r="W98" i="56"/>
  <c r="W87" i="56"/>
  <c r="W89" i="56" s="1"/>
  <c r="W7" i="56" s="1"/>
  <c r="U5" i="56"/>
  <c r="V87" i="56"/>
  <c r="V89" i="56" s="1"/>
  <c r="V7" i="56" s="1"/>
  <c r="T5" i="56"/>
  <c r="U87" i="56"/>
  <c r="U89" i="56" s="1"/>
  <c r="U7" i="56" s="1"/>
  <c r="S5" i="56"/>
  <c r="T87" i="56"/>
  <c r="T89" i="56" s="1"/>
  <c r="AL246" i="56" s="1"/>
  <c r="R5" i="56"/>
  <c r="S87" i="56"/>
  <c r="S89" i="56" s="1"/>
  <c r="S90" i="56" s="1"/>
  <c r="Q5" i="56"/>
  <c r="R87" i="56"/>
  <c r="R89" i="56" s="1"/>
  <c r="AJ246" i="56" s="1"/>
  <c r="Q87" i="56"/>
  <c r="Q89" i="56" s="1"/>
  <c r="Q90" i="56" s="1"/>
  <c r="P5" i="56"/>
  <c r="P87" i="56"/>
  <c r="P89" i="56" s="1"/>
  <c r="P7" i="56" s="1"/>
  <c r="N5" i="56"/>
  <c r="O87" i="56"/>
  <c r="O89" i="56" s="1"/>
  <c r="AG246" i="56" s="1"/>
  <c r="N87" i="56"/>
  <c r="N89" i="56" s="1"/>
  <c r="N90" i="56" s="1"/>
  <c r="L5" i="56"/>
  <c r="M87" i="56"/>
  <c r="M89" i="56" s="1"/>
  <c r="M7" i="56" s="1"/>
  <c r="K5" i="56"/>
  <c r="AI70" i="56"/>
  <c r="L87" i="56"/>
  <c r="L89" i="56" s="1"/>
  <c r="L90" i="56" s="1"/>
  <c r="J5" i="56"/>
  <c r="K87" i="56"/>
  <c r="K89" i="56" s="1"/>
  <c r="K7" i="56" s="1"/>
  <c r="I5" i="56"/>
  <c r="J87" i="56"/>
  <c r="J89" i="56" s="1"/>
  <c r="J90" i="56" s="1"/>
  <c r="H5" i="56"/>
  <c r="I87" i="56"/>
  <c r="I89" i="56" s="1"/>
  <c r="AA246" i="56" s="1"/>
  <c r="H87" i="56"/>
  <c r="H89" i="56" s="1"/>
  <c r="H90" i="56" s="1"/>
  <c r="AI52" i="56"/>
  <c r="G98" i="56"/>
  <c r="G87" i="56"/>
  <c r="G89" i="56" s="1"/>
  <c r="Y246" i="56" s="1"/>
  <c r="E5" i="56"/>
  <c r="F87" i="56"/>
  <c r="F89" i="56" s="1"/>
  <c r="F90" i="56" s="1"/>
  <c r="D5" i="56"/>
  <c r="E87" i="56"/>
  <c r="E89" i="56" s="1"/>
  <c r="W246" i="56" s="1"/>
  <c r="C5" i="56"/>
  <c r="D87" i="56"/>
  <c r="D89" i="56" s="1"/>
  <c r="D90" i="56" s="1"/>
  <c r="B5" i="56"/>
  <c r="AI66" i="56"/>
  <c r="C87" i="56"/>
  <c r="C89" i="56" s="1"/>
  <c r="C90" i="56" s="1"/>
  <c r="AF5" i="56"/>
  <c r="B87" i="56"/>
  <c r="V90" i="56"/>
  <c r="AW246" i="56"/>
  <c r="AE90" i="56"/>
  <c r="AE7" i="56"/>
  <c r="AD7" i="56"/>
  <c r="AG87" i="56"/>
  <c r="V246" i="56"/>
  <c r="G226" i="56"/>
  <c r="Z7" i="56"/>
  <c r="AR246" i="56"/>
  <c r="J229" i="56"/>
  <c r="K229" i="56" s="1"/>
  <c r="L229" i="56" s="1"/>
  <c r="M229" i="56" s="1"/>
  <c r="N229" i="56" s="1"/>
  <c r="O229" i="56" s="1"/>
  <c r="P229" i="56" s="1"/>
  <c r="AA90" i="56"/>
  <c r="AO246" i="56"/>
  <c r="W90" i="56"/>
  <c r="AF7" i="56"/>
  <c r="AF90" i="56"/>
  <c r="AX246" i="56"/>
  <c r="AQ246" i="56"/>
  <c r="Y90" i="56"/>
  <c r="Y7" i="56"/>
  <c r="B89" i="56"/>
  <c r="E7" i="56"/>
  <c r="E90" i="56"/>
  <c r="AM246" i="56"/>
  <c r="U90" i="56"/>
  <c r="AH66" i="56"/>
  <c r="AH70" i="56"/>
  <c r="E232" i="56"/>
  <c r="D243" i="56"/>
  <c r="H98" i="56"/>
  <c r="P98" i="56"/>
  <c r="X98" i="56"/>
  <c r="AF98" i="56"/>
  <c r="E108" i="56"/>
  <c r="F231" i="56"/>
  <c r="F232" i="56" s="1"/>
  <c r="AH82" i="56"/>
  <c r="AH48" i="56"/>
  <c r="AH52" i="56"/>
  <c r="AI82" i="56"/>
  <c r="AI48" i="56"/>
  <c r="B232" i="56"/>
  <c r="AP246" i="56" l="1"/>
  <c r="AD90" i="56"/>
  <c r="AC7" i="56"/>
  <c r="AC90" i="56"/>
  <c r="AT246" i="56"/>
  <c r="AB7" i="56"/>
  <c r="AS246" i="56"/>
  <c r="X7" i="56"/>
  <c r="R90" i="56"/>
  <c r="N7" i="56"/>
  <c r="AI246" i="56"/>
  <c r="Q7" i="56"/>
  <c r="AN246" i="56"/>
  <c r="AK246" i="56"/>
  <c r="T7" i="56"/>
  <c r="S7" i="56"/>
  <c r="T90" i="56"/>
  <c r="R7" i="56"/>
  <c r="AF246" i="56"/>
  <c r="O7" i="56"/>
  <c r="M90" i="56"/>
  <c r="AE246" i="56"/>
  <c r="O90" i="56"/>
  <c r="AH246" i="56"/>
  <c r="P90" i="56"/>
  <c r="AD246" i="56"/>
  <c r="L7" i="56"/>
  <c r="K90" i="56"/>
  <c r="AC246" i="56"/>
  <c r="D7" i="56"/>
  <c r="AB246" i="56"/>
  <c r="J7" i="56"/>
  <c r="I7" i="56"/>
  <c r="I90" i="56"/>
  <c r="Z246" i="56"/>
  <c r="H7" i="56"/>
  <c r="AI98" i="56"/>
  <c r="B241" i="56"/>
  <c r="G90" i="56"/>
  <c r="G7" i="56"/>
  <c r="C241" i="56"/>
  <c r="F7" i="56"/>
  <c r="X246" i="56"/>
  <c r="AH87" i="56"/>
  <c r="AI87" i="56"/>
  <c r="U246" i="56"/>
  <c r="C7" i="56"/>
  <c r="F108" i="56"/>
  <c r="B90" i="56"/>
  <c r="AI89" i="56"/>
  <c r="AH89" i="56"/>
  <c r="B7" i="56"/>
  <c r="T246" i="56"/>
  <c r="E267" i="56"/>
  <c r="G231" i="56"/>
  <c r="AH98" i="56"/>
  <c r="H226" i="56"/>
  <c r="G108" i="56"/>
  <c r="G232" i="56"/>
  <c r="K6" i="56" l="1"/>
  <c r="A7" i="56"/>
  <c r="I226" i="56"/>
  <c r="AI90" i="56"/>
  <c r="AH90" i="56"/>
  <c r="F267" i="56"/>
  <c r="H231" i="56"/>
  <c r="G267" i="56" l="1"/>
  <c r="I231" i="56"/>
  <c r="H232" i="56"/>
  <c r="H108" i="56"/>
  <c r="I108" i="56"/>
  <c r="J226" i="56"/>
  <c r="K226" i="56" l="1"/>
  <c r="H267" i="56"/>
  <c r="J231" i="56"/>
  <c r="K231" i="56" l="1"/>
  <c r="I267" i="56"/>
  <c r="L226" i="56"/>
  <c r="K108" i="56"/>
  <c r="J108" i="56"/>
  <c r="L108" i="56" l="1"/>
  <c r="M226" i="56"/>
  <c r="J267" i="56"/>
  <c r="L231" i="56"/>
  <c r="M231" i="56" l="1"/>
  <c r="K267" i="56"/>
  <c r="N226" i="56"/>
  <c r="M108" i="56"/>
  <c r="O226" i="56" l="1"/>
  <c r="L267" i="56"/>
  <c r="N231" i="56"/>
  <c r="M267" i="56" l="1"/>
  <c r="O231" i="56"/>
  <c r="N108" i="56"/>
  <c r="P226" i="56"/>
  <c r="O108" i="56"/>
  <c r="AI108" i="56" l="1"/>
  <c r="AH108" i="56"/>
  <c r="N267" i="56"/>
  <c r="P231" i="56"/>
  <c r="O267" i="56" s="1"/>
  <c r="D111" i="55" l="1"/>
  <c r="C111" i="55"/>
  <c r="B111" i="55"/>
  <c r="B108" i="55"/>
  <c r="B82" i="55"/>
  <c r="B98" i="55" s="1"/>
  <c r="B70" i="55"/>
  <c r="B66" i="55"/>
  <c r="B52" i="55"/>
  <c r="B48" i="55"/>
  <c r="AF271" i="55"/>
  <c r="AE271" i="55"/>
  <c r="AD271" i="55"/>
  <c r="AC271" i="55"/>
  <c r="AB271" i="55"/>
  <c r="AA271" i="55"/>
  <c r="Z271" i="55"/>
  <c r="Y271" i="55"/>
  <c r="X271" i="55"/>
  <c r="W271" i="55"/>
  <c r="V271" i="55"/>
  <c r="U271" i="55"/>
  <c r="T271" i="55"/>
  <c r="S271" i="55"/>
  <c r="R271" i="55"/>
  <c r="Q271" i="55"/>
  <c r="P271" i="55"/>
  <c r="O271" i="55"/>
  <c r="N271" i="55"/>
  <c r="M271" i="55"/>
  <c r="L271" i="55"/>
  <c r="K271" i="55"/>
  <c r="J271" i="55"/>
  <c r="I271" i="55"/>
  <c r="H271" i="55"/>
  <c r="G271" i="55"/>
  <c r="F271" i="55"/>
  <c r="E271" i="55"/>
  <c r="D271" i="55"/>
  <c r="C271" i="55"/>
  <c r="B271" i="55"/>
  <c r="A271" i="55"/>
  <c r="AF270" i="55"/>
  <c r="AE270" i="55"/>
  <c r="AD270" i="55"/>
  <c r="AC270" i="55"/>
  <c r="AB270" i="55"/>
  <c r="AA270" i="55"/>
  <c r="Z270" i="55"/>
  <c r="Y270" i="55"/>
  <c r="X270" i="55"/>
  <c r="W270" i="55"/>
  <c r="V270" i="55"/>
  <c r="U270" i="55"/>
  <c r="T270" i="55"/>
  <c r="S270" i="55"/>
  <c r="R270" i="55"/>
  <c r="Q270" i="55"/>
  <c r="P270" i="55"/>
  <c r="O270" i="55"/>
  <c r="N270" i="55"/>
  <c r="M270" i="55"/>
  <c r="L270" i="55"/>
  <c r="K270" i="55"/>
  <c r="J270" i="55"/>
  <c r="I270" i="55"/>
  <c r="H270" i="55"/>
  <c r="G270" i="55"/>
  <c r="F270" i="55"/>
  <c r="E270" i="55"/>
  <c r="D270" i="55"/>
  <c r="C270" i="55"/>
  <c r="B270" i="55"/>
  <c r="A270" i="55"/>
  <c r="AF269" i="55"/>
  <c r="AE269" i="55"/>
  <c r="AD269" i="55"/>
  <c r="AC269" i="55"/>
  <c r="AB269" i="55"/>
  <c r="AA269" i="55"/>
  <c r="Z269" i="55"/>
  <c r="Y269" i="55"/>
  <c r="X269" i="55"/>
  <c r="W269" i="55"/>
  <c r="V269" i="55"/>
  <c r="U269" i="55"/>
  <c r="T269" i="55"/>
  <c r="S269" i="55"/>
  <c r="R269" i="55"/>
  <c r="Q269" i="55"/>
  <c r="P269" i="55"/>
  <c r="O269" i="55"/>
  <c r="N269" i="55"/>
  <c r="M269" i="55"/>
  <c r="L269" i="55"/>
  <c r="K269" i="55"/>
  <c r="J269" i="55"/>
  <c r="I269" i="55"/>
  <c r="H269" i="55"/>
  <c r="G269" i="55"/>
  <c r="F269" i="55"/>
  <c r="E269" i="55"/>
  <c r="D269" i="55"/>
  <c r="C269" i="55"/>
  <c r="B269" i="55"/>
  <c r="A269" i="55"/>
  <c r="AF268" i="55"/>
  <c r="AE268" i="55"/>
  <c r="AD268" i="55"/>
  <c r="AC268" i="55"/>
  <c r="AB268" i="55"/>
  <c r="AA268" i="55"/>
  <c r="Z268" i="55"/>
  <c r="Y268" i="55"/>
  <c r="X268" i="55"/>
  <c r="W268" i="55"/>
  <c r="V268" i="55"/>
  <c r="U268" i="55"/>
  <c r="T268" i="55"/>
  <c r="S268" i="55"/>
  <c r="R268" i="55"/>
  <c r="Q268" i="55"/>
  <c r="P268" i="55"/>
  <c r="O268" i="55"/>
  <c r="N268" i="55"/>
  <c r="M268" i="55"/>
  <c r="L268" i="55"/>
  <c r="K268" i="55"/>
  <c r="J268" i="55"/>
  <c r="I268" i="55"/>
  <c r="H268" i="55"/>
  <c r="G268" i="55"/>
  <c r="F268" i="55"/>
  <c r="E268" i="55"/>
  <c r="D268" i="55"/>
  <c r="C268" i="55"/>
  <c r="B268" i="55"/>
  <c r="A268" i="55"/>
  <c r="AE267" i="55"/>
  <c r="AD267" i="55"/>
  <c r="AC267" i="55"/>
  <c r="AB267" i="55"/>
  <c r="AA267" i="55"/>
  <c r="Z267" i="55"/>
  <c r="Y267" i="55"/>
  <c r="X267" i="55"/>
  <c r="W267" i="55"/>
  <c r="V267" i="55"/>
  <c r="U267" i="55"/>
  <c r="T267" i="55"/>
  <c r="S267" i="55"/>
  <c r="R267" i="55"/>
  <c r="Q267" i="55"/>
  <c r="P267" i="55"/>
  <c r="C267" i="55"/>
  <c r="B267" i="55"/>
  <c r="S242" i="55"/>
  <c r="AG232" i="55"/>
  <c r="AF232" i="55"/>
  <c r="AE232" i="55"/>
  <c r="AD232" i="55"/>
  <c r="AC232" i="55"/>
  <c r="AB232" i="55"/>
  <c r="AA232" i="55"/>
  <c r="Z232" i="55"/>
  <c r="Y232" i="55"/>
  <c r="X232" i="55"/>
  <c r="W232" i="55"/>
  <c r="V232" i="55"/>
  <c r="U232" i="55"/>
  <c r="T232" i="55"/>
  <c r="S232" i="55"/>
  <c r="R232" i="55"/>
  <c r="Q232" i="55"/>
  <c r="C232" i="55"/>
  <c r="D231" i="55"/>
  <c r="E231" i="55" s="1"/>
  <c r="B231" i="55"/>
  <c r="AF267" i="55" s="1"/>
  <c r="F230" i="55"/>
  <c r="G230" i="55" s="1"/>
  <c r="H230" i="55" s="1"/>
  <c r="I230" i="55" s="1"/>
  <c r="J230" i="55" s="1"/>
  <c r="K230" i="55" s="1"/>
  <c r="L230" i="55" s="1"/>
  <c r="M230" i="55" s="1"/>
  <c r="N230" i="55" s="1"/>
  <c r="O230" i="55" s="1"/>
  <c r="P230" i="55" s="1"/>
  <c r="E230" i="55"/>
  <c r="D230" i="55"/>
  <c r="B230" i="55"/>
  <c r="D229" i="55"/>
  <c r="D232" i="55" s="1"/>
  <c r="B229" i="55"/>
  <c r="E228" i="55"/>
  <c r="F228" i="55" s="1"/>
  <c r="G228" i="55" s="1"/>
  <c r="H228" i="55" s="1"/>
  <c r="D228" i="55"/>
  <c r="B228" i="55"/>
  <c r="D227" i="55"/>
  <c r="E227" i="55" s="1"/>
  <c r="F227" i="55" s="1"/>
  <c r="G227" i="55" s="1"/>
  <c r="H227" i="55" s="1"/>
  <c r="I227" i="55" s="1"/>
  <c r="J227" i="55" s="1"/>
  <c r="K227" i="55" s="1"/>
  <c r="L227" i="55" s="1"/>
  <c r="M227" i="55" s="1"/>
  <c r="N227" i="55" s="1"/>
  <c r="O227" i="55" s="1"/>
  <c r="P227" i="55" s="1"/>
  <c r="B227" i="55"/>
  <c r="F226" i="55"/>
  <c r="G226" i="55" s="1"/>
  <c r="E226" i="55"/>
  <c r="D226" i="55"/>
  <c r="B226" i="55"/>
  <c r="B232" i="55" s="1"/>
  <c r="AG224" i="55"/>
  <c r="AF224" i="55"/>
  <c r="AE224" i="55"/>
  <c r="AD224" i="55"/>
  <c r="AC224" i="55"/>
  <c r="AB224" i="55"/>
  <c r="AA224" i="55"/>
  <c r="Z224" i="55"/>
  <c r="Y224" i="55"/>
  <c r="X224" i="55"/>
  <c r="W224" i="55"/>
  <c r="V224" i="55"/>
  <c r="U224" i="55"/>
  <c r="T224" i="55"/>
  <c r="S224" i="55"/>
  <c r="R224" i="55"/>
  <c r="Q224" i="55"/>
  <c r="P224" i="55"/>
  <c r="O224" i="55"/>
  <c r="N224" i="55"/>
  <c r="M224" i="55"/>
  <c r="L224" i="55"/>
  <c r="K224" i="55"/>
  <c r="J224" i="55"/>
  <c r="I224" i="55"/>
  <c r="H224" i="55"/>
  <c r="G224" i="55"/>
  <c r="F224" i="55"/>
  <c r="E224" i="55"/>
  <c r="D224" i="55"/>
  <c r="C224" i="55"/>
  <c r="B224" i="55"/>
  <c r="AI117" i="55"/>
  <c r="AH117" i="55"/>
  <c r="AI116" i="55"/>
  <c r="AH116" i="55"/>
  <c r="AI115" i="55"/>
  <c r="AH115" i="55"/>
  <c r="AI114" i="55"/>
  <c r="AH114" i="55"/>
  <c r="AI113" i="55"/>
  <c r="AH113" i="55"/>
  <c r="AI112" i="55"/>
  <c r="AH112" i="55"/>
  <c r="AI111" i="55"/>
  <c r="AH111" i="55"/>
  <c r="AI110" i="55"/>
  <c r="AH110" i="55"/>
  <c r="AI109" i="55"/>
  <c r="AH109" i="55"/>
  <c r="AF108" i="55"/>
  <c r="AE108" i="55"/>
  <c r="AD108" i="55"/>
  <c r="AC108" i="55"/>
  <c r="AB108" i="55"/>
  <c r="AA108" i="55"/>
  <c r="Z108" i="55"/>
  <c r="Y108" i="55"/>
  <c r="X108" i="55"/>
  <c r="W108" i="55"/>
  <c r="V108" i="55"/>
  <c r="U108" i="55"/>
  <c r="T108" i="55"/>
  <c r="S108" i="55"/>
  <c r="R108" i="55"/>
  <c r="Q108" i="55"/>
  <c r="D108" i="55"/>
  <c r="C108" i="55"/>
  <c r="AI107" i="55"/>
  <c r="AH107" i="55"/>
  <c r="AI106" i="55"/>
  <c r="AH106" i="55"/>
  <c r="AI105" i="55"/>
  <c r="AH105" i="55"/>
  <c r="AI104" i="55"/>
  <c r="AH104" i="55"/>
  <c r="AI103" i="55"/>
  <c r="AH103" i="55"/>
  <c r="AI102" i="55"/>
  <c r="AH102" i="55"/>
  <c r="AI101" i="55"/>
  <c r="AH101" i="55"/>
  <c r="AI100" i="55"/>
  <c r="AH100" i="55"/>
  <c r="AI99" i="55"/>
  <c r="AH99" i="55"/>
  <c r="AI97" i="55"/>
  <c r="AH97" i="55"/>
  <c r="AI96" i="55"/>
  <c r="AH96" i="55"/>
  <c r="AI95" i="55"/>
  <c r="AH95" i="55"/>
  <c r="AI94" i="55"/>
  <c r="AH94" i="55"/>
  <c r="AI93" i="55"/>
  <c r="AH93" i="55"/>
  <c r="AI92" i="55"/>
  <c r="AH92" i="55"/>
  <c r="AI91" i="55"/>
  <c r="AH91" i="55"/>
  <c r="AI88" i="55"/>
  <c r="AH88" i="55"/>
  <c r="AI86" i="55"/>
  <c r="AH86" i="55"/>
  <c r="AG86" i="55"/>
  <c r="AI85" i="55"/>
  <c r="AH85" i="55"/>
  <c r="AI84" i="55"/>
  <c r="AH84" i="55"/>
  <c r="AI83" i="55"/>
  <c r="AH83" i="55"/>
  <c r="AN82" i="55"/>
  <c r="AG82" i="55"/>
  <c r="AF82" i="55"/>
  <c r="AF98" i="55" s="1"/>
  <c r="AE82" i="55"/>
  <c r="AE98" i="55" s="1"/>
  <c r="AD82" i="55"/>
  <c r="AD98" i="55" s="1"/>
  <c r="AC82" i="55"/>
  <c r="AC98" i="55" s="1"/>
  <c r="AB82" i="55"/>
  <c r="AB98" i="55" s="1"/>
  <c r="AA82" i="55"/>
  <c r="AA98" i="55" s="1"/>
  <c r="Z82" i="55"/>
  <c r="Z98" i="55" s="1"/>
  <c r="Y82" i="55"/>
  <c r="Y98" i="55" s="1"/>
  <c r="X82" i="55"/>
  <c r="X98" i="55" s="1"/>
  <c r="W82" i="55"/>
  <c r="W98" i="55" s="1"/>
  <c r="V82" i="55"/>
  <c r="V98" i="55" s="1"/>
  <c r="U82" i="55"/>
  <c r="T5" i="55" s="1"/>
  <c r="T82" i="55"/>
  <c r="T98" i="55" s="1"/>
  <c r="S82" i="55"/>
  <c r="S98" i="55" s="1"/>
  <c r="R82" i="55"/>
  <c r="R98" i="55" s="1"/>
  <c r="Q82" i="55"/>
  <c r="Q98" i="55" s="1"/>
  <c r="P82" i="55"/>
  <c r="P98" i="55" s="1"/>
  <c r="O82" i="55"/>
  <c r="O98" i="55" s="1"/>
  <c r="N82" i="55"/>
  <c r="N98" i="55" s="1"/>
  <c r="M82" i="55"/>
  <c r="M98" i="55" s="1"/>
  <c r="L82" i="55"/>
  <c r="L98" i="55" s="1"/>
  <c r="K82" i="55"/>
  <c r="K98" i="55" s="1"/>
  <c r="J82" i="55"/>
  <c r="J98" i="55" s="1"/>
  <c r="I82" i="55"/>
  <c r="I98" i="55" s="1"/>
  <c r="H82" i="55"/>
  <c r="H98" i="55" s="1"/>
  <c r="G82" i="55"/>
  <c r="G98" i="55" s="1"/>
  <c r="F82" i="55"/>
  <c r="F98" i="55" s="1"/>
  <c r="E82" i="55"/>
  <c r="E98" i="55" s="1"/>
  <c r="D82" i="55"/>
  <c r="D98" i="55" s="1"/>
  <c r="C82" i="55"/>
  <c r="C98" i="55" s="1"/>
  <c r="AI81" i="55"/>
  <c r="AH81" i="55"/>
  <c r="AN80" i="55"/>
  <c r="AI80" i="55"/>
  <c r="AH80" i="55"/>
  <c r="AN79" i="55"/>
  <c r="AN81" i="55" s="1"/>
  <c r="AI79" i="55"/>
  <c r="AH79" i="55"/>
  <c r="AI78" i="55"/>
  <c r="AH78" i="55"/>
  <c r="AI77" i="55"/>
  <c r="AH77" i="55"/>
  <c r="AI76" i="55"/>
  <c r="AH76" i="55"/>
  <c r="AI75" i="55"/>
  <c r="AH75" i="55"/>
  <c r="AI74" i="55"/>
  <c r="AH74" i="55"/>
  <c r="AI73" i="55"/>
  <c r="AH73" i="55"/>
  <c r="AI72" i="55"/>
  <c r="AH72" i="55"/>
  <c r="AI71" i="55"/>
  <c r="AH71" i="55"/>
  <c r="AG70" i="55"/>
  <c r="AF70" i="55"/>
  <c r="AE70" i="55"/>
  <c r="AD70" i="55"/>
  <c r="AC70" i="55"/>
  <c r="AB70" i="55"/>
  <c r="AA70" i="55"/>
  <c r="Z70" i="55"/>
  <c r="Y70" i="55"/>
  <c r="X70" i="55"/>
  <c r="W70" i="55"/>
  <c r="V70" i="55"/>
  <c r="U70" i="55"/>
  <c r="T70" i="55"/>
  <c r="S70" i="55"/>
  <c r="R70" i="55"/>
  <c r="Q70" i="55"/>
  <c r="P70" i="55"/>
  <c r="O70" i="55"/>
  <c r="N70" i="55"/>
  <c r="M70" i="55"/>
  <c r="L70" i="55"/>
  <c r="AI69" i="55"/>
  <c r="AH69" i="55"/>
  <c r="AI68" i="55"/>
  <c r="AH68" i="55"/>
  <c r="AI67" i="55"/>
  <c r="AH67" i="55"/>
  <c r="AF66" i="55"/>
  <c r="AE66" i="55"/>
  <c r="AD66" i="55"/>
  <c r="AC66" i="55"/>
  <c r="AB66" i="55"/>
  <c r="AA66" i="55"/>
  <c r="Z66" i="55"/>
  <c r="Y66" i="55"/>
  <c r="X66" i="55"/>
  <c r="W66" i="55"/>
  <c r="V66" i="55"/>
  <c r="U66" i="55"/>
  <c r="T66" i="55"/>
  <c r="S66" i="55"/>
  <c r="R66" i="55"/>
  <c r="Q66" i="55"/>
  <c r="P66" i="55"/>
  <c r="O66" i="55"/>
  <c r="N66" i="55"/>
  <c r="M66" i="55"/>
  <c r="L66" i="55"/>
  <c r="K66" i="55"/>
  <c r="J66" i="55"/>
  <c r="I66" i="55"/>
  <c r="H66" i="55"/>
  <c r="G66" i="55"/>
  <c r="F66" i="55"/>
  <c r="E66" i="55"/>
  <c r="D66" i="55"/>
  <c r="C66" i="55"/>
  <c r="AI65" i="55"/>
  <c r="AH65" i="55"/>
  <c r="AG65" i="55"/>
  <c r="AG66" i="55" s="1"/>
  <c r="AG3" i="55" s="1"/>
  <c r="AI64" i="55"/>
  <c r="AH64" i="55"/>
  <c r="AI63" i="55"/>
  <c r="AH63" i="55"/>
  <c r="AI62" i="55"/>
  <c r="AH62" i="55"/>
  <c r="AI61" i="55"/>
  <c r="AH61" i="55"/>
  <c r="AI60" i="55"/>
  <c r="AH60" i="55"/>
  <c r="AI59" i="55"/>
  <c r="AH59" i="55"/>
  <c r="AI58" i="55"/>
  <c r="AH58" i="55"/>
  <c r="AI57" i="55"/>
  <c r="AH57" i="55"/>
  <c r="AI56" i="55"/>
  <c r="AH56" i="55"/>
  <c r="AI55" i="55"/>
  <c r="AH55" i="55"/>
  <c r="AI54" i="55"/>
  <c r="AH54" i="55"/>
  <c r="AI53" i="55"/>
  <c r="AH53" i="55"/>
  <c r="AG52" i="55"/>
  <c r="AF52" i="55"/>
  <c r="AE52" i="55"/>
  <c r="AD52" i="55"/>
  <c r="AC52" i="55"/>
  <c r="AB52" i="55"/>
  <c r="AA52" i="55"/>
  <c r="Z52" i="55"/>
  <c r="Y52" i="55"/>
  <c r="X52" i="55"/>
  <c r="W52" i="55"/>
  <c r="V52" i="55"/>
  <c r="U52" i="55"/>
  <c r="T52" i="55"/>
  <c r="S52" i="55"/>
  <c r="R52" i="55"/>
  <c r="Q52" i="55"/>
  <c r="P52" i="55"/>
  <c r="O52" i="55"/>
  <c r="N52" i="55"/>
  <c r="M52" i="55"/>
  <c r="L52" i="55"/>
  <c r="K52" i="55"/>
  <c r="J52" i="55"/>
  <c r="I52" i="55"/>
  <c r="H52" i="55"/>
  <c r="G52" i="55"/>
  <c r="F52" i="55"/>
  <c r="E52" i="55"/>
  <c r="D52" i="55"/>
  <c r="C52" i="55"/>
  <c r="AI51" i="55"/>
  <c r="AH51" i="55"/>
  <c r="AI50" i="55"/>
  <c r="AH50" i="55"/>
  <c r="AI49" i="55"/>
  <c r="AH49" i="55"/>
  <c r="AG48" i="55"/>
  <c r="AF48" i="55"/>
  <c r="AE48" i="55"/>
  <c r="AD48" i="55"/>
  <c r="AC48" i="55"/>
  <c r="AB48" i="55"/>
  <c r="AA48" i="55"/>
  <c r="Z48" i="55"/>
  <c r="Y48" i="55"/>
  <c r="X48" i="55"/>
  <c r="W48" i="55"/>
  <c r="V48" i="55"/>
  <c r="U48" i="55"/>
  <c r="T48" i="55"/>
  <c r="S48" i="55"/>
  <c r="R48" i="55"/>
  <c r="Q48" i="55"/>
  <c r="P48" i="55"/>
  <c r="O48" i="55"/>
  <c r="N48" i="55"/>
  <c r="N87" i="55" s="1"/>
  <c r="N89" i="55" s="1"/>
  <c r="M48" i="55"/>
  <c r="L48" i="55"/>
  <c r="K48" i="55"/>
  <c r="J48" i="55"/>
  <c r="I48" i="55"/>
  <c r="H48" i="55"/>
  <c r="G48" i="55"/>
  <c r="F48" i="55"/>
  <c r="E48" i="55"/>
  <c r="D48" i="55"/>
  <c r="C48" i="55"/>
  <c r="C87" i="55" s="1"/>
  <c r="C89" i="55" s="1"/>
  <c r="AI47" i="55"/>
  <c r="AH47" i="55"/>
  <c r="AI46" i="55"/>
  <c r="AH46" i="55"/>
  <c r="AI45" i="55"/>
  <c r="AH45" i="55"/>
  <c r="AI44" i="55"/>
  <c r="AH44" i="55"/>
  <c r="AI43" i="55"/>
  <c r="AH43" i="55"/>
  <c r="AI42" i="55"/>
  <c r="AH42" i="55"/>
  <c r="AI41" i="55"/>
  <c r="AH41" i="55"/>
  <c r="AI40" i="55"/>
  <c r="AH40" i="55"/>
  <c r="AI39" i="55"/>
  <c r="AH39" i="55"/>
  <c r="AI38" i="55"/>
  <c r="AH38" i="55"/>
  <c r="AI37" i="55"/>
  <c r="AH37" i="55"/>
  <c r="AI36" i="55"/>
  <c r="AH36" i="55"/>
  <c r="AI35" i="55"/>
  <c r="AH35" i="55"/>
  <c r="AI34" i="55"/>
  <c r="AH34" i="55"/>
  <c r="AI33" i="55"/>
  <c r="AH33" i="55"/>
  <c r="AI32" i="55"/>
  <c r="AH32" i="55"/>
  <c r="AI31" i="55"/>
  <c r="AH31" i="55"/>
  <c r="AI30" i="55"/>
  <c r="AH30" i="55"/>
  <c r="AI29" i="55"/>
  <c r="AH29" i="55"/>
  <c r="AI28" i="55"/>
  <c r="AH28" i="55"/>
  <c r="AI27" i="55"/>
  <c r="AH27" i="55"/>
  <c r="AI26" i="55"/>
  <c r="AH26" i="55"/>
  <c r="AI25" i="55"/>
  <c r="AH25" i="55"/>
  <c r="AI24" i="55"/>
  <c r="AH24" i="55"/>
  <c r="AI23" i="55"/>
  <c r="AH23" i="55"/>
  <c r="AI22" i="55"/>
  <c r="AH22" i="55"/>
  <c r="AI21" i="55"/>
  <c r="AH21" i="55"/>
  <c r="AI20" i="55"/>
  <c r="AH20" i="55"/>
  <c r="AI19" i="55"/>
  <c r="AH19" i="55"/>
  <c r="AI18" i="55"/>
  <c r="AH18" i="55"/>
  <c r="AI17" i="55"/>
  <c r="AH17" i="55"/>
  <c r="AI16" i="55"/>
  <c r="AH16" i="55"/>
  <c r="AI15" i="55"/>
  <c r="AH15" i="55"/>
  <c r="AI14" i="55"/>
  <c r="AH14" i="55"/>
  <c r="AI13" i="55"/>
  <c r="AH13" i="55"/>
  <c r="AI12" i="55"/>
  <c r="AH12" i="55"/>
  <c r="AI11" i="55"/>
  <c r="AH11" i="55"/>
  <c r="AC5" i="55"/>
  <c r="Z5" i="55"/>
  <c r="M5" i="55"/>
  <c r="K5" i="55"/>
  <c r="B5" i="55"/>
  <c r="AG4" i="55"/>
  <c r="K4" i="55"/>
  <c r="E4" i="55"/>
  <c r="H4" i="55" s="1"/>
  <c r="B4" i="55"/>
  <c r="S243" i="55" s="1"/>
  <c r="AG2" i="55"/>
  <c r="AG6" i="55" s="1"/>
  <c r="AF111" i="54"/>
  <c r="AE111" i="54"/>
  <c r="AD111" i="54"/>
  <c r="AA111" i="54"/>
  <c r="Z111" i="54"/>
  <c r="Y111" i="54"/>
  <c r="AE5" i="55" l="1"/>
  <c r="AF87" i="55"/>
  <c r="AF89" i="55" s="1"/>
  <c r="AF7" i="55" s="1"/>
  <c r="AD5" i="55"/>
  <c r="AE87" i="55"/>
  <c r="AE89" i="55" s="1"/>
  <c r="AW246" i="55" s="1"/>
  <c r="AD87" i="55"/>
  <c r="AD89" i="55" s="1"/>
  <c r="AB5" i="55"/>
  <c r="AC87" i="55"/>
  <c r="AC89" i="55" s="1"/>
  <c r="AC90" i="55" s="1"/>
  <c r="AA5" i="55"/>
  <c r="AB87" i="55"/>
  <c r="AB89" i="55" s="1"/>
  <c r="AB90" i="55" s="1"/>
  <c r="AA87" i="55"/>
  <c r="AA89" i="55" s="1"/>
  <c r="Y5" i="55"/>
  <c r="Z87" i="55"/>
  <c r="Z89" i="55" s="1"/>
  <c r="X5" i="55"/>
  <c r="W5" i="55"/>
  <c r="V5" i="55"/>
  <c r="W87" i="55"/>
  <c r="W89" i="55" s="1"/>
  <c r="W7" i="55" s="1"/>
  <c r="U5" i="55"/>
  <c r="X87" i="55"/>
  <c r="X89" i="55" s="1"/>
  <c r="X90" i="55" s="1"/>
  <c r="U98" i="55"/>
  <c r="V87" i="55"/>
  <c r="V89" i="55" s="1"/>
  <c r="V90" i="55" s="1"/>
  <c r="Y87" i="55"/>
  <c r="Y89" i="55" s="1"/>
  <c r="Y90" i="55" s="1"/>
  <c r="U87" i="55"/>
  <c r="U89" i="55" s="1"/>
  <c r="AM246" i="55" s="1"/>
  <c r="S5" i="55"/>
  <c r="T87" i="55"/>
  <c r="T89" i="55" s="1"/>
  <c r="T7" i="55" s="1"/>
  <c r="Q5" i="55"/>
  <c r="R5" i="55"/>
  <c r="S87" i="55"/>
  <c r="S89" i="55" s="1"/>
  <c r="S90" i="55" s="1"/>
  <c r="R87" i="55"/>
  <c r="R89" i="55" s="1"/>
  <c r="AJ246" i="55" s="1"/>
  <c r="P5" i="55"/>
  <c r="Q87" i="55"/>
  <c r="Q89" i="55" s="1"/>
  <c r="O5" i="55"/>
  <c r="P87" i="55"/>
  <c r="P89" i="55" s="1"/>
  <c r="N5" i="55"/>
  <c r="O87" i="55"/>
  <c r="O89" i="55" s="1"/>
  <c r="L5" i="55"/>
  <c r="AI70" i="55"/>
  <c r="M87" i="55"/>
  <c r="M89" i="55" s="1"/>
  <c r="L87" i="55"/>
  <c r="L89" i="55" s="1"/>
  <c r="J5" i="55"/>
  <c r="K87" i="55"/>
  <c r="K89" i="55" s="1"/>
  <c r="I5" i="55"/>
  <c r="J87" i="55"/>
  <c r="J89" i="55" s="1"/>
  <c r="J7" i="55" s="1"/>
  <c r="H5" i="55"/>
  <c r="I87" i="55"/>
  <c r="I89" i="55" s="1"/>
  <c r="I90" i="55" s="1"/>
  <c r="G5" i="55"/>
  <c r="H87" i="55"/>
  <c r="H89" i="55" s="1"/>
  <c r="H7" i="55" s="1"/>
  <c r="F5" i="55"/>
  <c r="G87" i="55"/>
  <c r="G89" i="55" s="1"/>
  <c r="E5" i="55"/>
  <c r="F87" i="55"/>
  <c r="F89" i="55" s="1"/>
  <c r="F7" i="55" s="1"/>
  <c r="D5" i="55"/>
  <c r="E87" i="55"/>
  <c r="E89" i="55" s="1"/>
  <c r="E90" i="55" s="1"/>
  <c r="C5" i="55"/>
  <c r="AI52" i="55"/>
  <c r="D87" i="55"/>
  <c r="D89" i="55" s="1"/>
  <c r="D7" i="55" s="1"/>
  <c r="AI66" i="55"/>
  <c r="B87" i="55"/>
  <c r="B89" i="55" s="1"/>
  <c r="B90" i="55" s="1"/>
  <c r="AF5" i="55"/>
  <c r="C90" i="55"/>
  <c r="C7" i="55"/>
  <c r="U246" i="55"/>
  <c r="K90" i="55"/>
  <c r="K7" i="55"/>
  <c r="AC246" i="55"/>
  <c r="AA90" i="55"/>
  <c r="AA7" i="55"/>
  <c r="AS246" i="55"/>
  <c r="D90" i="55"/>
  <c r="L90" i="55"/>
  <c r="L7" i="55"/>
  <c r="AD246" i="55"/>
  <c r="AD7" i="55"/>
  <c r="AV246" i="55"/>
  <c r="AD90" i="55"/>
  <c r="AG89" i="55"/>
  <c r="E7" i="55"/>
  <c r="W246" i="55"/>
  <c r="D267" i="55"/>
  <c r="F231" i="55"/>
  <c r="E108" i="55"/>
  <c r="AG246" i="55"/>
  <c r="O90" i="55"/>
  <c r="O7" i="55"/>
  <c r="AI98" i="55"/>
  <c r="AH98" i="55"/>
  <c r="V7" i="55"/>
  <c r="AN246" i="55"/>
  <c r="H226" i="55"/>
  <c r="AC7" i="55"/>
  <c r="AU246" i="55"/>
  <c r="X246" i="55"/>
  <c r="F90" i="55"/>
  <c r="H90" i="55"/>
  <c r="AG87" i="55"/>
  <c r="M7" i="55"/>
  <c r="AE246" i="55"/>
  <c r="M90" i="55"/>
  <c r="N7" i="55"/>
  <c r="AF246" i="55"/>
  <c r="N90" i="55"/>
  <c r="P90" i="55"/>
  <c r="P7" i="55"/>
  <c r="AH246" i="55"/>
  <c r="AF90" i="55"/>
  <c r="Q90" i="55"/>
  <c r="Q7" i="55"/>
  <c r="AI246" i="55"/>
  <c r="J90" i="55"/>
  <c r="R7" i="55"/>
  <c r="Z90" i="55"/>
  <c r="Z7" i="55"/>
  <c r="AR246" i="55"/>
  <c r="AH70" i="55"/>
  <c r="D243" i="55"/>
  <c r="AH66" i="55"/>
  <c r="AH82" i="55"/>
  <c r="AH48" i="55"/>
  <c r="AH52" i="55"/>
  <c r="AI82" i="55"/>
  <c r="AI48" i="55"/>
  <c r="E229" i="55"/>
  <c r="F229" i="55" s="1"/>
  <c r="G229" i="55" s="1"/>
  <c r="H229" i="55" s="1"/>
  <c r="I229" i="55" s="1"/>
  <c r="AX246" i="55" l="1"/>
  <c r="AE90" i="55"/>
  <c r="AE7" i="55"/>
  <c r="AT246" i="55"/>
  <c r="AB7" i="55"/>
  <c r="W90" i="55"/>
  <c r="AO246" i="55"/>
  <c r="AQ246" i="55"/>
  <c r="AP246" i="55"/>
  <c r="X7" i="55"/>
  <c r="Y7" i="55"/>
  <c r="U7" i="55"/>
  <c r="U90" i="55"/>
  <c r="T90" i="55"/>
  <c r="AL246" i="55"/>
  <c r="AK246" i="55"/>
  <c r="S7" i="55"/>
  <c r="R90" i="55"/>
  <c r="AB246" i="55"/>
  <c r="AA246" i="55"/>
  <c r="I7" i="55"/>
  <c r="AH87" i="55"/>
  <c r="Z246" i="55"/>
  <c r="B241" i="55"/>
  <c r="C241" i="55"/>
  <c r="Y246" i="55"/>
  <c r="G90" i="55"/>
  <c r="G7" i="55"/>
  <c r="V246" i="55"/>
  <c r="AI87" i="55"/>
  <c r="F232" i="55"/>
  <c r="J229" i="55"/>
  <c r="K229" i="55" s="1"/>
  <c r="L229" i="55" s="1"/>
  <c r="M229" i="55" s="1"/>
  <c r="N229" i="55" s="1"/>
  <c r="O229" i="55" s="1"/>
  <c r="P229" i="55" s="1"/>
  <c r="E232" i="55"/>
  <c r="I226" i="55"/>
  <c r="E267" i="55"/>
  <c r="G231" i="55"/>
  <c r="F108" i="55"/>
  <c r="AI89" i="55"/>
  <c r="AH89" i="55"/>
  <c r="B7" i="55"/>
  <c r="T246" i="55"/>
  <c r="K6" i="55" l="1"/>
  <c r="A7" i="55"/>
  <c r="J226" i="55"/>
  <c r="AI90" i="55"/>
  <c r="AH90" i="55"/>
  <c r="F267" i="55"/>
  <c r="H231" i="55"/>
  <c r="G108" i="55"/>
  <c r="G232" i="55"/>
  <c r="K226" i="55" l="1"/>
  <c r="G267" i="55"/>
  <c r="I231" i="55"/>
  <c r="H232" i="55"/>
  <c r="H108" i="55"/>
  <c r="L226" i="55" l="1"/>
  <c r="H267" i="55"/>
  <c r="J231" i="55"/>
  <c r="I108" i="55"/>
  <c r="K231" i="55" l="1"/>
  <c r="I267" i="55"/>
  <c r="J108" i="55"/>
  <c r="M226" i="55"/>
  <c r="N226" i="55" l="1"/>
  <c r="J267" i="55"/>
  <c r="L231" i="55"/>
  <c r="K108" i="55"/>
  <c r="K267" i="55" l="1"/>
  <c r="M231" i="55"/>
  <c r="L108" i="55"/>
  <c r="O226" i="55"/>
  <c r="P226" i="55" l="1"/>
  <c r="L267" i="55"/>
  <c r="N231" i="55"/>
  <c r="M108" i="55"/>
  <c r="M267" i="55" l="1"/>
  <c r="O231" i="55"/>
  <c r="N108" i="55"/>
  <c r="N267" i="55" l="1"/>
  <c r="P231" i="55"/>
  <c r="O267" i="55" s="1"/>
  <c r="O108" i="55"/>
  <c r="AI108" i="55" l="1"/>
  <c r="AH108" i="55"/>
  <c r="N48" i="54" l="1"/>
  <c r="N52" i="54"/>
  <c r="L111" i="54" l="1"/>
  <c r="K111" i="54"/>
  <c r="K48" i="54"/>
  <c r="K52" i="54"/>
  <c r="I48" i="54"/>
  <c r="J48" i="54"/>
  <c r="I52" i="54"/>
  <c r="J52" i="54"/>
  <c r="I66" i="54"/>
  <c r="I87" i="54" s="1"/>
  <c r="I89" i="54" s="1"/>
  <c r="I90" i="54" s="1"/>
  <c r="J66" i="54"/>
  <c r="I82" i="54"/>
  <c r="J82" i="54"/>
  <c r="J98" i="54" s="1"/>
  <c r="I98" i="54"/>
  <c r="I108" i="54"/>
  <c r="J111" i="54"/>
  <c r="J108" i="54" s="1"/>
  <c r="H111" i="54"/>
  <c r="E48" i="54"/>
  <c r="F48" i="54"/>
  <c r="G48" i="54"/>
  <c r="H48" i="54"/>
  <c r="E52" i="54"/>
  <c r="E87" i="54" s="1"/>
  <c r="E89" i="54" s="1"/>
  <c r="E90" i="54" s="1"/>
  <c r="F52" i="54"/>
  <c r="G52" i="54"/>
  <c r="H52" i="54"/>
  <c r="E66" i="54"/>
  <c r="F66" i="54"/>
  <c r="G66" i="54"/>
  <c r="H66" i="54"/>
  <c r="E82" i="54"/>
  <c r="F82" i="54"/>
  <c r="F98" i="54" s="1"/>
  <c r="G82" i="54"/>
  <c r="G98" i="54" s="1"/>
  <c r="H82" i="54"/>
  <c r="H98" i="54" s="1"/>
  <c r="E98" i="54"/>
  <c r="E108" i="54"/>
  <c r="F108" i="54"/>
  <c r="G108" i="54"/>
  <c r="H108" i="54"/>
  <c r="AF271" i="54"/>
  <c r="AE271" i="54"/>
  <c r="AD271" i="54"/>
  <c r="AC271" i="54"/>
  <c r="AB271" i="54"/>
  <c r="AA271" i="54"/>
  <c r="Z271" i="54"/>
  <c r="Y271" i="54"/>
  <c r="X271" i="54"/>
  <c r="W271" i="54"/>
  <c r="V271" i="54"/>
  <c r="U271" i="54"/>
  <c r="T271" i="54"/>
  <c r="S271" i="54"/>
  <c r="R271" i="54"/>
  <c r="Q271" i="54"/>
  <c r="P271" i="54"/>
  <c r="O271" i="54"/>
  <c r="N271" i="54"/>
  <c r="M271" i="54"/>
  <c r="L271" i="54"/>
  <c r="K271" i="54"/>
  <c r="J271" i="54"/>
  <c r="I271" i="54"/>
  <c r="H271" i="54"/>
  <c r="G271" i="54"/>
  <c r="F271" i="54"/>
  <c r="E271" i="54"/>
  <c r="D271" i="54"/>
  <c r="C271" i="54"/>
  <c r="B271" i="54"/>
  <c r="A271" i="54"/>
  <c r="AF270" i="54"/>
  <c r="AE270" i="54"/>
  <c r="AD270" i="54"/>
  <c r="AC270" i="54"/>
  <c r="AB270" i="54"/>
  <c r="AA270" i="54"/>
  <c r="Z270" i="54"/>
  <c r="Y270" i="54"/>
  <c r="X270" i="54"/>
  <c r="W270" i="54"/>
  <c r="V270" i="54"/>
  <c r="U270" i="54"/>
  <c r="T270" i="54"/>
  <c r="S270" i="54"/>
  <c r="R270" i="54"/>
  <c r="Q270" i="54"/>
  <c r="P270" i="54"/>
  <c r="O270" i="54"/>
  <c r="N270" i="54"/>
  <c r="M270" i="54"/>
  <c r="L270" i="54"/>
  <c r="K270" i="54"/>
  <c r="J270" i="54"/>
  <c r="I270" i="54"/>
  <c r="H270" i="54"/>
  <c r="G270" i="54"/>
  <c r="F270" i="54"/>
  <c r="E270" i="54"/>
  <c r="D270" i="54"/>
  <c r="C270" i="54"/>
  <c r="B270" i="54"/>
  <c r="A270" i="54"/>
  <c r="AF269" i="54"/>
  <c r="AE269" i="54"/>
  <c r="AD269" i="54"/>
  <c r="AC269" i="54"/>
  <c r="AB269" i="54"/>
  <c r="AA269" i="54"/>
  <c r="Z269" i="54"/>
  <c r="Y269" i="54"/>
  <c r="X269" i="54"/>
  <c r="W269" i="54"/>
  <c r="V269" i="54"/>
  <c r="U269" i="54"/>
  <c r="T269" i="54"/>
  <c r="S269" i="54"/>
  <c r="R269" i="54"/>
  <c r="Q269" i="54"/>
  <c r="P269" i="54"/>
  <c r="O269" i="54"/>
  <c r="N269" i="54"/>
  <c r="M269" i="54"/>
  <c r="L269" i="54"/>
  <c r="K269" i="54"/>
  <c r="J269" i="54"/>
  <c r="I269" i="54"/>
  <c r="H269" i="54"/>
  <c r="G269" i="54"/>
  <c r="F269" i="54"/>
  <c r="E269" i="54"/>
  <c r="D269" i="54"/>
  <c r="C269" i="54"/>
  <c r="B269" i="54"/>
  <c r="A269" i="54"/>
  <c r="AF268" i="54"/>
  <c r="AE268" i="54"/>
  <c r="AD268" i="54"/>
  <c r="AC268" i="54"/>
  <c r="AB268" i="54"/>
  <c r="AA268" i="54"/>
  <c r="Z268" i="54"/>
  <c r="Y268" i="54"/>
  <c r="X268" i="54"/>
  <c r="W268" i="54"/>
  <c r="V268" i="54"/>
  <c r="U268" i="54"/>
  <c r="T268" i="54"/>
  <c r="S268" i="54"/>
  <c r="R268" i="54"/>
  <c r="Q268" i="54"/>
  <c r="P268" i="54"/>
  <c r="O268" i="54"/>
  <c r="N268" i="54"/>
  <c r="M268" i="54"/>
  <c r="L268" i="54"/>
  <c r="K268" i="54"/>
  <c r="J268" i="54"/>
  <c r="I268" i="54"/>
  <c r="H268" i="54"/>
  <c r="G268" i="54"/>
  <c r="F268" i="54"/>
  <c r="E268" i="54"/>
  <c r="D268" i="54"/>
  <c r="C268" i="54"/>
  <c r="B268" i="54"/>
  <c r="A268" i="54"/>
  <c r="AE267" i="54"/>
  <c r="AD267" i="54"/>
  <c r="AC267" i="54"/>
  <c r="AB267" i="54"/>
  <c r="AA267" i="54"/>
  <c r="Z267" i="54"/>
  <c r="Y267" i="54"/>
  <c r="X267" i="54"/>
  <c r="W267" i="54"/>
  <c r="V267" i="54"/>
  <c r="U267" i="54"/>
  <c r="T267" i="54"/>
  <c r="S267" i="54"/>
  <c r="R267" i="54"/>
  <c r="Q267" i="54"/>
  <c r="P267" i="54"/>
  <c r="D267" i="54"/>
  <c r="C267" i="54"/>
  <c r="B267" i="54"/>
  <c r="S242" i="54"/>
  <c r="AG232" i="54"/>
  <c r="AG65" i="54" s="1"/>
  <c r="AG66" i="54" s="1"/>
  <c r="AF232" i="54"/>
  <c r="AE232" i="54"/>
  <c r="AD232" i="54"/>
  <c r="AC232" i="54"/>
  <c r="AB232" i="54"/>
  <c r="AA232" i="54"/>
  <c r="Z232" i="54"/>
  <c r="Y232" i="54"/>
  <c r="X232" i="54"/>
  <c r="W232" i="54"/>
  <c r="V232" i="54"/>
  <c r="U232" i="54"/>
  <c r="T232" i="54"/>
  <c r="S232" i="54"/>
  <c r="R232" i="54"/>
  <c r="Q232" i="54"/>
  <c r="D232" i="54"/>
  <c r="C232" i="54"/>
  <c r="G231" i="54"/>
  <c r="F231" i="54"/>
  <c r="E267" i="54" s="1"/>
  <c r="E231" i="54"/>
  <c r="D231" i="54"/>
  <c r="B231" i="54"/>
  <c r="AF267" i="54" s="1"/>
  <c r="M230" i="54"/>
  <c r="N230" i="54" s="1"/>
  <c r="O230" i="54" s="1"/>
  <c r="P230" i="54" s="1"/>
  <c r="E230" i="54"/>
  <c r="F230" i="54" s="1"/>
  <c r="G230" i="54" s="1"/>
  <c r="H230" i="54" s="1"/>
  <c r="I230" i="54" s="1"/>
  <c r="J230" i="54" s="1"/>
  <c r="K230" i="54" s="1"/>
  <c r="L230" i="54" s="1"/>
  <c r="D230" i="54"/>
  <c r="B230" i="54"/>
  <c r="D229" i="54"/>
  <c r="E229" i="54" s="1"/>
  <c r="F229" i="54" s="1"/>
  <c r="G229" i="54" s="1"/>
  <c r="H229" i="54" s="1"/>
  <c r="I229" i="54" s="1"/>
  <c r="J229" i="54" s="1"/>
  <c r="K229" i="54" s="1"/>
  <c r="L229" i="54" s="1"/>
  <c r="M229" i="54" s="1"/>
  <c r="N229" i="54" s="1"/>
  <c r="O229" i="54" s="1"/>
  <c r="P229" i="54" s="1"/>
  <c r="B229" i="54"/>
  <c r="E228" i="54"/>
  <c r="F228" i="54" s="1"/>
  <c r="G228" i="54" s="1"/>
  <c r="H228" i="54" s="1"/>
  <c r="D228" i="54"/>
  <c r="B228" i="54"/>
  <c r="O227" i="54"/>
  <c r="P227" i="54" s="1"/>
  <c r="G227" i="54"/>
  <c r="H227" i="54" s="1"/>
  <c r="I227" i="54" s="1"/>
  <c r="J227" i="54" s="1"/>
  <c r="K227" i="54" s="1"/>
  <c r="L227" i="54" s="1"/>
  <c r="M227" i="54" s="1"/>
  <c r="N227" i="54" s="1"/>
  <c r="F227" i="54"/>
  <c r="E227" i="54"/>
  <c r="D227" i="54"/>
  <c r="B227" i="54"/>
  <c r="E226" i="54"/>
  <c r="D226" i="54"/>
  <c r="D108" i="54" s="1"/>
  <c r="B226" i="54"/>
  <c r="AG224" i="54"/>
  <c r="AF224" i="54"/>
  <c r="AE224" i="54"/>
  <c r="AD224" i="54"/>
  <c r="AC224" i="54"/>
  <c r="AB224" i="54"/>
  <c r="AA224" i="54"/>
  <c r="Z224" i="54"/>
  <c r="Y224" i="54"/>
  <c r="X224" i="54"/>
  <c r="W224" i="54"/>
  <c r="V224" i="54"/>
  <c r="U224" i="54"/>
  <c r="T224" i="54"/>
  <c r="S224" i="54"/>
  <c r="R224" i="54"/>
  <c r="Q224" i="54"/>
  <c r="P224" i="54"/>
  <c r="O224" i="54"/>
  <c r="N224" i="54"/>
  <c r="M224" i="54"/>
  <c r="L224" i="54"/>
  <c r="K224" i="54"/>
  <c r="J224" i="54"/>
  <c r="I224" i="54"/>
  <c r="H224" i="54"/>
  <c r="G224" i="54"/>
  <c r="F224" i="54"/>
  <c r="E224" i="54"/>
  <c r="D224" i="54"/>
  <c r="C224" i="54"/>
  <c r="B224" i="54"/>
  <c r="AI117" i="54"/>
  <c r="AH117" i="54"/>
  <c r="AI116" i="54"/>
  <c r="AH116" i="54"/>
  <c r="AI115" i="54"/>
  <c r="AH115" i="54"/>
  <c r="AI114" i="54"/>
  <c r="AH114" i="54"/>
  <c r="AI113" i="54"/>
  <c r="AH113" i="54"/>
  <c r="AI112" i="54"/>
  <c r="AH112" i="54"/>
  <c r="AH111" i="54"/>
  <c r="AI110" i="54"/>
  <c r="AH110" i="54"/>
  <c r="AI109" i="54"/>
  <c r="AH109" i="54"/>
  <c r="AF108" i="54"/>
  <c r="AE108" i="54"/>
  <c r="AD108" i="54"/>
  <c r="AC108" i="54"/>
  <c r="AB108" i="54"/>
  <c r="AA108" i="54"/>
  <c r="Z108" i="54"/>
  <c r="Y108" i="54"/>
  <c r="X108" i="54"/>
  <c r="W108" i="54"/>
  <c r="V108" i="54"/>
  <c r="U108" i="54"/>
  <c r="T108" i="54"/>
  <c r="S108" i="54"/>
  <c r="R108" i="54"/>
  <c r="Q108" i="54"/>
  <c r="C108" i="54"/>
  <c r="B108" i="54"/>
  <c r="AI107" i="54"/>
  <c r="AH107" i="54"/>
  <c r="AI106" i="54"/>
  <c r="AH106" i="54"/>
  <c r="AI105" i="54"/>
  <c r="AH105" i="54"/>
  <c r="AI104" i="54"/>
  <c r="AH104" i="54"/>
  <c r="AI103" i="54"/>
  <c r="AH103" i="54"/>
  <c r="AI102" i="54"/>
  <c r="AH102" i="54"/>
  <c r="AI101" i="54"/>
  <c r="AH101" i="54"/>
  <c r="AI100" i="54"/>
  <c r="AH100" i="54"/>
  <c r="AI99" i="54"/>
  <c r="AH99" i="54"/>
  <c r="P98" i="54"/>
  <c r="AI97" i="54"/>
  <c r="AH97" i="54"/>
  <c r="AI96" i="54"/>
  <c r="AH96" i="54"/>
  <c r="AI95" i="54"/>
  <c r="AH95" i="54"/>
  <c r="AI94" i="54"/>
  <c r="AH94" i="54"/>
  <c r="AI93" i="54"/>
  <c r="AH93" i="54"/>
  <c r="AI92" i="54"/>
  <c r="AH92" i="54"/>
  <c r="AI91" i="54"/>
  <c r="AH91" i="54"/>
  <c r="AI88" i="54"/>
  <c r="AH88" i="54"/>
  <c r="AI86" i="54"/>
  <c r="AH86" i="54"/>
  <c r="AG86" i="54"/>
  <c r="AI85" i="54"/>
  <c r="AH85" i="54"/>
  <c r="AI84" i="54"/>
  <c r="AH84" i="54"/>
  <c r="AI83" i="54"/>
  <c r="AH83" i="54"/>
  <c r="AN82" i="54"/>
  <c r="AG82" i="54"/>
  <c r="AG89" i="54" s="1"/>
  <c r="AF82" i="54"/>
  <c r="AE5" i="54" s="1"/>
  <c r="AE82" i="54"/>
  <c r="AD5" i="54" s="1"/>
  <c r="AD82" i="54"/>
  <c r="AD98" i="54" s="1"/>
  <c r="AC82" i="54"/>
  <c r="AB5" i="54" s="1"/>
  <c r="AB82" i="54"/>
  <c r="AB98" i="54" s="1"/>
  <c r="AA82" i="54"/>
  <c r="AA98" i="54" s="1"/>
  <c r="Z82" i="54"/>
  <c r="Y82" i="54"/>
  <c r="X5" i="54" s="1"/>
  <c r="X82" i="54"/>
  <c r="W5" i="54" s="1"/>
  <c r="W82" i="54"/>
  <c r="V5" i="54" s="1"/>
  <c r="V82" i="54"/>
  <c r="V98" i="54" s="1"/>
  <c r="U82" i="54"/>
  <c r="T5" i="54" s="1"/>
  <c r="T82" i="54"/>
  <c r="T98" i="54" s="1"/>
  <c r="S82" i="54"/>
  <c r="S98" i="54" s="1"/>
  <c r="R82" i="54"/>
  <c r="Q82" i="54"/>
  <c r="Q98" i="54" s="1"/>
  <c r="P82" i="54"/>
  <c r="O5" i="54" s="1"/>
  <c r="O82" i="54"/>
  <c r="N5" i="54" s="1"/>
  <c r="N82" i="54"/>
  <c r="N98" i="54" s="1"/>
  <c r="M82" i="54"/>
  <c r="M98" i="54" s="1"/>
  <c r="L82" i="54"/>
  <c r="L98" i="54" s="1"/>
  <c r="K82" i="54"/>
  <c r="K98" i="54" s="1"/>
  <c r="H5" i="54"/>
  <c r="D82" i="54"/>
  <c r="D98" i="54" s="1"/>
  <c r="C82" i="54"/>
  <c r="C98" i="54" s="1"/>
  <c r="B82" i="54"/>
  <c r="AF5" i="54" s="1"/>
  <c r="AI81" i="54"/>
  <c r="AH81" i="54"/>
  <c r="AN80" i="54"/>
  <c r="AN81" i="54" s="1"/>
  <c r="AI80" i="54"/>
  <c r="AH80" i="54"/>
  <c r="AN79" i="54"/>
  <c r="AI79" i="54"/>
  <c r="AH79" i="54"/>
  <c r="AI78" i="54"/>
  <c r="AH78" i="54"/>
  <c r="AI77" i="54"/>
  <c r="AH77" i="54"/>
  <c r="AI76" i="54"/>
  <c r="AH76" i="54"/>
  <c r="AI75" i="54"/>
  <c r="AH75" i="54"/>
  <c r="AI74" i="54"/>
  <c r="AH74" i="54"/>
  <c r="AI73" i="54"/>
  <c r="AH73" i="54"/>
  <c r="AI72" i="54"/>
  <c r="AH72" i="54"/>
  <c r="AI71" i="54"/>
  <c r="AH71" i="54"/>
  <c r="AG70" i="54"/>
  <c r="AG4" i="54" s="1"/>
  <c r="AF70" i="54"/>
  <c r="AE70" i="54"/>
  <c r="AD70" i="54"/>
  <c r="AC70" i="54"/>
  <c r="AB70" i="54"/>
  <c r="AA70" i="54"/>
  <c r="Z70" i="54"/>
  <c r="Y70" i="54"/>
  <c r="X70" i="54"/>
  <c r="W70" i="54"/>
  <c r="V70" i="54"/>
  <c r="U70" i="54"/>
  <c r="T70" i="54"/>
  <c r="S70" i="54"/>
  <c r="R70" i="54"/>
  <c r="Q70" i="54"/>
  <c r="P70" i="54"/>
  <c r="O70" i="54"/>
  <c r="N70" i="54"/>
  <c r="M70" i="54"/>
  <c r="L70" i="54"/>
  <c r="B70" i="54"/>
  <c r="AI69" i="54"/>
  <c r="AH69" i="54"/>
  <c r="AI68" i="54"/>
  <c r="AH68" i="54"/>
  <c r="AI67" i="54"/>
  <c r="AH67" i="54"/>
  <c r="AF66" i="54"/>
  <c r="AE66" i="54"/>
  <c r="AD66" i="54"/>
  <c r="AC66" i="54"/>
  <c r="AB66" i="54"/>
  <c r="AA66" i="54"/>
  <c r="Z66" i="54"/>
  <c r="Y66" i="54"/>
  <c r="X66" i="54"/>
  <c r="W66" i="54"/>
  <c r="V66" i="54"/>
  <c r="U66" i="54"/>
  <c r="T66" i="54"/>
  <c r="S66" i="54"/>
  <c r="R66" i="54"/>
  <c r="Q66" i="54"/>
  <c r="P66" i="54"/>
  <c r="O66" i="54"/>
  <c r="N66" i="54"/>
  <c r="M66" i="54"/>
  <c r="L66" i="54"/>
  <c r="K66" i="54"/>
  <c r="D66" i="54"/>
  <c r="C66" i="54"/>
  <c r="B66" i="54"/>
  <c r="AI65" i="54"/>
  <c r="AH65" i="54"/>
  <c r="AI64" i="54"/>
  <c r="AH64" i="54"/>
  <c r="AI63" i="54"/>
  <c r="AH63" i="54"/>
  <c r="AI62" i="54"/>
  <c r="AH62" i="54"/>
  <c r="AI61" i="54"/>
  <c r="AH61" i="54"/>
  <c r="AI60" i="54"/>
  <c r="AH60" i="54"/>
  <c r="AI59" i="54"/>
  <c r="AH59" i="54"/>
  <c r="AI58" i="54"/>
  <c r="AH58" i="54"/>
  <c r="AI57" i="54"/>
  <c r="AH57" i="54"/>
  <c r="AI56" i="54"/>
  <c r="AH56" i="54"/>
  <c r="AI55" i="54"/>
  <c r="AH55" i="54"/>
  <c r="AI54" i="54"/>
  <c r="AH54" i="54"/>
  <c r="AI53" i="54"/>
  <c r="AH53" i="54"/>
  <c r="AG52" i="54"/>
  <c r="AF52" i="54"/>
  <c r="AE52" i="54"/>
  <c r="AD52" i="54"/>
  <c r="AC52" i="54"/>
  <c r="AB52" i="54"/>
  <c r="AA52" i="54"/>
  <c r="Z52" i="54"/>
  <c r="Y52" i="54"/>
  <c r="X52" i="54"/>
  <c r="W52" i="54"/>
  <c r="V52" i="54"/>
  <c r="U52" i="54"/>
  <c r="T52" i="54"/>
  <c r="S52" i="54"/>
  <c r="R52" i="54"/>
  <c r="Q52" i="54"/>
  <c r="P52" i="54"/>
  <c r="O52" i="54"/>
  <c r="M52" i="54"/>
  <c r="L52" i="54"/>
  <c r="D52" i="54"/>
  <c r="C52" i="54"/>
  <c r="B52" i="54"/>
  <c r="AI51" i="54"/>
  <c r="AH51" i="54"/>
  <c r="AI50" i="54"/>
  <c r="AH50" i="54"/>
  <c r="AI49" i="54"/>
  <c r="AH49" i="54"/>
  <c r="AG48" i="54"/>
  <c r="AF48" i="54"/>
  <c r="AE48" i="54"/>
  <c r="AD48" i="54"/>
  <c r="AC48" i="54"/>
  <c r="AB48" i="54"/>
  <c r="AA48" i="54"/>
  <c r="Z48" i="54"/>
  <c r="Y48" i="54"/>
  <c r="X48" i="54"/>
  <c r="W48" i="54"/>
  <c r="V48" i="54"/>
  <c r="U48" i="54"/>
  <c r="T48" i="54"/>
  <c r="S48" i="54"/>
  <c r="R48" i="54"/>
  <c r="Q48" i="54"/>
  <c r="P48" i="54"/>
  <c r="O48" i="54"/>
  <c r="M48" i="54"/>
  <c r="L48" i="54"/>
  <c r="D48" i="54"/>
  <c r="C48" i="54"/>
  <c r="B48" i="54"/>
  <c r="AI47" i="54"/>
  <c r="AH47" i="54"/>
  <c r="AI46" i="54"/>
  <c r="AH46" i="54"/>
  <c r="AI45" i="54"/>
  <c r="AH45" i="54"/>
  <c r="AI44" i="54"/>
  <c r="AH44" i="54"/>
  <c r="AI43" i="54"/>
  <c r="AH43" i="54"/>
  <c r="AI42" i="54"/>
  <c r="AH42" i="54"/>
  <c r="AI41" i="54"/>
  <c r="AH41" i="54"/>
  <c r="AI40" i="54"/>
  <c r="AH40" i="54"/>
  <c r="AI39" i="54"/>
  <c r="AH39" i="54"/>
  <c r="AI38" i="54"/>
  <c r="AH38" i="54"/>
  <c r="AI37" i="54"/>
  <c r="AH37" i="54"/>
  <c r="AI36" i="54"/>
  <c r="AH36" i="54"/>
  <c r="AI35" i="54"/>
  <c r="AH35" i="54"/>
  <c r="AI34" i="54"/>
  <c r="AH34" i="54"/>
  <c r="AI33" i="54"/>
  <c r="AH33" i="54"/>
  <c r="AI32" i="54"/>
  <c r="AH32" i="54"/>
  <c r="AI31" i="54"/>
  <c r="AH31" i="54"/>
  <c r="AI30" i="54"/>
  <c r="AH30" i="54"/>
  <c r="AI29" i="54"/>
  <c r="AH29" i="54"/>
  <c r="AI28" i="54"/>
  <c r="AH28" i="54"/>
  <c r="AI27" i="54"/>
  <c r="AH27" i="54"/>
  <c r="AI26" i="54"/>
  <c r="AH26" i="54"/>
  <c r="AI25" i="54"/>
  <c r="AH25" i="54"/>
  <c r="AI24" i="54"/>
  <c r="AH24" i="54"/>
  <c r="AI23" i="54"/>
  <c r="AH23" i="54"/>
  <c r="AI22" i="54"/>
  <c r="AH22" i="54"/>
  <c r="AI21" i="54"/>
  <c r="AH21" i="54"/>
  <c r="AI20" i="54"/>
  <c r="AH20" i="54"/>
  <c r="AI19" i="54"/>
  <c r="AH19" i="54"/>
  <c r="AI18" i="54"/>
  <c r="AH18" i="54"/>
  <c r="AI17" i="54"/>
  <c r="AH17" i="54"/>
  <c r="AI16" i="54"/>
  <c r="AH16" i="54"/>
  <c r="AI15" i="54"/>
  <c r="AH15" i="54"/>
  <c r="AI14" i="54"/>
  <c r="AH14" i="54"/>
  <c r="AI13" i="54"/>
  <c r="AH13" i="54"/>
  <c r="AI12" i="54"/>
  <c r="AH12" i="54"/>
  <c r="AI11" i="54"/>
  <c r="AH11" i="54"/>
  <c r="D5" i="54"/>
  <c r="K4" i="54"/>
  <c r="E4" i="54"/>
  <c r="H4" i="54" s="1"/>
  <c r="B4" i="54"/>
  <c r="AG3" i="54"/>
  <c r="AG2" i="54"/>
  <c r="AG6" i="54" s="1"/>
  <c r="AF70" i="53"/>
  <c r="AB111" i="53"/>
  <c r="AB48" i="53"/>
  <c r="AB52" i="53"/>
  <c r="AB66" i="53"/>
  <c r="AB70" i="53"/>
  <c r="AB82" i="53"/>
  <c r="AB98" i="53" s="1"/>
  <c r="AB108" i="53"/>
  <c r="AF98" i="54" l="1"/>
  <c r="AF87" i="54"/>
  <c r="AF89" i="54" s="1"/>
  <c r="AF7" i="54" s="1"/>
  <c r="AE98" i="54"/>
  <c r="AE87" i="54"/>
  <c r="AE89" i="54" s="1"/>
  <c r="AE90" i="54" s="1"/>
  <c r="AC87" i="54"/>
  <c r="AC89" i="54" s="1"/>
  <c r="AC7" i="54" s="1"/>
  <c r="AC98" i="54"/>
  <c r="AA5" i="54"/>
  <c r="Z5" i="54"/>
  <c r="AA87" i="54"/>
  <c r="AA89" i="54" s="1"/>
  <c r="AA90" i="54" s="1"/>
  <c r="Z87" i="54"/>
  <c r="Z89" i="54" s="1"/>
  <c r="Y98" i="54"/>
  <c r="X98" i="54"/>
  <c r="X87" i="54"/>
  <c r="X89" i="54" s="1"/>
  <c r="X90" i="54" s="1"/>
  <c r="W98" i="54"/>
  <c r="W87" i="54"/>
  <c r="W89" i="54" s="1"/>
  <c r="W90" i="54" s="1"/>
  <c r="U98" i="54"/>
  <c r="U87" i="54"/>
  <c r="U89" i="54" s="1"/>
  <c r="U7" i="54" s="1"/>
  <c r="S5" i="54"/>
  <c r="R5" i="54"/>
  <c r="S87" i="54"/>
  <c r="S89" i="54" s="1"/>
  <c r="S90" i="54" s="1"/>
  <c r="R87" i="54"/>
  <c r="R89" i="54" s="1"/>
  <c r="P87" i="54"/>
  <c r="P89" i="54" s="1"/>
  <c r="P90" i="54" s="1"/>
  <c r="O98" i="54"/>
  <c r="O87" i="54"/>
  <c r="O89" i="54" s="1"/>
  <c r="M5" i="54"/>
  <c r="L5" i="54"/>
  <c r="AI70" i="54"/>
  <c r="M87" i="54"/>
  <c r="M89" i="54" s="1"/>
  <c r="AE246" i="54" s="1"/>
  <c r="K5" i="54"/>
  <c r="J5" i="54"/>
  <c r="K87" i="54"/>
  <c r="K89" i="54" s="1"/>
  <c r="J87" i="54"/>
  <c r="J89" i="54" s="1"/>
  <c r="J90" i="54" s="1"/>
  <c r="AI111" i="54"/>
  <c r="F87" i="54"/>
  <c r="F89" i="54" s="1"/>
  <c r="F90" i="54" s="1"/>
  <c r="G5" i="54"/>
  <c r="H87" i="54"/>
  <c r="H89" i="54" s="1"/>
  <c r="H90" i="54" s="1"/>
  <c r="F5" i="54"/>
  <c r="G87" i="54"/>
  <c r="G89" i="54" s="1"/>
  <c r="G90" i="54" s="1"/>
  <c r="C5" i="54"/>
  <c r="D87" i="54"/>
  <c r="D89" i="54" s="1"/>
  <c r="D90" i="54" s="1"/>
  <c r="B5" i="54"/>
  <c r="C87" i="54"/>
  <c r="C89" i="54" s="1"/>
  <c r="R90" i="54"/>
  <c r="AJ246" i="54"/>
  <c r="R7" i="54"/>
  <c r="Z90" i="54"/>
  <c r="AR246" i="54"/>
  <c r="Z7" i="54"/>
  <c r="E7" i="54"/>
  <c r="W246" i="54"/>
  <c r="H231" i="54"/>
  <c r="F267" i="54"/>
  <c r="P5" i="54"/>
  <c r="F226" i="54"/>
  <c r="E232" i="54"/>
  <c r="AC5" i="54"/>
  <c r="AD87" i="54"/>
  <c r="AD89" i="54" s="1"/>
  <c r="AG246" i="54"/>
  <c r="O7" i="54"/>
  <c r="B98" i="54"/>
  <c r="AI82" i="54"/>
  <c r="Z98" i="54"/>
  <c r="Y5" i="54"/>
  <c r="E5" i="54"/>
  <c r="P7" i="54"/>
  <c r="AH246" i="54"/>
  <c r="U5" i="54"/>
  <c r="Q87" i="54"/>
  <c r="Q89" i="54" s="1"/>
  <c r="Y87" i="54"/>
  <c r="Y89" i="54" s="1"/>
  <c r="AG87" i="54"/>
  <c r="AI66" i="54"/>
  <c r="L87" i="54"/>
  <c r="L89" i="54" s="1"/>
  <c r="T87" i="54"/>
  <c r="T89" i="54" s="1"/>
  <c r="AB87" i="54"/>
  <c r="AB89" i="54" s="1"/>
  <c r="S243" i="54"/>
  <c r="D243" i="54"/>
  <c r="AH48" i="54"/>
  <c r="AI48" i="54"/>
  <c r="AH66" i="54"/>
  <c r="V246" i="54"/>
  <c r="D7" i="54"/>
  <c r="AH52" i="54"/>
  <c r="I5" i="54"/>
  <c r="R98" i="54"/>
  <c r="Q5" i="54"/>
  <c r="AH82" i="54"/>
  <c r="N87" i="54"/>
  <c r="N89" i="54" s="1"/>
  <c r="B87" i="54"/>
  <c r="V87" i="54"/>
  <c r="V89" i="54" s="1"/>
  <c r="O90" i="54"/>
  <c r="B232" i="54"/>
  <c r="AH70" i="54"/>
  <c r="AI52" i="54"/>
  <c r="AB87" i="53"/>
  <c r="AB89" i="53" s="1"/>
  <c r="AB90" i="53" s="1"/>
  <c r="AF90" i="54" l="1"/>
  <c r="AX246" i="54"/>
  <c r="AE7" i="54"/>
  <c r="AW246" i="54"/>
  <c r="AC90" i="54"/>
  <c r="AU246" i="54"/>
  <c r="AS246" i="54"/>
  <c r="AA7" i="54"/>
  <c r="X7" i="54"/>
  <c r="AP246" i="54"/>
  <c r="W7" i="54"/>
  <c r="U90" i="54"/>
  <c r="AM246" i="54"/>
  <c r="AO246" i="54"/>
  <c r="S7" i="54"/>
  <c r="AK246" i="54"/>
  <c r="J7" i="54"/>
  <c r="AB246" i="54"/>
  <c r="M7" i="54"/>
  <c r="M90" i="54"/>
  <c r="K90" i="54"/>
  <c r="K7" i="54"/>
  <c r="AC246" i="54"/>
  <c r="Z246" i="54"/>
  <c r="Y246" i="54"/>
  <c r="G7" i="54"/>
  <c r="H7" i="54"/>
  <c r="C90" i="54"/>
  <c r="U246" i="54"/>
  <c r="C7" i="54"/>
  <c r="AL246" i="54"/>
  <c r="T7" i="54"/>
  <c r="T90" i="54"/>
  <c r="G226" i="54"/>
  <c r="F232" i="54"/>
  <c r="AF246" i="54"/>
  <c r="N90" i="54"/>
  <c r="N7" i="54"/>
  <c r="AD246" i="54"/>
  <c r="L7" i="54"/>
  <c r="L90" i="54"/>
  <c r="AI98" i="54"/>
  <c r="AH98" i="54"/>
  <c r="X246" i="54"/>
  <c r="F7" i="54"/>
  <c r="B241" i="54"/>
  <c r="AI87" i="54"/>
  <c r="B89" i="54"/>
  <c r="AH87" i="54"/>
  <c r="Q90" i="54"/>
  <c r="AI246" i="54"/>
  <c r="Q7" i="54"/>
  <c r="AT246" i="54"/>
  <c r="AB7" i="54"/>
  <c r="AB90" i="54"/>
  <c r="AN246" i="54"/>
  <c r="V90" i="54"/>
  <c r="V7" i="54"/>
  <c r="Y90" i="54"/>
  <c r="AQ246" i="54"/>
  <c r="Y7" i="54"/>
  <c r="C241" i="54"/>
  <c r="AV246" i="54"/>
  <c r="AD90" i="54"/>
  <c r="AD7" i="54"/>
  <c r="G267" i="54"/>
  <c r="I231" i="54"/>
  <c r="AA246" i="54"/>
  <c r="I7" i="54"/>
  <c r="AI89" i="54" l="1"/>
  <c r="B90" i="54"/>
  <c r="T246" i="54"/>
  <c r="B7" i="54"/>
  <c r="A7" i="54" s="1"/>
  <c r="AH89" i="54"/>
  <c r="H226" i="54"/>
  <c r="G232" i="54"/>
  <c r="H267" i="54"/>
  <c r="J231" i="54"/>
  <c r="K6" i="54"/>
  <c r="I226" i="54" l="1"/>
  <c r="H232" i="54"/>
  <c r="K231" i="54"/>
  <c r="I267" i="54"/>
  <c r="AH90" i="54"/>
  <c r="AI90" i="54"/>
  <c r="J267" i="54" l="1"/>
  <c r="L231" i="54"/>
  <c r="J226" i="54"/>
  <c r="K226" i="54" l="1"/>
  <c r="K267" i="54"/>
  <c r="M231" i="54"/>
  <c r="AF271" i="53"/>
  <c r="AE271" i="53"/>
  <c r="AD271" i="53"/>
  <c r="AC271" i="53"/>
  <c r="AB271" i="53"/>
  <c r="AA271" i="53"/>
  <c r="Z271" i="53"/>
  <c r="Y271" i="53"/>
  <c r="X271" i="53"/>
  <c r="W271" i="53"/>
  <c r="V271" i="53"/>
  <c r="U271" i="53"/>
  <c r="T271" i="53"/>
  <c r="S271" i="53"/>
  <c r="R271" i="53"/>
  <c r="Q271" i="53"/>
  <c r="P271" i="53"/>
  <c r="O271" i="53"/>
  <c r="N271" i="53"/>
  <c r="M271" i="53"/>
  <c r="L271" i="53"/>
  <c r="K271" i="53"/>
  <c r="J271" i="53"/>
  <c r="I271" i="53"/>
  <c r="H271" i="53"/>
  <c r="G271" i="53"/>
  <c r="F271" i="53"/>
  <c r="E271" i="53"/>
  <c r="D271" i="53"/>
  <c r="C271" i="53"/>
  <c r="B271" i="53"/>
  <c r="A271" i="53"/>
  <c r="AF270" i="53"/>
  <c r="AE270" i="53"/>
  <c r="AD270" i="53"/>
  <c r="AC270" i="53"/>
  <c r="AB270" i="53"/>
  <c r="AA270" i="53"/>
  <c r="Z270" i="53"/>
  <c r="Y270" i="53"/>
  <c r="X270" i="53"/>
  <c r="W270" i="53"/>
  <c r="V270" i="53"/>
  <c r="U270" i="53"/>
  <c r="T270" i="53"/>
  <c r="S270" i="53"/>
  <c r="R270" i="53"/>
  <c r="Q270" i="53"/>
  <c r="P270" i="53"/>
  <c r="O270" i="53"/>
  <c r="N270" i="53"/>
  <c r="M270" i="53"/>
  <c r="L270" i="53"/>
  <c r="K270" i="53"/>
  <c r="J270" i="53"/>
  <c r="I270" i="53"/>
  <c r="H270" i="53"/>
  <c r="G270" i="53"/>
  <c r="F270" i="53"/>
  <c r="E270" i="53"/>
  <c r="D270" i="53"/>
  <c r="C270" i="53"/>
  <c r="B270" i="53"/>
  <c r="A270" i="53"/>
  <c r="AF269" i="53"/>
  <c r="AE269" i="53"/>
  <c r="AD269" i="53"/>
  <c r="AC269" i="53"/>
  <c r="AB269" i="53"/>
  <c r="AA269" i="53"/>
  <c r="Z269" i="53"/>
  <c r="Y269" i="53"/>
  <c r="X269" i="53"/>
  <c r="W269" i="53"/>
  <c r="V269" i="53"/>
  <c r="U269" i="53"/>
  <c r="T269" i="53"/>
  <c r="S269" i="53"/>
  <c r="R269" i="53"/>
  <c r="Q269" i="53"/>
  <c r="P269" i="53"/>
  <c r="O269" i="53"/>
  <c r="N269" i="53"/>
  <c r="M269" i="53"/>
  <c r="L269" i="53"/>
  <c r="K269" i="53"/>
  <c r="J269" i="53"/>
  <c r="I269" i="53"/>
  <c r="H269" i="53"/>
  <c r="G269" i="53"/>
  <c r="F269" i="53"/>
  <c r="E269" i="53"/>
  <c r="D269" i="53"/>
  <c r="C269" i="53"/>
  <c r="B269" i="53"/>
  <c r="A269" i="53"/>
  <c r="AF268" i="53"/>
  <c r="AE268" i="53"/>
  <c r="AD268" i="53"/>
  <c r="AC268" i="53"/>
  <c r="AB268" i="53"/>
  <c r="AA268" i="53"/>
  <c r="Z268" i="53"/>
  <c r="Y268" i="53"/>
  <c r="X268" i="53"/>
  <c r="W268" i="53"/>
  <c r="V268" i="53"/>
  <c r="U268" i="53"/>
  <c r="T268" i="53"/>
  <c r="S268" i="53"/>
  <c r="R268" i="53"/>
  <c r="Q268" i="53"/>
  <c r="P268" i="53"/>
  <c r="O268" i="53"/>
  <c r="N268" i="53"/>
  <c r="M268" i="53"/>
  <c r="L268" i="53"/>
  <c r="K268" i="53"/>
  <c r="J268" i="53"/>
  <c r="I268" i="53"/>
  <c r="H268" i="53"/>
  <c r="G268" i="53"/>
  <c r="F268" i="53"/>
  <c r="E268" i="53"/>
  <c r="D268" i="53"/>
  <c r="C268" i="53"/>
  <c r="B268" i="53"/>
  <c r="A268" i="53"/>
  <c r="AE267" i="53"/>
  <c r="AD267" i="53"/>
  <c r="AC267" i="53"/>
  <c r="AB267" i="53"/>
  <c r="AA267" i="53"/>
  <c r="Z267" i="53"/>
  <c r="Y267" i="53"/>
  <c r="X267" i="53"/>
  <c r="W267" i="53"/>
  <c r="V267" i="53"/>
  <c r="U267" i="53"/>
  <c r="T267" i="53"/>
  <c r="S267" i="53"/>
  <c r="R267" i="53"/>
  <c r="Q267" i="53"/>
  <c r="P267" i="53"/>
  <c r="B267" i="53"/>
  <c r="S242" i="53"/>
  <c r="AG232" i="53"/>
  <c r="AF232" i="53"/>
  <c r="AE232" i="53"/>
  <c r="AD232" i="53"/>
  <c r="AC232" i="53"/>
  <c r="AB232" i="53"/>
  <c r="AA232" i="53"/>
  <c r="Z232" i="53"/>
  <c r="Y232" i="53"/>
  <c r="X232" i="53"/>
  <c r="W232" i="53"/>
  <c r="V232" i="53"/>
  <c r="U232" i="53"/>
  <c r="T232" i="53"/>
  <c r="S232" i="53"/>
  <c r="R232" i="53"/>
  <c r="Q232" i="53"/>
  <c r="C232" i="53"/>
  <c r="D231" i="53"/>
  <c r="E231" i="53" s="1"/>
  <c r="B231" i="53"/>
  <c r="AF267" i="53" s="1"/>
  <c r="E230" i="53"/>
  <c r="F230" i="53" s="1"/>
  <c r="G230" i="53" s="1"/>
  <c r="H230" i="53" s="1"/>
  <c r="I230" i="53" s="1"/>
  <c r="J230" i="53" s="1"/>
  <c r="K230" i="53" s="1"/>
  <c r="L230" i="53" s="1"/>
  <c r="M230" i="53" s="1"/>
  <c r="N230" i="53" s="1"/>
  <c r="O230" i="53" s="1"/>
  <c r="P230" i="53" s="1"/>
  <c r="D230" i="53"/>
  <c r="B230" i="53"/>
  <c r="D229" i="53"/>
  <c r="E229" i="53" s="1"/>
  <c r="F229" i="53" s="1"/>
  <c r="G229" i="53" s="1"/>
  <c r="H229" i="53" s="1"/>
  <c r="I229" i="53" s="1"/>
  <c r="B229" i="53"/>
  <c r="F228" i="53"/>
  <c r="G228" i="53" s="1"/>
  <c r="H228" i="53" s="1"/>
  <c r="E228" i="53"/>
  <c r="D228" i="53"/>
  <c r="B228" i="53"/>
  <c r="D227" i="53"/>
  <c r="D232" i="53" s="1"/>
  <c r="B227" i="53"/>
  <c r="E226" i="53"/>
  <c r="F226" i="53" s="1"/>
  <c r="D226" i="53"/>
  <c r="B226" i="53"/>
  <c r="B108" i="53" s="1"/>
  <c r="AG224" i="53"/>
  <c r="AF224" i="53"/>
  <c r="AE224" i="53"/>
  <c r="AD224" i="53"/>
  <c r="AC224" i="53"/>
  <c r="AB224" i="53"/>
  <c r="AA224" i="53"/>
  <c r="Z224" i="53"/>
  <c r="Y224" i="53"/>
  <c r="X224" i="53"/>
  <c r="W224" i="53"/>
  <c r="V224" i="53"/>
  <c r="U224" i="53"/>
  <c r="T224" i="53"/>
  <c r="S224" i="53"/>
  <c r="R224" i="53"/>
  <c r="Q224" i="53"/>
  <c r="P224" i="53"/>
  <c r="O224" i="53"/>
  <c r="N224" i="53"/>
  <c r="M224" i="53"/>
  <c r="L224" i="53"/>
  <c r="K224" i="53"/>
  <c r="J224" i="53"/>
  <c r="I224" i="53"/>
  <c r="H224" i="53"/>
  <c r="G224" i="53"/>
  <c r="F224" i="53"/>
  <c r="E224" i="53"/>
  <c r="D224" i="53"/>
  <c r="C224" i="53"/>
  <c r="B224" i="53"/>
  <c r="AI117" i="53"/>
  <c r="AH117" i="53"/>
  <c r="AI116" i="53"/>
  <c r="AH116" i="53"/>
  <c r="AI115" i="53"/>
  <c r="AH115" i="53"/>
  <c r="AI114" i="53"/>
  <c r="AH114" i="53"/>
  <c r="AI113" i="53"/>
  <c r="AH113" i="53"/>
  <c r="AI112" i="53"/>
  <c r="AH112" i="53"/>
  <c r="AI111" i="53"/>
  <c r="AH111" i="53"/>
  <c r="AI110" i="53"/>
  <c r="AH110" i="53"/>
  <c r="AI109" i="53"/>
  <c r="AH109" i="53"/>
  <c r="AF108" i="53"/>
  <c r="AE108" i="53"/>
  <c r="AD108" i="53"/>
  <c r="AC108" i="53"/>
  <c r="AA108" i="53"/>
  <c r="Z108" i="53"/>
  <c r="Y108" i="53"/>
  <c r="X108" i="53"/>
  <c r="W108" i="53"/>
  <c r="V108" i="53"/>
  <c r="U108" i="53"/>
  <c r="T108" i="53"/>
  <c r="S108" i="53"/>
  <c r="R108" i="53"/>
  <c r="Q108" i="53"/>
  <c r="C108" i="53"/>
  <c r="AI107" i="53"/>
  <c r="AH107" i="53"/>
  <c r="AI106" i="53"/>
  <c r="AH106" i="53"/>
  <c r="AI105" i="53"/>
  <c r="AH105" i="53"/>
  <c r="AI104" i="53"/>
  <c r="AH104" i="53"/>
  <c r="AI103" i="53"/>
  <c r="AH103" i="53"/>
  <c r="AI102" i="53"/>
  <c r="AH102" i="53"/>
  <c r="AI101" i="53"/>
  <c r="AH101" i="53"/>
  <c r="AI100" i="53"/>
  <c r="AH100" i="53"/>
  <c r="AI99" i="53"/>
  <c r="AH99" i="53"/>
  <c r="AI97" i="53"/>
  <c r="AH97" i="53"/>
  <c r="AI96" i="53"/>
  <c r="AH96" i="53"/>
  <c r="AI95" i="53"/>
  <c r="AH95" i="53"/>
  <c r="AI94" i="53"/>
  <c r="AH94" i="53"/>
  <c r="AI93" i="53"/>
  <c r="AH93" i="53"/>
  <c r="AI92" i="53"/>
  <c r="AH92" i="53"/>
  <c r="AI91" i="53"/>
  <c r="AH91" i="53"/>
  <c r="AI88" i="53"/>
  <c r="AH88" i="53"/>
  <c r="AI86" i="53"/>
  <c r="AH86" i="53"/>
  <c r="AG86" i="53"/>
  <c r="AG89" i="53" s="1"/>
  <c r="AI85" i="53"/>
  <c r="AH85" i="53"/>
  <c r="AI84" i="53"/>
  <c r="AH84" i="53"/>
  <c r="AI83" i="53"/>
  <c r="AH83" i="53"/>
  <c r="AN82" i="53"/>
  <c r="AG82" i="53"/>
  <c r="AF82" i="53"/>
  <c r="AE5" i="53" s="1"/>
  <c r="AE82" i="53"/>
  <c r="AE98" i="53" s="1"/>
  <c r="AD82" i="53"/>
  <c r="AC5" i="53" s="1"/>
  <c r="AC82" i="53"/>
  <c r="AC98" i="53" s="1"/>
  <c r="AA82" i="53"/>
  <c r="AA98" i="53" s="1"/>
  <c r="Z82" i="53"/>
  <c r="Z98" i="53" s="1"/>
  <c r="Y82" i="53"/>
  <c r="Y98" i="53" s="1"/>
  <c r="X82" i="53"/>
  <c r="W5" i="53" s="1"/>
  <c r="W82" i="53"/>
  <c r="W98" i="53" s="1"/>
  <c r="V82" i="53"/>
  <c r="V98" i="53" s="1"/>
  <c r="U82" i="53"/>
  <c r="U98" i="53" s="1"/>
  <c r="T82" i="53"/>
  <c r="T98" i="53" s="1"/>
  <c r="S82" i="53"/>
  <c r="S98" i="53" s="1"/>
  <c r="R82" i="53"/>
  <c r="R98" i="53" s="1"/>
  <c r="Q82" i="53"/>
  <c r="Q98" i="53" s="1"/>
  <c r="P82" i="53"/>
  <c r="O5" i="53" s="1"/>
  <c r="O82" i="53"/>
  <c r="O98" i="53" s="1"/>
  <c r="N82" i="53"/>
  <c r="N98" i="53" s="1"/>
  <c r="M82" i="53"/>
  <c r="M98" i="53" s="1"/>
  <c r="L82" i="53"/>
  <c r="L98" i="53" s="1"/>
  <c r="K82" i="53"/>
  <c r="K98" i="53" s="1"/>
  <c r="J82" i="53"/>
  <c r="J98" i="53" s="1"/>
  <c r="I82" i="53"/>
  <c r="I98" i="53" s="1"/>
  <c r="H82" i="53"/>
  <c r="G5" i="53" s="1"/>
  <c r="G82" i="53"/>
  <c r="G98" i="53" s="1"/>
  <c r="F82" i="53"/>
  <c r="F98" i="53" s="1"/>
  <c r="E82" i="53"/>
  <c r="E98" i="53" s="1"/>
  <c r="D82" i="53"/>
  <c r="D98" i="53" s="1"/>
  <c r="C82" i="53"/>
  <c r="C98" i="53" s="1"/>
  <c r="B82" i="53"/>
  <c r="B98" i="53" s="1"/>
  <c r="AI81" i="53"/>
  <c r="AH81" i="53"/>
  <c r="AN80" i="53"/>
  <c r="AI80" i="53"/>
  <c r="AH80" i="53"/>
  <c r="AN79" i="53"/>
  <c r="AN81" i="53" s="1"/>
  <c r="AI79" i="53"/>
  <c r="AH79" i="53"/>
  <c r="AI78" i="53"/>
  <c r="AH78" i="53"/>
  <c r="AI77" i="53"/>
  <c r="AH77" i="53"/>
  <c r="AI76" i="53"/>
  <c r="AH76" i="53"/>
  <c r="AI75" i="53"/>
  <c r="AH75" i="53"/>
  <c r="AI74" i="53"/>
  <c r="AH74" i="53"/>
  <c r="AI73" i="53"/>
  <c r="AH73" i="53"/>
  <c r="AI72" i="53"/>
  <c r="AH72" i="53"/>
  <c r="AI71" i="53"/>
  <c r="AH71" i="53"/>
  <c r="AG70" i="53"/>
  <c r="AE70" i="53"/>
  <c r="AD70" i="53"/>
  <c r="AC70" i="53"/>
  <c r="AA70" i="53"/>
  <c r="Z70" i="53"/>
  <c r="Y70" i="53"/>
  <c r="X70" i="53"/>
  <c r="W70" i="53"/>
  <c r="V70" i="53"/>
  <c r="U70" i="53"/>
  <c r="T70" i="53"/>
  <c r="S70" i="53"/>
  <c r="R70" i="53"/>
  <c r="Q70" i="53"/>
  <c r="P70" i="53"/>
  <c r="O70" i="53"/>
  <c r="N70" i="53"/>
  <c r="M70" i="53"/>
  <c r="L70" i="53"/>
  <c r="B70" i="53"/>
  <c r="AI69" i="53"/>
  <c r="AH69" i="53"/>
  <c r="AI68" i="53"/>
  <c r="AH68" i="53"/>
  <c r="AI67" i="53"/>
  <c r="AH67" i="53"/>
  <c r="AG66" i="53"/>
  <c r="AG3" i="53" s="1"/>
  <c r="AG6" i="53" s="1"/>
  <c r="AF66" i="53"/>
  <c r="AE66" i="53"/>
  <c r="AD66" i="53"/>
  <c r="AC66" i="53"/>
  <c r="AA66" i="53"/>
  <c r="Z66" i="53"/>
  <c r="Y66" i="53"/>
  <c r="X66" i="53"/>
  <c r="W66" i="53"/>
  <c r="V66" i="53"/>
  <c r="U66" i="53"/>
  <c r="T66" i="53"/>
  <c r="S66" i="53"/>
  <c r="R66" i="53"/>
  <c r="Q66" i="53"/>
  <c r="P66" i="53"/>
  <c r="O66" i="53"/>
  <c r="N66" i="53"/>
  <c r="M66" i="53"/>
  <c r="L66" i="53"/>
  <c r="K66" i="53"/>
  <c r="J66" i="53"/>
  <c r="I66" i="53"/>
  <c r="H66" i="53"/>
  <c r="G66" i="53"/>
  <c r="F66" i="53"/>
  <c r="E66" i="53"/>
  <c r="D66" i="53"/>
  <c r="C66" i="53"/>
  <c r="B66" i="53"/>
  <c r="AI65" i="53"/>
  <c r="AH65" i="53"/>
  <c r="AG65" i="53"/>
  <c r="AI64" i="53"/>
  <c r="AH64" i="53"/>
  <c r="AI63" i="53"/>
  <c r="AH63" i="53"/>
  <c r="AI62" i="53"/>
  <c r="AH62" i="53"/>
  <c r="AI61" i="53"/>
  <c r="AH61" i="53"/>
  <c r="AI60" i="53"/>
  <c r="AH60" i="53"/>
  <c r="AI59" i="53"/>
  <c r="AH59" i="53"/>
  <c r="AI58" i="53"/>
  <c r="AH58" i="53"/>
  <c r="AI57" i="53"/>
  <c r="AH57" i="53"/>
  <c r="AI56" i="53"/>
  <c r="AH56" i="53"/>
  <c r="AI55" i="53"/>
  <c r="AH55" i="53"/>
  <c r="AI54" i="53"/>
  <c r="AH54" i="53"/>
  <c r="AI53" i="53"/>
  <c r="AH53" i="53"/>
  <c r="AG52" i="53"/>
  <c r="AF52" i="53"/>
  <c r="AE52" i="53"/>
  <c r="AD52" i="53"/>
  <c r="AC52" i="53"/>
  <c r="AA52" i="53"/>
  <c r="Z52" i="53"/>
  <c r="Y52" i="53"/>
  <c r="X52" i="53"/>
  <c r="W52" i="53"/>
  <c r="V52" i="53"/>
  <c r="U52" i="53"/>
  <c r="T52" i="53"/>
  <c r="S52" i="53"/>
  <c r="R52" i="53"/>
  <c r="Q52" i="53"/>
  <c r="P52" i="53"/>
  <c r="O52" i="53"/>
  <c r="N52" i="53"/>
  <c r="M52" i="53"/>
  <c r="L52" i="53"/>
  <c r="K52" i="53"/>
  <c r="J52" i="53"/>
  <c r="I52" i="53"/>
  <c r="H52" i="53"/>
  <c r="G52" i="53"/>
  <c r="F52" i="53"/>
  <c r="E52" i="53"/>
  <c r="D52" i="53"/>
  <c r="C52" i="53"/>
  <c r="B52" i="53"/>
  <c r="AI51" i="53"/>
  <c r="AH51" i="53"/>
  <c r="AI50" i="53"/>
  <c r="AH50" i="53"/>
  <c r="AI49" i="53"/>
  <c r="AH49" i="53"/>
  <c r="AG48" i="53"/>
  <c r="AG87" i="53" s="1"/>
  <c r="AF48" i="53"/>
  <c r="AE48" i="53"/>
  <c r="AD48" i="53"/>
  <c r="AC48" i="53"/>
  <c r="AA48" i="53"/>
  <c r="Z48" i="53"/>
  <c r="Z87" i="53" s="1"/>
  <c r="Z89" i="53" s="1"/>
  <c r="Y48" i="53"/>
  <c r="X48" i="53"/>
  <c r="W48" i="53"/>
  <c r="V48" i="53"/>
  <c r="U48" i="53"/>
  <c r="T48" i="53"/>
  <c r="S48" i="53"/>
  <c r="R48" i="53"/>
  <c r="Q48" i="53"/>
  <c r="P48" i="53"/>
  <c r="O48" i="53"/>
  <c r="N48" i="53"/>
  <c r="M48" i="53"/>
  <c r="L48" i="53"/>
  <c r="K48" i="53"/>
  <c r="J48" i="53"/>
  <c r="I48" i="53"/>
  <c r="H48" i="53"/>
  <c r="G48" i="53"/>
  <c r="F48" i="53"/>
  <c r="E48" i="53"/>
  <c r="D48" i="53"/>
  <c r="C48" i="53"/>
  <c r="B48" i="53"/>
  <c r="AI47" i="53"/>
  <c r="AH47" i="53"/>
  <c r="AI46" i="53"/>
  <c r="AH46" i="53"/>
  <c r="AI45" i="53"/>
  <c r="AH45" i="53"/>
  <c r="AI44" i="53"/>
  <c r="AH44" i="53"/>
  <c r="AI43" i="53"/>
  <c r="AH43" i="53"/>
  <c r="AI42" i="53"/>
  <c r="AH42" i="53"/>
  <c r="AI41" i="53"/>
  <c r="AH41" i="53"/>
  <c r="AI40" i="53"/>
  <c r="AH40" i="53"/>
  <c r="AI39" i="53"/>
  <c r="AH39" i="53"/>
  <c r="AI38" i="53"/>
  <c r="AH38" i="53"/>
  <c r="AI37" i="53"/>
  <c r="AH37" i="53"/>
  <c r="AI36" i="53"/>
  <c r="AH36" i="53"/>
  <c r="AI35" i="53"/>
  <c r="AH35" i="53"/>
  <c r="AI34" i="53"/>
  <c r="AH34" i="53"/>
  <c r="AI33" i="53"/>
  <c r="AH33" i="53"/>
  <c r="AI32" i="53"/>
  <c r="AH32" i="53"/>
  <c r="AI31" i="53"/>
  <c r="AH31" i="53"/>
  <c r="AI30" i="53"/>
  <c r="AH30" i="53"/>
  <c r="AI29" i="53"/>
  <c r="AH29" i="53"/>
  <c r="AI28" i="53"/>
  <c r="AH28" i="53"/>
  <c r="AI27" i="53"/>
  <c r="AH27" i="53"/>
  <c r="AI26" i="53"/>
  <c r="AH26" i="53"/>
  <c r="AI25" i="53"/>
  <c r="AH25" i="53"/>
  <c r="AI24" i="53"/>
  <c r="AH24" i="53"/>
  <c r="AI23" i="53"/>
  <c r="AH23" i="53"/>
  <c r="AI22" i="53"/>
  <c r="AH22" i="53"/>
  <c r="AI21" i="53"/>
  <c r="AH21" i="53"/>
  <c r="AI20" i="53"/>
  <c r="AH20" i="53"/>
  <c r="AI19" i="53"/>
  <c r="AH19" i="53"/>
  <c r="AI18" i="53"/>
  <c r="AH18" i="53"/>
  <c r="AI17" i="53"/>
  <c r="AH17" i="53"/>
  <c r="AI16" i="53"/>
  <c r="AH16" i="53"/>
  <c r="AI15" i="53"/>
  <c r="AH15" i="53"/>
  <c r="AI14" i="53"/>
  <c r="AH14" i="53"/>
  <c r="AI13" i="53"/>
  <c r="AH13" i="53"/>
  <c r="AI12" i="53"/>
  <c r="AH12" i="53"/>
  <c r="AI11" i="53"/>
  <c r="AH11" i="53"/>
  <c r="AA5" i="53"/>
  <c r="X5" i="53"/>
  <c r="S5" i="53"/>
  <c r="R5" i="53"/>
  <c r="L5" i="53"/>
  <c r="J5" i="53"/>
  <c r="AG4" i="53"/>
  <c r="K4" i="53"/>
  <c r="E4" i="53"/>
  <c r="H4" i="53" s="1"/>
  <c r="B4" i="53"/>
  <c r="S243" i="53" s="1"/>
  <c r="AG2" i="53"/>
  <c r="AD111" i="52"/>
  <c r="AC111" i="52"/>
  <c r="AA111" i="52"/>
  <c r="Y111" i="52"/>
  <c r="X111" i="52"/>
  <c r="X48" i="52"/>
  <c r="X52" i="52"/>
  <c r="X66" i="52"/>
  <c r="X70" i="52"/>
  <c r="W111" i="52"/>
  <c r="N231" i="54" l="1"/>
  <c r="L267" i="54"/>
  <c r="L226" i="54"/>
  <c r="K108" i="54"/>
  <c r="AF87" i="53"/>
  <c r="AF89" i="53" s="1"/>
  <c r="AE87" i="53"/>
  <c r="AE89" i="53" s="1"/>
  <c r="AD98" i="53"/>
  <c r="AD87" i="53"/>
  <c r="AD89" i="53" s="1"/>
  <c r="AC87" i="53"/>
  <c r="AC89" i="53" s="1"/>
  <c r="AB5" i="53"/>
  <c r="AA87" i="53"/>
  <c r="AA89" i="53" s="1"/>
  <c r="Z5" i="53"/>
  <c r="Y5" i="53"/>
  <c r="Y87" i="53"/>
  <c r="Y89" i="53" s="1"/>
  <c r="X87" i="53"/>
  <c r="X89" i="53" s="1"/>
  <c r="W87" i="53"/>
  <c r="W89" i="53" s="1"/>
  <c r="U5" i="53"/>
  <c r="V87" i="53"/>
  <c r="V89" i="53" s="1"/>
  <c r="T5" i="53"/>
  <c r="U87" i="53"/>
  <c r="U89" i="53" s="1"/>
  <c r="T87" i="53"/>
  <c r="T89" i="53" s="1"/>
  <c r="S87" i="53"/>
  <c r="S89" i="53" s="1"/>
  <c r="Q5" i="53"/>
  <c r="R87" i="53"/>
  <c r="R89" i="53" s="1"/>
  <c r="AJ246" i="53" s="1"/>
  <c r="P5" i="53"/>
  <c r="P87" i="53"/>
  <c r="P89" i="53" s="1"/>
  <c r="Q87" i="53"/>
  <c r="Q89" i="53" s="1"/>
  <c r="O87" i="53"/>
  <c r="O89" i="53" s="1"/>
  <c r="M5" i="53"/>
  <c r="N87" i="53"/>
  <c r="N89" i="53" s="1"/>
  <c r="M87" i="53"/>
  <c r="M89" i="53" s="1"/>
  <c r="K5" i="53"/>
  <c r="AH70" i="53"/>
  <c r="AI70" i="53"/>
  <c r="L87" i="53"/>
  <c r="L89" i="53" s="1"/>
  <c r="AD246" i="53" s="1"/>
  <c r="I5" i="53"/>
  <c r="H5" i="53"/>
  <c r="I87" i="53"/>
  <c r="I89" i="53" s="1"/>
  <c r="I7" i="53" s="1"/>
  <c r="J87" i="53"/>
  <c r="J89" i="53" s="1"/>
  <c r="J90" i="53" s="1"/>
  <c r="H87" i="53"/>
  <c r="H89" i="53" s="1"/>
  <c r="Z246" i="53" s="1"/>
  <c r="E5" i="53"/>
  <c r="F87" i="53"/>
  <c r="F89" i="53" s="1"/>
  <c r="F7" i="53" s="1"/>
  <c r="G87" i="53"/>
  <c r="G89" i="53" s="1"/>
  <c r="K87" i="53"/>
  <c r="K89" i="53" s="1"/>
  <c r="K90" i="53" s="1"/>
  <c r="E87" i="53"/>
  <c r="E89" i="53" s="1"/>
  <c r="E7" i="53" s="1"/>
  <c r="D5" i="53"/>
  <c r="C5" i="53"/>
  <c r="D87" i="53"/>
  <c r="D89" i="53" s="1"/>
  <c r="V246" i="53" s="1"/>
  <c r="B5" i="53"/>
  <c r="AH66" i="53"/>
  <c r="AI52" i="53"/>
  <c r="C87" i="53"/>
  <c r="C89" i="53" s="1"/>
  <c r="C90" i="53" s="1"/>
  <c r="AF5" i="53"/>
  <c r="B87" i="53"/>
  <c r="B89" i="53" s="1"/>
  <c r="D243" i="53"/>
  <c r="Q90" i="53"/>
  <c r="AI246" i="53"/>
  <c r="Q7" i="53"/>
  <c r="R90" i="53"/>
  <c r="R7" i="53"/>
  <c r="Z90" i="53"/>
  <c r="Z7" i="53"/>
  <c r="AR246" i="53"/>
  <c r="D267" i="53"/>
  <c r="F231" i="53"/>
  <c r="E108" i="53"/>
  <c r="AQ246" i="53"/>
  <c r="Y90" i="53"/>
  <c r="Y7" i="53"/>
  <c r="AC7" i="53"/>
  <c r="AU246" i="53"/>
  <c r="AC90" i="53"/>
  <c r="G226" i="53"/>
  <c r="F108" i="53"/>
  <c r="J229" i="53"/>
  <c r="K229" i="53" s="1"/>
  <c r="L229" i="53" s="1"/>
  <c r="M229" i="53" s="1"/>
  <c r="N229" i="53" s="1"/>
  <c r="O229" i="53" s="1"/>
  <c r="P229" i="53" s="1"/>
  <c r="E90" i="53"/>
  <c r="N7" i="53"/>
  <c r="N90" i="53"/>
  <c r="AF246" i="53"/>
  <c r="V7" i="53"/>
  <c r="V90" i="53"/>
  <c r="AN246" i="53"/>
  <c r="AD7" i="53"/>
  <c r="AD90" i="53"/>
  <c r="AV246" i="53"/>
  <c r="S90" i="53"/>
  <c r="S7" i="53"/>
  <c r="AK246" i="53"/>
  <c r="AA246" i="53"/>
  <c r="AB7" i="53"/>
  <c r="AT246" i="53"/>
  <c r="U90" i="53"/>
  <c r="U7" i="53"/>
  <c r="AM246" i="53"/>
  <c r="AG246" i="53"/>
  <c r="O7" i="53"/>
  <c r="O90" i="53"/>
  <c r="AO246" i="53"/>
  <c r="W7" i="53"/>
  <c r="W90" i="53"/>
  <c r="AW246" i="53"/>
  <c r="AE7" i="53"/>
  <c r="AE90" i="53"/>
  <c r="T90" i="53"/>
  <c r="T7" i="53"/>
  <c r="AL246" i="53"/>
  <c r="M7" i="53"/>
  <c r="AE246" i="53"/>
  <c r="M90" i="53"/>
  <c r="P7" i="53"/>
  <c r="AH246" i="53"/>
  <c r="P90" i="53"/>
  <c r="X7" i="53"/>
  <c r="X90" i="53"/>
  <c r="AP246" i="53"/>
  <c r="AF7" i="53"/>
  <c r="AF90" i="53"/>
  <c r="AX246" i="53"/>
  <c r="AA90" i="53"/>
  <c r="AA7" i="53"/>
  <c r="AS246" i="53"/>
  <c r="D108" i="53"/>
  <c r="AI66" i="53"/>
  <c r="H98" i="53"/>
  <c r="P98" i="53"/>
  <c r="X98" i="53"/>
  <c r="AF98" i="53"/>
  <c r="C267" i="53"/>
  <c r="AH82" i="53"/>
  <c r="AH48" i="53"/>
  <c r="AH52" i="53"/>
  <c r="AI82" i="53"/>
  <c r="F5" i="53"/>
  <c r="N5" i="53"/>
  <c r="V5" i="53"/>
  <c r="AD5" i="53"/>
  <c r="AI48" i="53"/>
  <c r="B232" i="53"/>
  <c r="E227" i="53"/>
  <c r="L108" i="54" l="1"/>
  <c r="M226" i="54"/>
  <c r="M267" i="54"/>
  <c r="O231" i="54"/>
  <c r="I90" i="53"/>
  <c r="W246" i="53"/>
  <c r="L7" i="53"/>
  <c r="L90" i="53"/>
  <c r="AI98" i="53"/>
  <c r="H7" i="53"/>
  <c r="H90" i="53"/>
  <c r="AB246" i="53"/>
  <c r="J7" i="53"/>
  <c r="B241" i="53"/>
  <c r="AC246" i="53"/>
  <c r="K7" i="53"/>
  <c r="F90" i="53"/>
  <c r="X246" i="53"/>
  <c r="G7" i="53"/>
  <c r="C241" i="53"/>
  <c r="Y246" i="53"/>
  <c r="G90" i="53"/>
  <c r="D7" i="53"/>
  <c r="D90" i="53"/>
  <c r="U246" i="53"/>
  <c r="C7" i="53"/>
  <c r="AI87" i="53"/>
  <c r="AH87" i="53"/>
  <c r="AH98" i="53"/>
  <c r="H226" i="53"/>
  <c r="B90" i="53"/>
  <c r="AI89" i="53"/>
  <c r="AH89" i="53"/>
  <c r="B7" i="53"/>
  <c r="T246" i="53"/>
  <c r="E232" i="53"/>
  <c r="F227" i="53"/>
  <c r="E267" i="53"/>
  <c r="G231" i="53"/>
  <c r="P231" i="54" l="1"/>
  <c r="O267" i="54" s="1"/>
  <c r="N267" i="54"/>
  <c r="N226" i="54"/>
  <c r="M108" i="54"/>
  <c r="K6" i="53"/>
  <c r="A7" i="53"/>
  <c r="AI90" i="53"/>
  <c r="AH90" i="53"/>
  <c r="G227" i="53"/>
  <c r="F232" i="53"/>
  <c r="F267" i="53"/>
  <c r="H231" i="53"/>
  <c r="G108" i="53"/>
  <c r="I226" i="53"/>
  <c r="O226" i="54" l="1"/>
  <c r="N108" i="54"/>
  <c r="H227" i="53"/>
  <c r="G232" i="53"/>
  <c r="I108" i="53"/>
  <c r="J226" i="53"/>
  <c r="G267" i="53"/>
  <c r="I231" i="53"/>
  <c r="H108" i="53"/>
  <c r="V111" i="52"/>
  <c r="U48" i="52"/>
  <c r="V48" i="52"/>
  <c r="U52" i="52"/>
  <c r="V52" i="52"/>
  <c r="U66" i="52"/>
  <c r="V66" i="52"/>
  <c r="U70" i="52"/>
  <c r="U87" i="52" s="1"/>
  <c r="U89" i="52" s="1"/>
  <c r="U90" i="52" s="1"/>
  <c r="V70" i="52"/>
  <c r="U82" i="52"/>
  <c r="V82" i="52"/>
  <c r="V98" i="52" s="1"/>
  <c r="U98" i="52"/>
  <c r="U108" i="52"/>
  <c r="V108" i="52"/>
  <c r="S111" i="52"/>
  <c r="S48" i="52"/>
  <c r="S52" i="52"/>
  <c r="S66" i="52"/>
  <c r="P226" i="54" l="1"/>
  <c r="O108" i="54"/>
  <c r="J108" i="53"/>
  <c r="K226" i="53"/>
  <c r="I227" i="53"/>
  <c r="H232" i="53"/>
  <c r="H267" i="53"/>
  <c r="J231" i="53"/>
  <c r="V87" i="52"/>
  <c r="V89" i="52" s="1"/>
  <c r="V90" i="52" s="1"/>
  <c r="AH108" i="54" l="1"/>
  <c r="AI108" i="54"/>
  <c r="J227" i="53"/>
  <c r="K108" i="53"/>
  <c r="L226" i="53"/>
  <c r="K231" i="53"/>
  <c r="I267" i="53"/>
  <c r="L231" i="53" l="1"/>
  <c r="J267" i="53"/>
  <c r="M226" i="53"/>
  <c r="L108" i="53"/>
  <c r="K227" i="53"/>
  <c r="N226" i="53" l="1"/>
  <c r="L227" i="53"/>
  <c r="M231" i="53"/>
  <c r="K267" i="53"/>
  <c r="L267" i="53" l="1"/>
  <c r="N231" i="53"/>
  <c r="M227" i="53"/>
  <c r="M108" i="53"/>
  <c r="O226" i="53"/>
  <c r="N108" i="53"/>
  <c r="N227" i="53" l="1"/>
  <c r="M267" i="53"/>
  <c r="O231" i="53"/>
  <c r="P226" i="53"/>
  <c r="O108" i="53"/>
  <c r="N267" i="53" l="1"/>
  <c r="P231" i="53"/>
  <c r="O267" i="53" s="1"/>
  <c r="AH108" i="53"/>
  <c r="AI108" i="53"/>
  <c r="O227" i="53"/>
  <c r="P227" i="53" l="1"/>
  <c r="J48" i="52" l="1"/>
  <c r="B108" i="52"/>
  <c r="B82" i="52"/>
  <c r="B98" i="52" s="1"/>
  <c r="B70" i="52"/>
  <c r="B66" i="52"/>
  <c r="B52" i="52"/>
  <c r="B48" i="52"/>
  <c r="AF271" i="52"/>
  <c r="AE271" i="52"/>
  <c r="AD271" i="52"/>
  <c r="AC271" i="52"/>
  <c r="AB271" i="52"/>
  <c r="AA271" i="52"/>
  <c r="Z271" i="52"/>
  <c r="Y271" i="52"/>
  <c r="X271" i="52"/>
  <c r="W271" i="52"/>
  <c r="V271" i="52"/>
  <c r="U271" i="52"/>
  <c r="T271" i="52"/>
  <c r="S271" i="52"/>
  <c r="R271" i="52"/>
  <c r="Q271" i="52"/>
  <c r="P271" i="52"/>
  <c r="O271" i="52"/>
  <c r="N271" i="52"/>
  <c r="M271" i="52"/>
  <c r="L271" i="52"/>
  <c r="K271" i="52"/>
  <c r="J271" i="52"/>
  <c r="I271" i="52"/>
  <c r="H271" i="52"/>
  <c r="G271" i="52"/>
  <c r="F271" i="52"/>
  <c r="E271" i="52"/>
  <c r="D271" i="52"/>
  <c r="C271" i="52"/>
  <c r="B271" i="52"/>
  <c r="A271" i="52"/>
  <c r="AF270" i="52"/>
  <c r="AE270" i="52"/>
  <c r="AD270" i="52"/>
  <c r="AC270" i="52"/>
  <c r="AB270" i="52"/>
  <c r="AA270" i="52"/>
  <c r="Z270" i="52"/>
  <c r="Y270" i="52"/>
  <c r="X270" i="52"/>
  <c r="W270" i="52"/>
  <c r="V270" i="52"/>
  <c r="U270" i="52"/>
  <c r="T270" i="52"/>
  <c r="S270" i="52"/>
  <c r="R270" i="52"/>
  <c r="Q270" i="52"/>
  <c r="P270" i="52"/>
  <c r="O270" i="52"/>
  <c r="N270" i="52"/>
  <c r="M270" i="52"/>
  <c r="L270" i="52"/>
  <c r="K270" i="52"/>
  <c r="J270" i="52"/>
  <c r="I270" i="52"/>
  <c r="H270" i="52"/>
  <c r="G270" i="52"/>
  <c r="F270" i="52"/>
  <c r="E270" i="52"/>
  <c r="D270" i="52"/>
  <c r="C270" i="52"/>
  <c r="B270" i="52"/>
  <c r="A270" i="52"/>
  <c r="AF269" i="52"/>
  <c r="AE269" i="52"/>
  <c r="AD269" i="52"/>
  <c r="AC269" i="52"/>
  <c r="AB269" i="52"/>
  <c r="AA269" i="52"/>
  <c r="Z269" i="52"/>
  <c r="Y269" i="52"/>
  <c r="X269" i="52"/>
  <c r="W269" i="52"/>
  <c r="V269" i="52"/>
  <c r="U269" i="52"/>
  <c r="T269" i="52"/>
  <c r="S269" i="52"/>
  <c r="R269" i="52"/>
  <c r="Q269" i="52"/>
  <c r="P269" i="52"/>
  <c r="O269" i="52"/>
  <c r="N269" i="52"/>
  <c r="M269" i="52"/>
  <c r="L269" i="52"/>
  <c r="K269" i="52"/>
  <c r="J269" i="52"/>
  <c r="I269" i="52"/>
  <c r="H269" i="52"/>
  <c r="G269" i="52"/>
  <c r="F269" i="52"/>
  <c r="E269" i="52"/>
  <c r="D269" i="52"/>
  <c r="C269" i="52"/>
  <c r="B269" i="52"/>
  <c r="A269" i="52"/>
  <c r="AF268" i="52"/>
  <c r="AE268" i="52"/>
  <c r="AD268" i="52"/>
  <c r="AC268" i="52"/>
  <c r="AB268" i="52"/>
  <c r="AA268" i="52"/>
  <c r="Z268" i="52"/>
  <c r="Y268" i="52"/>
  <c r="X268" i="52"/>
  <c r="W268" i="52"/>
  <c r="V268" i="52"/>
  <c r="U268" i="52"/>
  <c r="T268" i="52"/>
  <c r="S268" i="52"/>
  <c r="R268" i="52"/>
  <c r="Q268" i="52"/>
  <c r="P268" i="52"/>
  <c r="O268" i="52"/>
  <c r="N268" i="52"/>
  <c r="M268" i="52"/>
  <c r="L268" i="52"/>
  <c r="K268" i="52"/>
  <c r="J268" i="52"/>
  <c r="I268" i="52"/>
  <c r="H268" i="52"/>
  <c r="G268" i="52"/>
  <c r="F268" i="52"/>
  <c r="E268" i="52"/>
  <c r="D268" i="52"/>
  <c r="C268" i="52"/>
  <c r="B268" i="52"/>
  <c r="A268" i="52"/>
  <c r="AE267" i="52"/>
  <c r="AD267" i="52"/>
  <c r="AC267" i="52"/>
  <c r="AB267" i="52"/>
  <c r="AA267" i="52"/>
  <c r="Z267" i="52"/>
  <c r="Y267" i="52"/>
  <c r="X267" i="52"/>
  <c r="W267" i="52"/>
  <c r="V267" i="52"/>
  <c r="U267" i="52"/>
  <c r="T267" i="52"/>
  <c r="S267" i="52"/>
  <c r="R267" i="52"/>
  <c r="Q267" i="52"/>
  <c r="P267" i="52"/>
  <c r="B267" i="52"/>
  <c r="S242" i="52"/>
  <c r="AG232" i="52"/>
  <c r="AF232" i="52"/>
  <c r="AE232" i="52"/>
  <c r="AD232" i="52"/>
  <c r="AC232" i="52"/>
  <c r="AB232" i="52"/>
  <c r="AA232" i="52"/>
  <c r="Z232" i="52"/>
  <c r="Y232" i="52"/>
  <c r="X232" i="52"/>
  <c r="W232" i="52"/>
  <c r="V232" i="52"/>
  <c r="U232" i="52"/>
  <c r="T232" i="52"/>
  <c r="S232" i="52"/>
  <c r="R232" i="52"/>
  <c r="Q232" i="52"/>
  <c r="C232" i="52"/>
  <c r="D231" i="52"/>
  <c r="C267" i="52" s="1"/>
  <c r="B231" i="52"/>
  <c r="AF267" i="52" s="1"/>
  <c r="D230" i="52"/>
  <c r="E230" i="52" s="1"/>
  <c r="F230" i="52" s="1"/>
  <c r="G230" i="52" s="1"/>
  <c r="H230" i="52" s="1"/>
  <c r="I230" i="52" s="1"/>
  <c r="J230" i="52" s="1"/>
  <c r="K230" i="52" s="1"/>
  <c r="L230" i="52" s="1"/>
  <c r="M230" i="52" s="1"/>
  <c r="N230" i="52" s="1"/>
  <c r="O230" i="52" s="1"/>
  <c r="P230" i="52" s="1"/>
  <c r="B230" i="52"/>
  <c r="E229" i="52"/>
  <c r="F229" i="52" s="1"/>
  <c r="G229" i="52" s="1"/>
  <c r="H229" i="52" s="1"/>
  <c r="I229" i="52" s="1"/>
  <c r="D229" i="52"/>
  <c r="B229" i="52"/>
  <c r="F228" i="52"/>
  <c r="G228" i="52" s="1"/>
  <c r="H228" i="52" s="1"/>
  <c r="E228" i="52"/>
  <c r="D228" i="52"/>
  <c r="B228" i="52"/>
  <c r="D227" i="52"/>
  <c r="D232" i="52" s="1"/>
  <c r="B227" i="52"/>
  <c r="E226" i="52"/>
  <c r="F226" i="52" s="1"/>
  <c r="D226" i="52"/>
  <c r="B226" i="52"/>
  <c r="B232" i="52" s="1"/>
  <c r="AG224" i="52"/>
  <c r="AF224" i="52"/>
  <c r="AE224" i="52"/>
  <c r="AD224" i="52"/>
  <c r="AC224" i="52"/>
  <c r="AB224" i="52"/>
  <c r="AA224" i="52"/>
  <c r="Z224" i="52"/>
  <c r="Y224" i="52"/>
  <c r="X224" i="52"/>
  <c r="W224" i="52"/>
  <c r="V224" i="52"/>
  <c r="U224" i="52"/>
  <c r="T224" i="52"/>
  <c r="S224" i="52"/>
  <c r="R224" i="52"/>
  <c r="Q224" i="52"/>
  <c r="P224" i="52"/>
  <c r="O224" i="52"/>
  <c r="N224" i="52"/>
  <c r="M224" i="52"/>
  <c r="L224" i="52"/>
  <c r="K224" i="52"/>
  <c r="J224" i="52"/>
  <c r="I224" i="52"/>
  <c r="H224" i="52"/>
  <c r="G224" i="52"/>
  <c r="F224" i="52"/>
  <c r="E224" i="52"/>
  <c r="D224" i="52"/>
  <c r="C224" i="52"/>
  <c r="B224" i="52"/>
  <c r="AI117" i="52"/>
  <c r="AH117" i="52"/>
  <c r="AI116" i="52"/>
  <c r="AH116" i="52"/>
  <c r="AI115" i="52"/>
  <c r="AH115" i="52"/>
  <c r="AI114" i="52"/>
  <c r="AH114" i="52"/>
  <c r="AI113" i="52"/>
  <c r="AH113" i="52"/>
  <c r="AI112" i="52"/>
  <c r="AH112" i="52"/>
  <c r="AI111" i="52"/>
  <c r="AH111" i="52"/>
  <c r="AI110" i="52"/>
  <c r="AH110" i="52"/>
  <c r="AI109" i="52"/>
  <c r="AH109" i="52"/>
  <c r="AF108" i="52"/>
  <c r="AE108" i="52"/>
  <c r="AD108" i="52"/>
  <c r="AC108" i="52"/>
  <c r="AB108" i="52"/>
  <c r="Y108" i="52"/>
  <c r="X108" i="52"/>
  <c r="W108" i="52"/>
  <c r="T108" i="52"/>
  <c r="S108" i="52"/>
  <c r="R108" i="52"/>
  <c r="Q108" i="52"/>
  <c r="C108" i="52"/>
  <c r="AI107" i="52"/>
  <c r="AH107" i="52"/>
  <c r="AI106" i="52"/>
  <c r="AH106" i="52"/>
  <c r="AI105" i="52"/>
  <c r="AH105" i="52"/>
  <c r="AI104" i="52"/>
  <c r="AH104" i="52"/>
  <c r="AI103" i="52"/>
  <c r="AH103" i="52"/>
  <c r="AI102" i="52"/>
  <c r="AH102" i="52"/>
  <c r="AI101" i="52"/>
  <c r="AH101" i="52"/>
  <c r="AI100" i="52"/>
  <c r="AH100" i="52"/>
  <c r="AI99" i="52"/>
  <c r="AH99" i="52"/>
  <c r="AI97" i="52"/>
  <c r="AH97" i="52"/>
  <c r="AI96" i="52"/>
  <c r="AH96" i="52"/>
  <c r="AI95" i="52"/>
  <c r="AH95" i="52"/>
  <c r="AI94" i="52"/>
  <c r="AH94" i="52"/>
  <c r="AI93" i="52"/>
  <c r="AH93" i="52"/>
  <c r="AI92" i="52"/>
  <c r="AH92" i="52"/>
  <c r="AI91" i="52"/>
  <c r="AH91" i="52"/>
  <c r="AI88" i="52"/>
  <c r="AH88" i="52"/>
  <c r="AI86" i="52"/>
  <c r="AH86" i="52"/>
  <c r="AG86" i="52"/>
  <c r="AG89" i="52" s="1"/>
  <c r="AI85" i="52"/>
  <c r="AH85" i="52"/>
  <c r="AI84" i="52"/>
  <c r="AH84" i="52"/>
  <c r="AI83" i="52"/>
  <c r="AH83" i="52"/>
  <c r="AN82" i="52"/>
  <c r="AG82" i="52"/>
  <c r="AF82" i="52"/>
  <c r="AF98" i="52" s="1"/>
  <c r="AE82" i="52"/>
  <c r="AD5" i="52" s="1"/>
  <c r="AD82" i="52"/>
  <c r="AD98" i="52" s="1"/>
  <c r="AC82" i="52"/>
  <c r="AC98" i="52" s="1"/>
  <c r="AB82" i="52"/>
  <c r="AB98" i="52" s="1"/>
  <c r="Y82" i="52"/>
  <c r="Y98" i="52" s="1"/>
  <c r="X82" i="52"/>
  <c r="X98" i="52" s="1"/>
  <c r="W82" i="52"/>
  <c r="V5" i="52" s="1"/>
  <c r="T82" i="52"/>
  <c r="T98" i="52" s="1"/>
  <c r="S82" i="52"/>
  <c r="S98" i="52" s="1"/>
  <c r="R82" i="52"/>
  <c r="R98" i="52" s="1"/>
  <c r="Q82" i="52"/>
  <c r="Q98" i="52" s="1"/>
  <c r="P82" i="52"/>
  <c r="P98" i="52" s="1"/>
  <c r="O82" i="52"/>
  <c r="N5" i="52" s="1"/>
  <c r="N82" i="52"/>
  <c r="M5" i="52" s="1"/>
  <c r="M82" i="52"/>
  <c r="M98" i="52" s="1"/>
  <c r="L82" i="52"/>
  <c r="L98" i="52" s="1"/>
  <c r="K82" i="52"/>
  <c r="K98" i="52" s="1"/>
  <c r="J82" i="52"/>
  <c r="J98" i="52" s="1"/>
  <c r="I82" i="52"/>
  <c r="I98" i="52" s="1"/>
  <c r="H82" i="52"/>
  <c r="H98" i="52" s="1"/>
  <c r="G82" i="52"/>
  <c r="F5" i="52" s="1"/>
  <c r="F82" i="52"/>
  <c r="F98" i="52" s="1"/>
  <c r="E82" i="52"/>
  <c r="E98" i="52" s="1"/>
  <c r="D82" i="52"/>
  <c r="D98" i="52" s="1"/>
  <c r="C82" i="52"/>
  <c r="C98" i="52" s="1"/>
  <c r="AI81" i="52"/>
  <c r="AH81" i="52"/>
  <c r="AN80" i="52"/>
  <c r="AI80" i="52"/>
  <c r="AH80" i="52"/>
  <c r="AN79" i="52"/>
  <c r="AN81" i="52" s="1"/>
  <c r="AI79" i="52"/>
  <c r="AH79" i="52"/>
  <c r="AI78" i="52"/>
  <c r="AH78" i="52"/>
  <c r="AI77" i="52"/>
  <c r="AH77" i="52"/>
  <c r="AI76" i="52"/>
  <c r="AH76" i="52"/>
  <c r="AI75" i="52"/>
  <c r="AH75" i="52"/>
  <c r="AI74" i="52"/>
  <c r="AH74" i="52"/>
  <c r="AI73" i="52"/>
  <c r="AH73" i="52"/>
  <c r="AI72" i="52"/>
  <c r="AH72" i="52"/>
  <c r="AI71" i="52"/>
  <c r="AH71" i="52"/>
  <c r="AG70" i="52"/>
  <c r="AF70" i="52"/>
  <c r="AE70" i="52"/>
  <c r="AD70" i="52"/>
  <c r="AC70" i="52"/>
  <c r="AB70" i="52"/>
  <c r="Y70" i="52"/>
  <c r="W70" i="52"/>
  <c r="T70" i="52"/>
  <c r="S70" i="52"/>
  <c r="R70" i="52"/>
  <c r="Q70" i="52"/>
  <c r="P70" i="52"/>
  <c r="O70" i="52"/>
  <c r="N70" i="52"/>
  <c r="M70" i="52"/>
  <c r="L70" i="52"/>
  <c r="AI69" i="52"/>
  <c r="AH69" i="52"/>
  <c r="AI68" i="52"/>
  <c r="AH68" i="52"/>
  <c r="AI67" i="52"/>
  <c r="AH67" i="52"/>
  <c r="AG66" i="52"/>
  <c r="AG3" i="52" s="1"/>
  <c r="AF66" i="52"/>
  <c r="AE66" i="52"/>
  <c r="AD66" i="52"/>
  <c r="AC66" i="52"/>
  <c r="AB66" i="52"/>
  <c r="Y66" i="52"/>
  <c r="W66" i="52"/>
  <c r="T66" i="52"/>
  <c r="R66" i="52"/>
  <c r="Q66" i="52"/>
  <c r="P66" i="52"/>
  <c r="O66" i="52"/>
  <c r="N66" i="52"/>
  <c r="M66" i="52"/>
  <c r="L66" i="52"/>
  <c r="K66" i="52"/>
  <c r="J66" i="52"/>
  <c r="I66" i="52"/>
  <c r="H66" i="52"/>
  <c r="G66" i="52"/>
  <c r="F66" i="52"/>
  <c r="E66" i="52"/>
  <c r="D66" i="52"/>
  <c r="C66" i="52"/>
  <c r="AI65" i="52"/>
  <c r="AH65" i="52"/>
  <c r="AG65" i="52"/>
  <c r="AI64" i="52"/>
  <c r="AH64" i="52"/>
  <c r="AI63" i="52"/>
  <c r="AH63" i="52"/>
  <c r="AI62" i="52"/>
  <c r="AH62" i="52"/>
  <c r="AI61" i="52"/>
  <c r="AH61" i="52"/>
  <c r="AI60" i="52"/>
  <c r="AH60" i="52"/>
  <c r="AI59" i="52"/>
  <c r="AH59" i="52"/>
  <c r="AI58" i="52"/>
  <c r="AH58" i="52"/>
  <c r="AI57" i="52"/>
  <c r="AH57" i="52"/>
  <c r="AI56" i="52"/>
  <c r="AH56" i="52"/>
  <c r="AI55" i="52"/>
  <c r="AH55" i="52"/>
  <c r="AI54" i="52"/>
  <c r="AH54" i="52"/>
  <c r="AI53" i="52"/>
  <c r="AH53" i="52"/>
  <c r="AG52" i="52"/>
  <c r="AF52" i="52"/>
  <c r="AE52" i="52"/>
  <c r="AD52" i="52"/>
  <c r="AC52" i="52"/>
  <c r="AB52" i="52"/>
  <c r="Y52" i="52"/>
  <c r="W52" i="52"/>
  <c r="T52" i="52"/>
  <c r="R52" i="52"/>
  <c r="Q52" i="52"/>
  <c r="P52" i="52"/>
  <c r="O52" i="52"/>
  <c r="N52" i="52"/>
  <c r="M52" i="52"/>
  <c r="L52" i="52"/>
  <c r="K52" i="52"/>
  <c r="J52" i="52"/>
  <c r="I52" i="52"/>
  <c r="H52" i="52"/>
  <c r="G52" i="52"/>
  <c r="F52" i="52"/>
  <c r="E52" i="52"/>
  <c r="D52" i="52"/>
  <c r="C52" i="52"/>
  <c r="AI51" i="52"/>
  <c r="AH51" i="52"/>
  <c r="AI50" i="52"/>
  <c r="AH50" i="52"/>
  <c r="AI49" i="52"/>
  <c r="AH49" i="52"/>
  <c r="AG48" i="52"/>
  <c r="AG87" i="52" s="1"/>
  <c r="AF48" i="52"/>
  <c r="AE48" i="52"/>
  <c r="AD48" i="52"/>
  <c r="AC48" i="52"/>
  <c r="AB48" i="52"/>
  <c r="Y48" i="52"/>
  <c r="W48" i="52"/>
  <c r="T48" i="52"/>
  <c r="R48" i="52"/>
  <c r="Q48" i="52"/>
  <c r="P48" i="52"/>
  <c r="O48" i="52"/>
  <c r="N48" i="52"/>
  <c r="M48" i="52"/>
  <c r="L48" i="52"/>
  <c r="K48" i="52"/>
  <c r="I48" i="52"/>
  <c r="H48" i="52"/>
  <c r="G48" i="52"/>
  <c r="F48" i="52"/>
  <c r="E48" i="52"/>
  <c r="D48" i="52"/>
  <c r="C48" i="52"/>
  <c r="AI47" i="52"/>
  <c r="AH47" i="52"/>
  <c r="AI46" i="52"/>
  <c r="AH46" i="52"/>
  <c r="AI45" i="52"/>
  <c r="AH45" i="52"/>
  <c r="AI44" i="52"/>
  <c r="AH44" i="52"/>
  <c r="AI43" i="52"/>
  <c r="AH43" i="52"/>
  <c r="AI42" i="52"/>
  <c r="AH42" i="52"/>
  <c r="AI41" i="52"/>
  <c r="AH41" i="52"/>
  <c r="AI40" i="52"/>
  <c r="AH40" i="52"/>
  <c r="AI39" i="52"/>
  <c r="AH39" i="52"/>
  <c r="AI38" i="52"/>
  <c r="AH38" i="52"/>
  <c r="AI37" i="52"/>
  <c r="AH37" i="52"/>
  <c r="AI36" i="52"/>
  <c r="AH36" i="52"/>
  <c r="AI35" i="52"/>
  <c r="AH35" i="52"/>
  <c r="AI34" i="52"/>
  <c r="AH34" i="52"/>
  <c r="AI33" i="52"/>
  <c r="AH33" i="52"/>
  <c r="AI32" i="52"/>
  <c r="AH32" i="52"/>
  <c r="AI31" i="52"/>
  <c r="AH31" i="52"/>
  <c r="AI30" i="52"/>
  <c r="AH30" i="52"/>
  <c r="AI29" i="52"/>
  <c r="AH29" i="52"/>
  <c r="AI28" i="52"/>
  <c r="AH28" i="52"/>
  <c r="AI27" i="52"/>
  <c r="AH27" i="52"/>
  <c r="AI26" i="52"/>
  <c r="AH26" i="52"/>
  <c r="AI25" i="52"/>
  <c r="AH25" i="52"/>
  <c r="AI24" i="52"/>
  <c r="AH24" i="52"/>
  <c r="AI23" i="52"/>
  <c r="AH23" i="52"/>
  <c r="AI22" i="52"/>
  <c r="AH22" i="52"/>
  <c r="AI21" i="52"/>
  <c r="AH21" i="52"/>
  <c r="AI20" i="52"/>
  <c r="AH20" i="52"/>
  <c r="AI19" i="52"/>
  <c r="AH19" i="52"/>
  <c r="AI18" i="52"/>
  <c r="AH18" i="52"/>
  <c r="AI17" i="52"/>
  <c r="AH17" i="52"/>
  <c r="AI16" i="52"/>
  <c r="AH16" i="52"/>
  <c r="AI15" i="52"/>
  <c r="AH15" i="52"/>
  <c r="AI14" i="52"/>
  <c r="AH14" i="52"/>
  <c r="AI13" i="52"/>
  <c r="AH13" i="52"/>
  <c r="AI12" i="52"/>
  <c r="AH12" i="52"/>
  <c r="AI11" i="52"/>
  <c r="AH11" i="52"/>
  <c r="Z5" i="52"/>
  <c r="Y5" i="52"/>
  <c r="U5" i="52"/>
  <c r="T5" i="52"/>
  <c r="R5" i="52"/>
  <c r="AG4" i="52"/>
  <c r="K4" i="52"/>
  <c r="E4" i="52"/>
  <c r="H4" i="52" s="1"/>
  <c r="B4" i="52"/>
  <c r="S243" i="52" s="1"/>
  <c r="AG2" i="52"/>
  <c r="AG6" i="52" s="1"/>
  <c r="AE5" i="52" l="1"/>
  <c r="AF87" i="52"/>
  <c r="AF89" i="52" s="1"/>
  <c r="AX246" i="52" s="1"/>
  <c r="AE87" i="52"/>
  <c r="AE89" i="52" s="1"/>
  <c r="AE90" i="52" s="1"/>
  <c r="AC5" i="52"/>
  <c r="AD87" i="52"/>
  <c r="AD89" i="52" s="1"/>
  <c r="AV246" i="52" s="1"/>
  <c r="AC87" i="52"/>
  <c r="AC89" i="52" s="1"/>
  <c r="AC7" i="52" s="1"/>
  <c r="AB5" i="52"/>
  <c r="AA5" i="52"/>
  <c r="AB87" i="52"/>
  <c r="AB89" i="52" s="1"/>
  <c r="AB90" i="52" s="1"/>
  <c r="X5" i="52"/>
  <c r="AI70" i="52"/>
  <c r="Y87" i="52"/>
  <c r="Y89" i="52" s="1"/>
  <c r="AQ246" i="52" s="1"/>
  <c r="W5" i="52"/>
  <c r="X87" i="52"/>
  <c r="X89" i="52" s="1"/>
  <c r="AP246" i="52" s="1"/>
  <c r="W87" i="52"/>
  <c r="W89" i="52" s="1"/>
  <c r="S5" i="52"/>
  <c r="T87" i="52"/>
  <c r="T89" i="52" s="1"/>
  <c r="S87" i="52"/>
  <c r="S89" i="52" s="1"/>
  <c r="AK246" i="52" s="1"/>
  <c r="Q5" i="52"/>
  <c r="R87" i="52"/>
  <c r="R89" i="52" s="1"/>
  <c r="R90" i="52" s="1"/>
  <c r="P5" i="52"/>
  <c r="O5" i="52"/>
  <c r="Q87" i="52"/>
  <c r="Q89" i="52" s="1"/>
  <c r="AI246" i="52" s="1"/>
  <c r="P87" i="52"/>
  <c r="P89" i="52" s="1"/>
  <c r="AH246" i="52" s="1"/>
  <c r="AH70" i="52"/>
  <c r="O87" i="52"/>
  <c r="O89" i="52" s="1"/>
  <c r="O90" i="52" s="1"/>
  <c r="N98" i="52"/>
  <c r="N87" i="52"/>
  <c r="N89" i="52" s="1"/>
  <c r="AF246" i="52" s="1"/>
  <c r="L5" i="52"/>
  <c r="M87" i="52"/>
  <c r="M89" i="52" s="1"/>
  <c r="M90" i="52" s="1"/>
  <c r="K5" i="52"/>
  <c r="L87" i="52"/>
  <c r="L89" i="52" s="1"/>
  <c r="AD246" i="52" s="1"/>
  <c r="J5" i="52"/>
  <c r="K87" i="52"/>
  <c r="K89" i="52" s="1"/>
  <c r="K90" i="52" s="1"/>
  <c r="I5" i="52"/>
  <c r="J87" i="52"/>
  <c r="J89" i="52" s="1"/>
  <c r="J90" i="52" s="1"/>
  <c r="H5" i="52"/>
  <c r="I87" i="52"/>
  <c r="I89" i="52" s="1"/>
  <c r="I90" i="52" s="1"/>
  <c r="G5" i="52"/>
  <c r="H87" i="52"/>
  <c r="H89" i="52" s="1"/>
  <c r="G87" i="52"/>
  <c r="G89" i="52" s="1"/>
  <c r="G90" i="52" s="1"/>
  <c r="E5" i="52"/>
  <c r="F87" i="52"/>
  <c r="F89" i="52" s="1"/>
  <c r="F7" i="52" s="1"/>
  <c r="AI52" i="52"/>
  <c r="D5" i="52"/>
  <c r="E87" i="52"/>
  <c r="E89" i="52" s="1"/>
  <c r="E90" i="52" s="1"/>
  <c r="C5" i="52"/>
  <c r="AI66" i="52"/>
  <c r="D87" i="52"/>
  <c r="D89" i="52" s="1"/>
  <c r="V246" i="52" s="1"/>
  <c r="B5" i="52"/>
  <c r="C87" i="52"/>
  <c r="C89" i="52" s="1"/>
  <c r="U246" i="52" s="1"/>
  <c r="B87" i="52"/>
  <c r="B89" i="52" s="1"/>
  <c r="B90" i="52" s="1"/>
  <c r="AF5" i="52"/>
  <c r="AA7" i="52"/>
  <c r="AS246" i="52"/>
  <c r="V7" i="52"/>
  <c r="AN246" i="52"/>
  <c r="T90" i="52"/>
  <c r="T7" i="52"/>
  <c r="AL246" i="52"/>
  <c r="U7" i="52"/>
  <c r="AM246" i="52"/>
  <c r="AO246" i="52"/>
  <c r="W7" i="52"/>
  <c r="W90" i="52"/>
  <c r="X90" i="52"/>
  <c r="X7" i="52"/>
  <c r="Y90" i="52"/>
  <c r="J7" i="52"/>
  <c r="AB246" i="52"/>
  <c r="Z7" i="52"/>
  <c r="AR246" i="52"/>
  <c r="G226" i="52"/>
  <c r="L90" i="52"/>
  <c r="L7" i="52"/>
  <c r="J229" i="52"/>
  <c r="K229" i="52" s="1"/>
  <c r="L229" i="52" s="1"/>
  <c r="M229" i="52" s="1"/>
  <c r="N229" i="52" s="1"/>
  <c r="O229" i="52" s="1"/>
  <c r="P229" i="52" s="1"/>
  <c r="D243" i="52"/>
  <c r="AH66" i="52"/>
  <c r="G98" i="52"/>
  <c r="O98" i="52"/>
  <c r="W98" i="52"/>
  <c r="AE98" i="52"/>
  <c r="D108" i="52"/>
  <c r="E227" i="52"/>
  <c r="E231" i="52"/>
  <c r="AH82" i="52"/>
  <c r="AH48" i="52"/>
  <c r="AH52" i="52"/>
  <c r="AI82" i="52"/>
  <c r="AI48" i="52"/>
  <c r="AE7" i="52" l="1"/>
  <c r="AW246" i="52"/>
  <c r="AC90" i="52"/>
  <c r="AF90" i="52"/>
  <c r="AF7" i="52"/>
  <c r="AU246" i="52"/>
  <c r="AD7" i="52"/>
  <c r="AD90" i="52"/>
  <c r="AB7" i="52"/>
  <c r="AT246" i="52"/>
  <c r="Y7" i="52"/>
  <c r="AI98" i="52"/>
  <c r="S7" i="52"/>
  <c r="S90" i="52"/>
  <c r="AJ246" i="52"/>
  <c r="R7" i="52"/>
  <c r="Q7" i="52"/>
  <c r="P7" i="52"/>
  <c r="O7" i="52"/>
  <c r="AG246" i="52"/>
  <c r="Q90" i="52"/>
  <c r="P90" i="52"/>
  <c r="AH98" i="52"/>
  <c r="N7" i="52"/>
  <c r="N90" i="52"/>
  <c r="M7" i="52"/>
  <c r="AE246" i="52"/>
  <c r="AC246" i="52"/>
  <c r="K7" i="52"/>
  <c r="Y246" i="52"/>
  <c r="AA246" i="52"/>
  <c r="I7" i="52"/>
  <c r="C241" i="52"/>
  <c r="B241" i="52"/>
  <c r="E7" i="52"/>
  <c r="G7" i="52"/>
  <c r="H7" i="52"/>
  <c r="H90" i="52"/>
  <c r="Z246" i="52"/>
  <c r="X246" i="52"/>
  <c r="F90" i="52"/>
  <c r="W246" i="52"/>
  <c r="D90" i="52"/>
  <c r="D7" i="52"/>
  <c r="C90" i="52"/>
  <c r="AI87" i="52"/>
  <c r="AH87" i="52"/>
  <c r="C7" i="52"/>
  <c r="AI89" i="52"/>
  <c r="AH89" i="52"/>
  <c r="B7" i="52"/>
  <c r="T246" i="52"/>
  <c r="D267" i="52"/>
  <c r="F231" i="52"/>
  <c r="E108" i="52"/>
  <c r="H226" i="52"/>
  <c r="E232" i="52"/>
  <c r="F227" i="52"/>
  <c r="K6" i="52" l="1"/>
  <c r="A7" i="52"/>
  <c r="G227" i="52"/>
  <c r="F232" i="52"/>
  <c r="I226" i="52"/>
  <c r="AI90" i="52"/>
  <c r="AH90" i="52"/>
  <c r="E267" i="52"/>
  <c r="G231" i="52"/>
  <c r="F108" i="52"/>
  <c r="H227" i="52" l="1"/>
  <c r="G232" i="52"/>
  <c r="J226" i="52"/>
  <c r="F267" i="52"/>
  <c r="H231" i="52"/>
  <c r="G108" i="52"/>
  <c r="G267" i="52" l="1"/>
  <c r="I231" i="52"/>
  <c r="H108" i="52"/>
  <c r="K226" i="52"/>
  <c r="I227" i="52"/>
  <c r="H232" i="52"/>
  <c r="J227" i="52" l="1"/>
  <c r="L226" i="52"/>
  <c r="H267" i="52"/>
  <c r="J231" i="52"/>
  <c r="I108" i="52"/>
  <c r="AA111" i="51"/>
  <c r="AA48" i="51"/>
  <c r="AA52" i="51"/>
  <c r="AA66" i="51"/>
  <c r="AA70" i="51"/>
  <c r="AA82" i="51"/>
  <c r="AA98" i="51" s="1"/>
  <c r="AA108" i="51"/>
  <c r="Y48" i="51"/>
  <c r="Y52" i="51"/>
  <c r="Y66" i="51"/>
  <c r="Y70" i="51"/>
  <c r="Y82" i="51"/>
  <c r="Y98" i="51" s="1"/>
  <c r="Y111" i="51"/>
  <c r="Y108" i="51" s="1"/>
  <c r="X48" i="51"/>
  <c r="X52" i="51"/>
  <c r="X66" i="51"/>
  <c r="X70" i="51"/>
  <c r="X82" i="51"/>
  <c r="X98" i="51" s="1"/>
  <c r="X108" i="51"/>
  <c r="X111" i="51"/>
  <c r="W111" i="51"/>
  <c r="W48" i="51"/>
  <c r="W52" i="51"/>
  <c r="V111" i="51"/>
  <c r="V48" i="51"/>
  <c r="U111" i="51"/>
  <c r="U48" i="51"/>
  <c r="U52" i="51"/>
  <c r="U66" i="51"/>
  <c r="U70" i="51"/>
  <c r="U82" i="51"/>
  <c r="T111" i="51"/>
  <c r="M226" i="52" l="1"/>
  <c r="K231" i="52"/>
  <c r="I267" i="52"/>
  <c r="J108" i="52"/>
  <c r="K227" i="52"/>
  <c r="AA87" i="51"/>
  <c r="AA89" i="51" s="1"/>
  <c r="AA90" i="51" s="1"/>
  <c r="Y87" i="51"/>
  <c r="Y89" i="51" s="1"/>
  <c r="Y90" i="51" s="1"/>
  <c r="X87" i="51"/>
  <c r="X89" i="51" s="1"/>
  <c r="X90" i="51" s="1"/>
  <c r="U87" i="51"/>
  <c r="U89" i="51" s="1"/>
  <c r="U90" i="51" s="1"/>
  <c r="L227" i="52" l="1"/>
  <c r="L231" i="52"/>
  <c r="J267" i="52"/>
  <c r="K108" i="52"/>
  <c r="N226" i="52"/>
  <c r="O226" i="52" l="1"/>
  <c r="K267" i="52"/>
  <c r="M231" i="52"/>
  <c r="L108" i="52"/>
  <c r="M227" i="52"/>
  <c r="S111" i="51"/>
  <c r="P111" i="51"/>
  <c r="N227" i="52" l="1"/>
  <c r="L267" i="52"/>
  <c r="N231" i="52"/>
  <c r="M108" i="52"/>
  <c r="P226" i="52"/>
  <c r="C70" i="50"/>
  <c r="D70" i="50"/>
  <c r="E70" i="50"/>
  <c r="F70" i="50"/>
  <c r="G70" i="50"/>
  <c r="H70" i="50"/>
  <c r="I70" i="50"/>
  <c r="J70" i="50"/>
  <c r="K70" i="50"/>
  <c r="C70" i="51"/>
  <c r="D70" i="51"/>
  <c r="E70" i="51"/>
  <c r="F70" i="51"/>
  <c r="G70" i="51"/>
  <c r="H70" i="51"/>
  <c r="I70" i="51"/>
  <c r="J70" i="51"/>
  <c r="K70" i="51"/>
  <c r="L70" i="51"/>
  <c r="AF271" i="51"/>
  <c r="AE271" i="51"/>
  <c r="AD271" i="51"/>
  <c r="AC271" i="51"/>
  <c r="AB271" i="51"/>
  <c r="AA271" i="51"/>
  <c r="Z271" i="51"/>
  <c r="Y271" i="51"/>
  <c r="X271" i="51"/>
  <c r="W271" i="51"/>
  <c r="V271" i="51"/>
  <c r="U271" i="51"/>
  <c r="T271" i="51"/>
  <c r="S271" i="51"/>
  <c r="R271" i="51"/>
  <c r="Q271" i="51"/>
  <c r="P271" i="51"/>
  <c r="O271" i="51"/>
  <c r="N271" i="51"/>
  <c r="M271" i="51"/>
  <c r="L271" i="51"/>
  <c r="K271" i="51"/>
  <c r="J271" i="51"/>
  <c r="I271" i="51"/>
  <c r="H271" i="51"/>
  <c r="G271" i="51"/>
  <c r="F271" i="51"/>
  <c r="E271" i="51"/>
  <c r="D271" i="51"/>
  <c r="C271" i="51"/>
  <c r="B271" i="51"/>
  <c r="A271" i="51"/>
  <c r="AF270" i="51"/>
  <c r="AE270" i="51"/>
  <c r="AD270" i="51"/>
  <c r="AC270" i="51"/>
  <c r="AB270" i="51"/>
  <c r="AA270" i="51"/>
  <c r="Z270" i="51"/>
  <c r="Y270" i="51"/>
  <c r="X270" i="51"/>
  <c r="W270" i="51"/>
  <c r="V270" i="51"/>
  <c r="U270" i="51"/>
  <c r="T270" i="51"/>
  <c r="S270" i="51"/>
  <c r="R270" i="51"/>
  <c r="Q270" i="51"/>
  <c r="P270" i="51"/>
  <c r="O270" i="51"/>
  <c r="N270" i="51"/>
  <c r="M270" i="51"/>
  <c r="L270" i="51"/>
  <c r="K270" i="51"/>
  <c r="J270" i="51"/>
  <c r="I270" i="51"/>
  <c r="H270" i="51"/>
  <c r="G270" i="51"/>
  <c r="F270" i="51"/>
  <c r="E270" i="51"/>
  <c r="D270" i="51"/>
  <c r="C270" i="51"/>
  <c r="B270" i="51"/>
  <c r="A270" i="51"/>
  <c r="AF269" i="51"/>
  <c r="AE269" i="51"/>
  <c r="AD269" i="51"/>
  <c r="AC269" i="51"/>
  <c r="AB269" i="51"/>
  <c r="AA269" i="51"/>
  <c r="Z269" i="51"/>
  <c r="Y269" i="51"/>
  <c r="X269" i="51"/>
  <c r="W269" i="51"/>
  <c r="V269" i="51"/>
  <c r="U269" i="51"/>
  <c r="T269" i="51"/>
  <c r="S269" i="51"/>
  <c r="R269" i="51"/>
  <c r="Q269" i="51"/>
  <c r="P269" i="51"/>
  <c r="O269" i="51"/>
  <c r="N269" i="51"/>
  <c r="M269" i="51"/>
  <c r="L269" i="51"/>
  <c r="K269" i="51"/>
  <c r="J269" i="51"/>
  <c r="I269" i="51"/>
  <c r="H269" i="51"/>
  <c r="G269" i="51"/>
  <c r="F269" i="51"/>
  <c r="E269" i="51"/>
  <c r="D269" i="51"/>
  <c r="C269" i="51"/>
  <c r="B269" i="51"/>
  <c r="A269" i="51"/>
  <c r="AF268" i="51"/>
  <c r="AE268" i="51"/>
  <c r="AD268" i="51"/>
  <c r="AC268" i="51"/>
  <c r="AB268" i="51"/>
  <c r="AA268" i="51"/>
  <c r="Z268" i="51"/>
  <c r="Y268" i="51"/>
  <c r="X268" i="51"/>
  <c r="W268" i="51"/>
  <c r="V268" i="51"/>
  <c r="U268" i="51"/>
  <c r="T268" i="51"/>
  <c r="S268" i="51"/>
  <c r="R268" i="51"/>
  <c r="Q268" i="51"/>
  <c r="P268" i="51"/>
  <c r="O268" i="51"/>
  <c r="N268" i="51"/>
  <c r="M268" i="51"/>
  <c r="L268" i="51"/>
  <c r="K268" i="51"/>
  <c r="J268" i="51"/>
  <c r="I268" i="51"/>
  <c r="H268" i="51"/>
  <c r="G268" i="51"/>
  <c r="F268" i="51"/>
  <c r="E268" i="51"/>
  <c r="D268" i="51"/>
  <c r="C268" i="51"/>
  <c r="B268" i="51"/>
  <c r="A268" i="51"/>
  <c r="AE267" i="51"/>
  <c r="AD267" i="51"/>
  <c r="AC267" i="51"/>
  <c r="AB267" i="51"/>
  <c r="AA267" i="51"/>
  <c r="Z267" i="51"/>
  <c r="Y267" i="51"/>
  <c r="X267" i="51"/>
  <c r="W267" i="51"/>
  <c r="V267" i="51"/>
  <c r="U267" i="51"/>
  <c r="T267" i="51"/>
  <c r="S267" i="51"/>
  <c r="R267" i="51"/>
  <c r="Q267" i="51"/>
  <c r="P267" i="51"/>
  <c r="D267" i="51"/>
  <c r="C267" i="51"/>
  <c r="B267" i="51"/>
  <c r="S242" i="51"/>
  <c r="AG232" i="51"/>
  <c r="AG65" i="51" s="1"/>
  <c r="AG66" i="51" s="1"/>
  <c r="AF232" i="51"/>
  <c r="AE232" i="51"/>
  <c r="AD232" i="51"/>
  <c r="AC232" i="51"/>
  <c r="AB232" i="51"/>
  <c r="AA232" i="51"/>
  <c r="Z232" i="51"/>
  <c r="Y232" i="51"/>
  <c r="X232" i="51"/>
  <c r="W232" i="51"/>
  <c r="V232" i="51"/>
  <c r="U232" i="51"/>
  <c r="T232" i="51"/>
  <c r="S232" i="51"/>
  <c r="R232" i="51"/>
  <c r="Q232" i="51"/>
  <c r="C232" i="51"/>
  <c r="G231" i="51"/>
  <c r="H231" i="51" s="1"/>
  <c r="F231" i="51"/>
  <c r="E267" i="51" s="1"/>
  <c r="E231" i="51"/>
  <c r="D231" i="51"/>
  <c r="B231" i="51"/>
  <c r="AF267" i="51" s="1"/>
  <c r="E230" i="51"/>
  <c r="F230" i="51" s="1"/>
  <c r="G230" i="51" s="1"/>
  <c r="H230" i="51" s="1"/>
  <c r="I230" i="51" s="1"/>
  <c r="J230" i="51" s="1"/>
  <c r="K230" i="51" s="1"/>
  <c r="L230" i="51" s="1"/>
  <c r="M230" i="51" s="1"/>
  <c r="N230" i="51" s="1"/>
  <c r="O230" i="51" s="1"/>
  <c r="P230" i="51" s="1"/>
  <c r="D230" i="51"/>
  <c r="B230" i="51"/>
  <c r="D229" i="51"/>
  <c r="E229" i="51" s="1"/>
  <c r="F229" i="51" s="1"/>
  <c r="G229" i="51" s="1"/>
  <c r="H229" i="51" s="1"/>
  <c r="I229" i="51" s="1"/>
  <c r="B229" i="51"/>
  <c r="H228" i="51"/>
  <c r="G228" i="51"/>
  <c r="F228" i="51"/>
  <c r="E228" i="51"/>
  <c r="D228" i="51"/>
  <c r="B228" i="51"/>
  <c r="G227" i="51"/>
  <c r="H227" i="51" s="1"/>
  <c r="I227" i="51" s="1"/>
  <c r="J227" i="51" s="1"/>
  <c r="K227" i="51" s="1"/>
  <c r="L227" i="51" s="1"/>
  <c r="M227" i="51" s="1"/>
  <c r="N227" i="51" s="1"/>
  <c r="O227" i="51" s="1"/>
  <c r="P227" i="51" s="1"/>
  <c r="F227" i="51"/>
  <c r="E227" i="51"/>
  <c r="D227" i="51"/>
  <c r="B227" i="51"/>
  <c r="E226" i="51"/>
  <c r="F226" i="51" s="1"/>
  <c r="D226" i="51"/>
  <c r="D232" i="51" s="1"/>
  <c r="B226" i="51"/>
  <c r="B108" i="51" s="1"/>
  <c r="AG224" i="51"/>
  <c r="AF224" i="51"/>
  <c r="AE224" i="51"/>
  <c r="AD224" i="51"/>
  <c r="AC224" i="51"/>
  <c r="AB224" i="51"/>
  <c r="AA224" i="51"/>
  <c r="Z224" i="51"/>
  <c r="Y224" i="51"/>
  <c r="X224" i="51"/>
  <c r="W224" i="51"/>
  <c r="V224" i="51"/>
  <c r="U224" i="51"/>
  <c r="T224" i="51"/>
  <c r="S224" i="51"/>
  <c r="R224" i="51"/>
  <c r="Q224" i="51"/>
  <c r="P224" i="51"/>
  <c r="O224" i="51"/>
  <c r="N224" i="51"/>
  <c r="M224" i="51"/>
  <c r="L224" i="51"/>
  <c r="K224" i="51"/>
  <c r="J224" i="51"/>
  <c r="I224" i="51"/>
  <c r="H224" i="51"/>
  <c r="G224" i="51"/>
  <c r="F224" i="51"/>
  <c r="E224" i="51"/>
  <c r="D224" i="51"/>
  <c r="C224" i="51"/>
  <c r="B224" i="51"/>
  <c r="AI117" i="51"/>
  <c r="AH117" i="51"/>
  <c r="AI116" i="51"/>
  <c r="AH116" i="51"/>
  <c r="AI115" i="51"/>
  <c r="AH115" i="51"/>
  <c r="AI114" i="51"/>
  <c r="AH114" i="51"/>
  <c r="AI113" i="51"/>
  <c r="AH113" i="51"/>
  <c r="AI112" i="51"/>
  <c r="AH112" i="51"/>
  <c r="AI111" i="51"/>
  <c r="AH111" i="51"/>
  <c r="AI110" i="51"/>
  <c r="AH110" i="51"/>
  <c r="AI109" i="51"/>
  <c r="AH109" i="51"/>
  <c r="AF108" i="51"/>
  <c r="AE108" i="51"/>
  <c r="AD108" i="51"/>
  <c r="AC108" i="51"/>
  <c r="AB108" i="51"/>
  <c r="W108" i="51"/>
  <c r="V108" i="51"/>
  <c r="U108" i="51"/>
  <c r="T108" i="51"/>
  <c r="S108" i="51"/>
  <c r="R108" i="51"/>
  <c r="Q108" i="51"/>
  <c r="E108" i="51"/>
  <c r="C108" i="51"/>
  <c r="AI107" i="51"/>
  <c r="AH107" i="51"/>
  <c r="AI106" i="51"/>
  <c r="AH106" i="51"/>
  <c r="AI105" i="51"/>
  <c r="AH105" i="51"/>
  <c r="AI104" i="51"/>
  <c r="AH104" i="51"/>
  <c r="AI103" i="51"/>
  <c r="AH103" i="51"/>
  <c r="AI102" i="51"/>
  <c r="AH102" i="51"/>
  <c r="AI101" i="51"/>
  <c r="AH101" i="51"/>
  <c r="AI100" i="51"/>
  <c r="AH100" i="51"/>
  <c r="AI99" i="51"/>
  <c r="AH99" i="51"/>
  <c r="U98" i="51"/>
  <c r="AI97" i="51"/>
  <c r="AH97" i="51"/>
  <c r="AI96" i="51"/>
  <c r="AH96" i="51"/>
  <c r="AI95" i="51"/>
  <c r="AH95" i="51"/>
  <c r="AI94" i="51"/>
  <c r="AH94" i="51"/>
  <c r="AI93" i="51"/>
  <c r="AH93" i="51"/>
  <c r="AI92" i="51"/>
  <c r="AH92" i="51"/>
  <c r="AI91" i="51"/>
  <c r="AH91" i="51"/>
  <c r="AI88" i="51"/>
  <c r="AH88" i="51"/>
  <c r="AI86" i="51"/>
  <c r="AH86" i="51"/>
  <c r="AG86" i="51"/>
  <c r="AI85" i="51"/>
  <c r="AH85" i="51"/>
  <c r="AI84" i="51"/>
  <c r="AH84" i="51"/>
  <c r="AI83" i="51"/>
  <c r="AH83" i="51"/>
  <c r="AN82" i="51"/>
  <c r="AG82" i="51"/>
  <c r="AG89" i="51" s="1"/>
  <c r="AF82" i="51"/>
  <c r="AE5" i="51" s="1"/>
  <c r="AE82" i="51"/>
  <c r="AD5" i="51" s="1"/>
  <c r="AD82" i="51"/>
  <c r="AC5" i="51" s="1"/>
  <c r="AC82" i="51"/>
  <c r="AB5" i="51" s="1"/>
  <c r="AB82" i="51"/>
  <c r="AA5" i="51" s="1"/>
  <c r="X5" i="51"/>
  <c r="W5" i="51"/>
  <c r="W82" i="51"/>
  <c r="V5" i="51" s="1"/>
  <c r="V82" i="51"/>
  <c r="U5" i="51" s="1"/>
  <c r="T82" i="51"/>
  <c r="S5" i="51" s="1"/>
  <c r="S82" i="51"/>
  <c r="S98" i="51" s="1"/>
  <c r="R82" i="51"/>
  <c r="Q82" i="51"/>
  <c r="P5" i="51" s="1"/>
  <c r="P82" i="51"/>
  <c r="O5" i="51" s="1"/>
  <c r="O82" i="51"/>
  <c r="N5" i="51" s="1"/>
  <c r="N82" i="51"/>
  <c r="N98" i="51" s="1"/>
  <c r="M82" i="51"/>
  <c r="L5" i="51" s="1"/>
  <c r="L82" i="51"/>
  <c r="K5" i="51" s="1"/>
  <c r="K82" i="51"/>
  <c r="K98" i="51" s="1"/>
  <c r="J82" i="51"/>
  <c r="I82" i="51"/>
  <c r="H5" i="51" s="1"/>
  <c r="H82" i="51"/>
  <c r="G5" i="51" s="1"/>
  <c r="G82" i="51"/>
  <c r="F5" i="51" s="1"/>
  <c r="F82" i="51"/>
  <c r="E5" i="51" s="1"/>
  <c r="E82" i="51"/>
  <c r="D5" i="51" s="1"/>
  <c r="D82" i="51"/>
  <c r="C5" i="51" s="1"/>
  <c r="C82" i="51"/>
  <c r="C98" i="51" s="1"/>
  <c r="B82" i="51"/>
  <c r="AN81" i="51"/>
  <c r="AI81" i="51"/>
  <c r="AH81" i="51"/>
  <c r="AN80" i="51"/>
  <c r="AI80" i="51"/>
  <c r="AH80" i="51"/>
  <c r="AN79" i="51"/>
  <c r="AI79" i="51"/>
  <c r="AH79" i="51"/>
  <c r="AI78" i="51"/>
  <c r="AH78" i="51"/>
  <c r="AI77" i="51"/>
  <c r="AH77" i="51"/>
  <c r="AI76" i="51"/>
  <c r="AH76" i="51"/>
  <c r="AI75" i="51"/>
  <c r="AH75" i="51"/>
  <c r="AI74" i="51"/>
  <c r="AH74" i="51"/>
  <c r="AI73" i="51"/>
  <c r="AH73" i="51"/>
  <c r="AI72" i="51"/>
  <c r="AH72" i="51"/>
  <c r="AI71" i="51"/>
  <c r="AH71" i="51"/>
  <c r="AG70" i="51"/>
  <c r="AF70" i="51"/>
  <c r="AE70" i="51"/>
  <c r="AD70" i="51"/>
  <c r="AC70" i="51"/>
  <c r="AB70" i="51"/>
  <c r="W70" i="51"/>
  <c r="V70" i="51"/>
  <c r="T70" i="51"/>
  <c r="S70" i="51"/>
  <c r="R70" i="51"/>
  <c r="Q70" i="51"/>
  <c r="P70" i="51"/>
  <c r="O70" i="51"/>
  <c r="N70" i="51"/>
  <c r="M70" i="51"/>
  <c r="B70" i="51"/>
  <c r="AI69" i="51"/>
  <c r="AH69" i="51"/>
  <c r="AI68" i="51"/>
  <c r="AH68" i="51"/>
  <c r="AI67" i="51"/>
  <c r="AH67" i="51"/>
  <c r="AF66" i="51"/>
  <c r="AE66" i="51"/>
  <c r="AD66" i="51"/>
  <c r="AC66" i="51"/>
  <c r="AB66" i="51"/>
  <c r="W66" i="51"/>
  <c r="V66" i="51"/>
  <c r="T66" i="51"/>
  <c r="S66" i="51"/>
  <c r="R66" i="51"/>
  <c r="Q66" i="51"/>
  <c r="P66" i="51"/>
  <c r="O66" i="51"/>
  <c r="N66" i="51"/>
  <c r="M66" i="51"/>
  <c r="L66" i="51"/>
  <c r="K66" i="51"/>
  <c r="J66" i="51"/>
  <c r="I66" i="51"/>
  <c r="H66" i="51"/>
  <c r="G66" i="51"/>
  <c r="F66" i="51"/>
  <c r="E66" i="51"/>
  <c r="D66" i="51"/>
  <c r="C66" i="51"/>
  <c r="B66" i="51"/>
  <c r="AI65" i="51"/>
  <c r="AH65" i="51"/>
  <c r="AI64" i="51"/>
  <c r="AH64" i="51"/>
  <c r="AI63" i="51"/>
  <c r="AH63" i="51"/>
  <c r="AI62" i="51"/>
  <c r="AH62" i="51"/>
  <c r="AI61" i="51"/>
  <c r="AH61" i="51"/>
  <c r="AI60" i="51"/>
  <c r="AH60" i="51"/>
  <c r="AI59" i="51"/>
  <c r="AH59" i="51"/>
  <c r="AI58" i="51"/>
  <c r="AH58" i="51"/>
  <c r="AI57" i="51"/>
  <c r="AH57" i="51"/>
  <c r="AI56" i="51"/>
  <c r="AH56" i="51"/>
  <c r="AI55" i="51"/>
  <c r="AH55" i="51"/>
  <c r="AI54" i="51"/>
  <c r="AH54" i="51"/>
  <c r="AI53" i="51"/>
  <c r="AH53" i="51"/>
  <c r="AG52" i="51"/>
  <c r="AF52" i="51"/>
  <c r="AE52" i="51"/>
  <c r="AD52" i="51"/>
  <c r="AC52" i="51"/>
  <c r="AB52" i="51"/>
  <c r="V52" i="51"/>
  <c r="T52" i="51"/>
  <c r="S52" i="51"/>
  <c r="R52" i="51"/>
  <c r="Q52" i="51"/>
  <c r="P52" i="51"/>
  <c r="O52" i="51"/>
  <c r="N52" i="51"/>
  <c r="M52" i="51"/>
  <c r="L52" i="51"/>
  <c r="K52" i="51"/>
  <c r="J52" i="51"/>
  <c r="I52" i="51"/>
  <c r="H52" i="51"/>
  <c r="G52" i="51"/>
  <c r="F52" i="51"/>
  <c r="E52" i="51"/>
  <c r="D52" i="51"/>
  <c r="C52" i="51"/>
  <c r="B52" i="51"/>
  <c r="AI51" i="51"/>
  <c r="AH51" i="51"/>
  <c r="AI50" i="51"/>
  <c r="AH50" i="51"/>
  <c r="AI49" i="51"/>
  <c r="AH49" i="51"/>
  <c r="AG48" i="51"/>
  <c r="AF48" i="51"/>
  <c r="AE48" i="51"/>
  <c r="AD48" i="51"/>
  <c r="AC48" i="51"/>
  <c r="AB48" i="51"/>
  <c r="T48" i="51"/>
  <c r="S48" i="51"/>
  <c r="R48" i="51"/>
  <c r="Q48" i="51"/>
  <c r="P48" i="51"/>
  <c r="O48" i="51"/>
  <c r="N48" i="51"/>
  <c r="M48" i="51"/>
  <c r="L48" i="51"/>
  <c r="K48" i="51"/>
  <c r="J48" i="51"/>
  <c r="I48" i="51"/>
  <c r="H48" i="51"/>
  <c r="G48" i="51"/>
  <c r="F48" i="51"/>
  <c r="E48" i="51"/>
  <c r="D48" i="51"/>
  <c r="C48" i="51"/>
  <c r="B48" i="51"/>
  <c r="AI47" i="51"/>
  <c r="AH47" i="51"/>
  <c r="AI46" i="51"/>
  <c r="AH46" i="51"/>
  <c r="AI45" i="51"/>
  <c r="AH45" i="51"/>
  <c r="AI44" i="51"/>
  <c r="AH44" i="51"/>
  <c r="AI43" i="51"/>
  <c r="AH43" i="51"/>
  <c r="AI42" i="51"/>
  <c r="AH42" i="51"/>
  <c r="AI41" i="51"/>
  <c r="AH41" i="51"/>
  <c r="AI40" i="51"/>
  <c r="AH40" i="51"/>
  <c r="AI39" i="51"/>
  <c r="AH39" i="51"/>
  <c r="AI38" i="51"/>
  <c r="AH38" i="51"/>
  <c r="AI37" i="51"/>
  <c r="AH37" i="51"/>
  <c r="AI36" i="51"/>
  <c r="AH36" i="51"/>
  <c r="AI35" i="51"/>
  <c r="AH35" i="51"/>
  <c r="AI34" i="51"/>
  <c r="AH34" i="51"/>
  <c r="AI33" i="51"/>
  <c r="AH33" i="51"/>
  <c r="AI32" i="51"/>
  <c r="AH32" i="51"/>
  <c r="AI31" i="51"/>
  <c r="AH31" i="51"/>
  <c r="AI30" i="51"/>
  <c r="AH30" i="51"/>
  <c r="AI29" i="51"/>
  <c r="AH29" i="51"/>
  <c r="AI28" i="51"/>
  <c r="AH28" i="51"/>
  <c r="AI27" i="51"/>
  <c r="AH27" i="51"/>
  <c r="AI26" i="51"/>
  <c r="AH26" i="51"/>
  <c r="AI25" i="51"/>
  <c r="AH25" i="51"/>
  <c r="AI24" i="51"/>
  <c r="AH24" i="51"/>
  <c r="AI23" i="51"/>
  <c r="AH23" i="51"/>
  <c r="AI22" i="51"/>
  <c r="AH22" i="51"/>
  <c r="AI21" i="51"/>
  <c r="AH21" i="51"/>
  <c r="AI20" i="51"/>
  <c r="AH20" i="51"/>
  <c r="AI19" i="51"/>
  <c r="AH19" i="51"/>
  <c r="AI18" i="51"/>
  <c r="AH18" i="51"/>
  <c r="AI17" i="51"/>
  <c r="AH17" i="51"/>
  <c r="AI16" i="51"/>
  <c r="AH16" i="51"/>
  <c r="AI15" i="51"/>
  <c r="AH15" i="51"/>
  <c r="AI14" i="51"/>
  <c r="AH14" i="51"/>
  <c r="AI13" i="51"/>
  <c r="AH13" i="51"/>
  <c r="AI12" i="51"/>
  <c r="AH12" i="51"/>
  <c r="AI11" i="51"/>
  <c r="AH11" i="51"/>
  <c r="Z5" i="51"/>
  <c r="T5" i="51"/>
  <c r="AG4" i="51"/>
  <c r="K4" i="51"/>
  <c r="E4" i="51"/>
  <c r="H4" i="51" s="1"/>
  <c r="B4" i="51"/>
  <c r="S243" i="51" s="1"/>
  <c r="AG3" i="51"/>
  <c r="AG2" i="51"/>
  <c r="AG6" i="51" s="1"/>
  <c r="O111" i="50"/>
  <c r="M267" i="52" l="1"/>
  <c r="O231" i="52"/>
  <c r="N108" i="52"/>
  <c r="O227" i="52"/>
  <c r="AF98" i="51"/>
  <c r="AF87" i="51"/>
  <c r="AF89" i="51" s="1"/>
  <c r="AE98" i="51"/>
  <c r="AE87" i="51"/>
  <c r="AE89" i="51" s="1"/>
  <c r="AE90" i="51" s="1"/>
  <c r="AD98" i="51"/>
  <c r="AD87" i="51"/>
  <c r="AD89" i="51" s="1"/>
  <c r="AB98" i="51"/>
  <c r="AC98" i="51"/>
  <c r="AC87" i="51"/>
  <c r="AC89" i="51" s="1"/>
  <c r="AC90" i="51" s="1"/>
  <c r="W87" i="51"/>
  <c r="W89" i="51" s="1"/>
  <c r="W90" i="51" s="1"/>
  <c r="V98" i="51"/>
  <c r="V87" i="51"/>
  <c r="V89" i="51" s="1"/>
  <c r="T98" i="51"/>
  <c r="R5" i="51"/>
  <c r="S87" i="51"/>
  <c r="S89" i="51" s="1"/>
  <c r="P98" i="51"/>
  <c r="P87" i="51"/>
  <c r="P89" i="51" s="1"/>
  <c r="P90" i="51" s="1"/>
  <c r="O87" i="51"/>
  <c r="O89" i="51" s="1"/>
  <c r="O90" i="51" s="1"/>
  <c r="M5" i="51"/>
  <c r="N87" i="51"/>
  <c r="N89" i="51" s="1"/>
  <c r="M98" i="51"/>
  <c r="M87" i="51"/>
  <c r="M89" i="51" s="1"/>
  <c r="L98" i="51"/>
  <c r="J5" i="51"/>
  <c r="K87" i="51"/>
  <c r="K89" i="51" s="1"/>
  <c r="AC246" i="51" s="1"/>
  <c r="H98" i="51"/>
  <c r="H87" i="51"/>
  <c r="H89" i="51" s="1"/>
  <c r="H90" i="51" s="1"/>
  <c r="AI70" i="51"/>
  <c r="G87" i="51"/>
  <c r="G89" i="51" s="1"/>
  <c r="F98" i="51"/>
  <c r="F87" i="51"/>
  <c r="F89" i="51" s="1"/>
  <c r="X246" i="51" s="1"/>
  <c r="E98" i="51"/>
  <c r="E87" i="51"/>
  <c r="E89" i="51" s="1"/>
  <c r="D98" i="51"/>
  <c r="D87" i="51"/>
  <c r="D89" i="51" s="1"/>
  <c r="V246" i="51" s="1"/>
  <c r="B5" i="51"/>
  <c r="C87" i="51"/>
  <c r="C89" i="51" s="1"/>
  <c r="C7" i="51" s="1"/>
  <c r="AC7" i="51"/>
  <c r="AU246" i="51"/>
  <c r="M7" i="51"/>
  <c r="AE246" i="51"/>
  <c r="M90" i="51"/>
  <c r="AF5" i="51"/>
  <c r="B98" i="51"/>
  <c r="AI82" i="51"/>
  <c r="I98" i="51"/>
  <c r="I87" i="51"/>
  <c r="I89" i="51" s="1"/>
  <c r="Q87" i="51"/>
  <c r="Q89" i="51" s="1"/>
  <c r="AG87" i="51"/>
  <c r="AI66" i="51"/>
  <c r="L87" i="51"/>
  <c r="L89" i="51" s="1"/>
  <c r="T87" i="51"/>
  <c r="T89" i="51" s="1"/>
  <c r="AB87" i="51"/>
  <c r="AB89" i="51" s="1"/>
  <c r="Y246" i="51"/>
  <c r="G7" i="51"/>
  <c r="AF7" i="51"/>
  <c r="AX246" i="51"/>
  <c r="S90" i="51"/>
  <c r="AK246" i="51"/>
  <c r="S7" i="51"/>
  <c r="AA7" i="51"/>
  <c r="AS246" i="51"/>
  <c r="V7" i="51"/>
  <c r="AN246" i="51"/>
  <c r="V90" i="51"/>
  <c r="B87" i="51"/>
  <c r="J87" i="51"/>
  <c r="J89" i="51" s="1"/>
  <c r="R87" i="51"/>
  <c r="R89" i="51" s="1"/>
  <c r="AH66" i="51"/>
  <c r="AD7" i="51"/>
  <c r="AV246" i="51"/>
  <c r="AD90" i="51"/>
  <c r="AO246" i="51"/>
  <c r="W7" i="51"/>
  <c r="H7" i="51"/>
  <c r="AH52" i="51"/>
  <c r="Y5" i="51"/>
  <c r="J229" i="51"/>
  <c r="K229" i="51" s="1"/>
  <c r="L229" i="51" s="1"/>
  <c r="M229" i="51" s="1"/>
  <c r="N229" i="51" s="1"/>
  <c r="O229" i="51" s="1"/>
  <c r="P229" i="51" s="1"/>
  <c r="K90" i="51"/>
  <c r="E7" i="51"/>
  <c r="W246" i="51"/>
  <c r="E90" i="51"/>
  <c r="G226" i="51"/>
  <c r="F232" i="51"/>
  <c r="F7" i="51"/>
  <c r="U7" i="51"/>
  <c r="AM246" i="51"/>
  <c r="X7" i="51"/>
  <c r="AP246" i="51"/>
  <c r="R98" i="51"/>
  <c r="Q5" i="51"/>
  <c r="D90" i="51"/>
  <c r="D7" i="51"/>
  <c r="AF90" i="51"/>
  <c r="Q98" i="51"/>
  <c r="F108" i="51"/>
  <c r="AW246" i="51"/>
  <c r="AE7" i="51"/>
  <c r="AH246" i="51"/>
  <c r="J98" i="51"/>
  <c r="I5" i="51"/>
  <c r="AH82" i="51"/>
  <c r="G267" i="51"/>
  <c r="I231" i="51"/>
  <c r="N7" i="51"/>
  <c r="AF246" i="51"/>
  <c r="N90" i="51"/>
  <c r="G90" i="51"/>
  <c r="AH70" i="51"/>
  <c r="E232" i="51"/>
  <c r="D243" i="51"/>
  <c r="AH48" i="51"/>
  <c r="G98" i="51"/>
  <c r="O98" i="51"/>
  <c r="W98" i="51"/>
  <c r="D108" i="51"/>
  <c r="AI48" i="51"/>
  <c r="AI52" i="51"/>
  <c r="B232" i="51"/>
  <c r="F267" i="51"/>
  <c r="P227" i="52" l="1"/>
  <c r="N267" i="52"/>
  <c r="P231" i="52"/>
  <c r="O267" i="52" s="1"/>
  <c r="O108" i="52"/>
  <c r="P7" i="51"/>
  <c r="O7" i="51"/>
  <c r="AG246" i="51"/>
  <c r="K7" i="51"/>
  <c r="C241" i="51"/>
  <c r="Z246" i="51"/>
  <c r="F90" i="51"/>
  <c r="U246" i="51"/>
  <c r="C90" i="51"/>
  <c r="R90" i="51"/>
  <c r="AJ246" i="51"/>
  <c r="R7" i="51"/>
  <c r="H267" i="51"/>
  <c r="J231" i="51"/>
  <c r="L90" i="51"/>
  <c r="AD246" i="51"/>
  <c r="L7" i="51"/>
  <c r="AR246" i="51"/>
  <c r="Z7" i="51"/>
  <c r="J90" i="51"/>
  <c r="AB246" i="51"/>
  <c r="J7" i="51"/>
  <c r="AQ246" i="51"/>
  <c r="Y7" i="51"/>
  <c r="H226" i="51"/>
  <c r="G108" i="51"/>
  <c r="G232" i="51"/>
  <c r="AH87" i="51"/>
  <c r="AI87" i="51"/>
  <c r="B89" i="51"/>
  <c r="Q90" i="51"/>
  <c r="AI246" i="51"/>
  <c r="Q7" i="51"/>
  <c r="AI98" i="51"/>
  <c r="AH98" i="51"/>
  <c r="B241" i="51"/>
  <c r="I90" i="51"/>
  <c r="AA246" i="51"/>
  <c r="I7" i="51"/>
  <c r="AB90" i="51"/>
  <c r="AT246" i="51"/>
  <c r="AB7" i="51"/>
  <c r="T90" i="51"/>
  <c r="AL246" i="51"/>
  <c r="T7" i="51"/>
  <c r="AI108" i="52" l="1"/>
  <c r="AH108" i="52"/>
  <c r="K6" i="51"/>
  <c r="K231" i="51"/>
  <c r="I267" i="51"/>
  <c r="I226" i="51"/>
  <c r="H108" i="51"/>
  <c r="H232" i="51"/>
  <c r="AI89" i="51"/>
  <c r="B90" i="51"/>
  <c r="T246" i="51"/>
  <c r="AH89" i="51"/>
  <c r="B7" i="51"/>
  <c r="A7" i="51" s="1"/>
  <c r="I108" i="51" l="1"/>
  <c r="J226" i="51"/>
  <c r="J267" i="51"/>
  <c r="L231" i="51"/>
  <c r="AH90" i="51"/>
  <c r="AI90" i="51"/>
  <c r="K267" i="51" l="1"/>
  <c r="M231" i="51"/>
  <c r="J108" i="51"/>
  <c r="K226" i="51"/>
  <c r="L226" i="51" l="1"/>
  <c r="K108" i="51"/>
  <c r="L267" i="51"/>
  <c r="N231" i="51"/>
  <c r="M267" i="51" l="1"/>
  <c r="O231" i="51"/>
  <c r="M226" i="51"/>
  <c r="L108" i="51"/>
  <c r="N226" i="51" l="1"/>
  <c r="M108" i="51"/>
  <c r="P231" i="51"/>
  <c r="O267" i="51" s="1"/>
  <c r="N267" i="51"/>
  <c r="O226" i="51" l="1"/>
  <c r="N108" i="51"/>
  <c r="P226" i="51" l="1"/>
  <c r="O108" i="51"/>
  <c r="AI108" i="51" l="1"/>
  <c r="AH108" i="51"/>
  <c r="M111" i="50" l="1"/>
  <c r="AF271" i="50"/>
  <c r="AE271" i="50"/>
  <c r="AD271" i="50"/>
  <c r="AC271" i="50"/>
  <c r="AB271" i="50"/>
  <c r="AA271" i="50"/>
  <c r="Z271" i="50"/>
  <c r="Y271" i="50"/>
  <c r="X271" i="50"/>
  <c r="W271" i="50"/>
  <c r="V271" i="50"/>
  <c r="U271" i="50"/>
  <c r="T271" i="50"/>
  <c r="S271" i="50"/>
  <c r="R271" i="50"/>
  <c r="Q271" i="50"/>
  <c r="P271" i="50"/>
  <c r="O271" i="50"/>
  <c r="N271" i="50"/>
  <c r="M271" i="50"/>
  <c r="L271" i="50"/>
  <c r="K271" i="50"/>
  <c r="J271" i="50"/>
  <c r="I271" i="50"/>
  <c r="H271" i="50"/>
  <c r="G271" i="50"/>
  <c r="F271" i="50"/>
  <c r="E271" i="50"/>
  <c r="D271" i="50"/>
  <c r="C271" i="50"/>
  <c r="B271" i="50"/>
  <c r="A271" i="50"/>
  <c r="AF270" i="50"/>
  <c r="AE270" i="50"/>
  <c r="AD270" i="50"/>
  <c r="AC270" i="50"/>
  <c r="AB270" i="50"/>
  <c r="AA270" i="50"/>
  <c r="Z270" i="50"/>
  <c r="Y270" i="50"/>
  <c r="X270" i="50"/>
  <c r="W270" i="50"/>
  <c r="V270" i="50"/>
  <c r="U270" i="50"/>
  <c r="T270" i="50"/>
  <c r="S270" i="50"/>
  <c r="R270" i="50"/>
  <c r="Q270" i="50"/>
  <c r="P270" i="50"/>
  <c r="O270" i="50"/>
  <c r="N270" i="50"/>
  <c r="M270" i="50"/>
  <c r="L270" i="50"/>
  <c r="K270" i="50"/>
  <c r="J270" i="50"/>
  <c r="I270" i="50"/>
  <c r="H270" i="50"/>
  <c r="G270" i="50"/>
  <c r="F270" i="50"/>
  <c r="E270" i="50"/>
  <c r="D270" i="50"/>
  <c r="C270" i="50"/>
  <c r="B270" i="50"/>
  <c r="A270" i="50"/>
  <c r="AF269" i="50"/>
  <c r="AE269" i="50"/>
  <c r="AD269" i="50"/>
  <c r="AC269" i="50"/>
  <c r="AB269" i="50"/>
  <c r="AA269" i="50"/>
  <c r="Z269" i="50"/>
  <c r="Y269" i="50"/>
  <c r="X269" i="50"/>
  <c r="W269" i="50"/>
  <c r="V269" i="50"/>
  <c r="U269" i="50"/>
  <c r="T269" i="50"/>
  <c r="S269" i="50"/>
  <c r="R269" i="50"/>
  <c r="Q269" i="50"/>
  <c r="P269" i="50"/>
  <c r="O269" i="50"/>
  <c r="N269" i="50"/>
  <c r="M269" i="50"/>
  <c r="L269" i="50"/>
  <c r="K269" i="50"/>
  <c r="J269" i="50"/>
  <c r="I269" i="50"/>
  <c r="H269" i="50"/>
  <c r="G269" i="50"/>
  <c r="F269" i="50"/>
  <c r="E269" i="50"/>
  <c r="D269" i="50"/>
  <c r="C269" i="50"/>
  <c r="B269" i="50"/>
  <c r="A269" i="50"/>
  <c r="AF268" i="50"/>
  <c r="AE268" i="50"/>
  <c r="AD268" i="50"/>
  <c r="AC268" i="50"/>
  <c r="AB268" i="50"/>
  <c r="AA268" i="50"/>
  <c r="Z268" i="50"/>
  <c r="Y268" i="50"/>
  <c r="X268" i="50"/>
  <c r="W268" i="50"/>
  <c r="V268" i="50"/>
  <c r="U268" i="50"/>
  <c r="T268" i="50"/>
  <c r="S268" i="50"/>
  <c r="R268" i="50"/>
  <c r="Q268" i="50"/>
  <c r="P268" i="50"/>
  <c r="O268" i="50"/>
  <c r="N268" i="50"/>
  <c r="M268" i="50"/>
  <c r="L268" i="50"/>
  <c r="K268" i="50"/>
  <c r="J268" i="50"/>
  <c r="I268" i="50"/>
  <c r="H268" i="50"/>
  <c r="G268" i="50"/>
  <c r="F268" i="50"/>
  <c r="E268" i="50"/>
  <c r="D268" i="50"/>
  <c r="C268" i="50"/>
  <c r="B268" i="50"/>
  <c r="A268" i="50"/>
  <c r="AE267" i="50"/>
  <c r="AD267" i="50"/>
  <c r="AC267" i="50"/>
  <c r="AB267" i="50"/>
  <c r="AA267" i="50"/>
  <c r="Z267" i="50"/>
  <c r="Y267" i="50"/>
  <c r="X267" i="50"/>
  <c r="W267" i="50"/>
  <c r="V267" i="50"/>
  <c r="U267" i="50"/>
  <c r="T267" i="50"/>
  <c r="S267" i="50"/>
  <c r="R267" i="50"/>
  <c r="Q267" i="50"/>
  <c r="P267" i="50"/>
  <c r="B267" i="50"/>
  <c r="S242" i="50"/>
  <c r="AG232" i="50"/>
  <c r="AG65" i="50" s="1"/>
  <c r="AG66" i="50" s="1"/>
  <c r="AG3" i="50" s="1"/>
  <c r="AF232" i="50"/>
  <c r="AE232" i="50"/>
  <c r="AD232" i="50"/>
  <c r="AC232" i="50"/>
  <c r="AB232" i="50"/>
  <c r="AA232" i="50"/>
  <c r="Z232" i="50"/>
  <c r="Y232" i="50"/>
  <c r="X232" i="50"/>
  <c r="W232" i="50"/>
  <c r="V232" i="50"/>
  <c r="U232" i="50"/>
  <c r="T232" i="50"/>
  <c r="S232" i="50"/>
  <c r="R232" i="50"/>
  <c r="Q232" i="50"/>
  <c r="C232" i="50"/>
  <c r="D231" i="50"/>
  <c r="E231" i="50" s="1"/>
  <c r="B231" i="50"/>
  <c r="AF267" i="50" s="1"/>
  <c r="D230" i="50"/>
  <c r="E230" i="50" s="1"/>
  <c r="F230" i="50" s="1"/>
  <c r="G230" i="50" s="1"/>
  <c r="H230" i="50" s="1"/>
  <c r="I230" i="50" s="1"/>
  <c r="J230" i="50" s="1"/>
  <c r="K230" i="50" s="1"/>
  <c r="L230" i="50" s="1"/>
  <c r="M230" i="50" s="1"/>
  <c r="N230" i="50" s="1"/>
  <c r="O230" i="50" s="1"/>
  <c r="P230" i="50" s="1"/>
  <c r="B230" i="50"/>
  <c r="D229" i="50"/>
  <c r="E229" i="50" s="1"/>
  <c r="F229" i="50" s="1"/>
  <c r="G229" i="50" s="1"/>
  <c r="H229" i="50" s="1"/>
  <c r="I229" i="50" s="1"/>
  <c r="J229" i="50" s="1"/>
  <c r="K229" i="50" s="1"/>
  <c r="L229" i="50" s="1"/>
  <c r="M229" i="50" s="1"/>
  <c r="N229" i="50" s="1"/>
  <c r="O229" i="50" s="1"/>
  <c r="P229" i="50" s="1"/>
  <c r="B229" i="50"/>
  <c r="D228" i="50"/>
  <c r="E228" i="50" s="1"/>
  <c r="F228" i="50" s="1"/>
  <c r="G228" i="50" s="1"/>
  <c r="H228" i="50" s="1"/>
  <c r="B228" i="50"/>
  <c r="E227" i="50"/>
  <c r="F227" i="50" s="1"/>
  <c r="G227" i="50" s="1"/>
  <c r="H227" i="50" s="1"/>
  <c r="I227" i="50" s="1"/>
  <c r="J227" i="50" s="1"/>
  <c r="K227" i="50" s="1"/>
  <c r="L227" i="50" s="1"/>
  <c r="M227" i="50" s="1"/>
  <c r="N227" i="50" s="1"/>
  <c r="O227" i="50" s="1"/>
  <c r="P227" i="50" s="1"/>
  <c r="D227" i="50"/>
  <c r="B227" i="50"/>
  <c r="D226" i="50"/>
  <c r="E226" i="50" s="1"/>
  <c r="B226" i="50"/>
  <c r="B108" i="50" s="1"/>
  <c r="AG224" i="50"/>
  <c r="AF224" i="50"/>
  <c r="AE224" i="50"/>
  <c r="AD224" i="50"/>
  <c r="AC224" i="50"/>
  <c r="AB224" i="50"/>
  <c r="AA224" i="50"/>
  <c r="Z224" i="50"/>
  <c r="Y224" i="50"/>
  <c r="X224" i="50"/>
  <c r="W224" i="50"/>
  <c r="V224" i="50"/>
  <c r="U224" i="50"/>
  <c r="T224" i="50"/>
  <c r="S224" i="50"/>
  <c r="R224" i="50"/>
  <c r="Q224" i="50"/>
  <c r="P224" i="50"/>
  <c r="O224" i="50"/>
  <c r="N224" i="50"/>
  <c r="M224" i="50"/>
  <c r="L224" i="50"/>
  <c r="K224" i="50"/>
  <c r="J224" i="50"/>
  <c r="I224" i="50"/>
  <c r="H224" i="50"/>
  <c r="G224" i="50"/>
  <c r="F224" i="50"/>
  <c r="E224" i="50"/>
  <c r="D224" i="50"/>
  <c r="C224" i="50"/>
  <c r="B224" i="50"/>
  <c r="AI117" i="50"/>
  <c r="AH117" i="50"/>
  <c r="AI116" i="50"/>
  <c r="AH116" i="50"/>
  <c r="AI115" i="50"/>
  <c r="AH115" i="50"/>
  <c r="AI114" i="50"/>
  <c r="AH114" i="50"/>
  <c r="AI113" i="50"/>
  <c r="AH113" i="50"/>
  <c r="AI112" i="50"/>
  <c r="AH112" i="50"/>
  <c r="AI111" i="50"/>
  <c r="AH111" i="50"/>
  <c r="AI110" i="50"/>
  <c r="AH110" i="50"/>
  <c r="AI109" i="50"/>
  <c r="AH109" i="50"/>
  <c r="AF108" i="50"/>
  <c r="AE108" i="50"/>
  <c r="AD108" i="50"/>
  <c r="AC108" i="50"/>
  <c r="AB108" i="50"/>
  <c r="AA108" i="50"/>
  <c r="Z108" i="50"/>
  <c r="Y108" i="50"/>
  <c r="X108" i="50"/>
  <c r="W108" i="50"/>
  <c r="V108" i="50"/>
  <c r="U108" i="50"/>
  <c r="T108" i="50"/>
  <c r="S108" i="50"/>
  <c r="R108" i="50"/>
  <c r="Q108" i="50"/>
  <c r="C108" i="50"/>
  <c r="AI107" i="50"/>
  <c r="AH107" i="50"/>
  <c r="AI106" i="50"/>
  <c r="AH106" i="50"/>
  <c r="AI105" i="50"/>
  <c r="AH105" i="50"/>
  <c r="AI104" i="50"/>
  <c r="AH104" i="50"/>
  <c r="AI103" i="50"/>
  <c r="AH103" i="50"/>
  <c r="AI102" i="50"/>
  <c r="AH102" i="50"/>
  <c r="AI101" i="50"/>
  <c r="AH101" i="50"/>
  <c r="AI100" i="50"/>
  <c r="AH100" i="50"/>
  <c r="AI99" i="50"/>
  <c r="AH99" i="50"/>
  <c r="AC98" i="50"/>
  <c r="AI97" i="50"/>
  <c r="AH97" i="50"/>
  <c r="AI96" i="50"/>
  <c r="AH96" i="50"/>
  <c r="AI95" i="50"/>
  <c r="AH95" i="50"/>
  <c r="AI94" i="50"/>
  <c r="AH94" i="50"/>
  <c r="AI93" i="50"/>
  <c r="AH93" i="50"/>
  <c r="AI92" i="50"/>
  <c r="AH92" i="50"/>
  <c r="AI91" i="50"/>
  <c r="AH91" i="50"/>
  <c r="AI88" i="50"/>
  <c r="AH88" i="50"/>
  <c r="AI86" i="50"/>
  <c r="AH86" i="50"/>
  <c r="AG86" i="50"/>
  <c r="AI85" i="50"/>
  <c r="AH85" i="50"/>
  <c r="AI84" i="50"/>
  <c r="AH84" i="50"/>
  <c r="AI83" i="50"/>
  <c r="AH83" i="50"/>
  <c r="AN82" i="50"/>
  <c r="AG82" i="50"/>
  <c r="AF82" i="50"/>
  <c r="AE5" i="50" s="1"/>
  <c r="AE82" i="50"/>
  <c r="AD5" i="50" s="1"/>
  <c r="AD82" i="50"/>
  <c r="AD98" i="50" s="1"/>
  <c r="AC82" i="50"/>
  <c r="AB5" i="50" s="1"/>
  <c r="AB82" i="50"/>
  <c r="AB98" i="50" s="1"/>
  <c r="AA82" i="50"/>
  <c r="AA98" i="50" s="1"/>
  <c r="Z82" i="50"/>
  <c r="Z98" i="50" s="1"/>
  <c r="Y82" i="50"/>
  <c r="X5" i="50" s="1"/>
  <c r="X82" i="50"/>
  <c r="W5" i="50" s="1"/>
  <c r="W82" i="50"/>
  <c r="V5" i="50" s="1"/>
  <c r="V82" i="50"/>
  <c r="V98" i="50" s="1"/>
  <c r="U82" i="50"/>
  <c r="U98" i="50" s="1"/>
  <c r="T82" i="50"/>
  <c r="S5" i="50" s="1"/>
  <c r="S82" i="50"/>
  <c r="S98" i="50" s="1"/>
  <c r="R82" i="50"/>
  <c r="R98" i="50" s="1"/>
  <c r="Q82" i="50"/>
  <c r="P5" i="50" s="1"/>
  <c r="P82" i="50"/>
  <c r="O5" i="50" s="1"/>
  <c r="O82" i="50"/>
  <c r="N5" i="50" s="1"/>
  <c r="N82" i="50"/>
  <c r="N98" i="50" s="1"/>
  <c r="M82" i="50"/>
  <c r="L5" i="50" s="1"/>
  <c r="L82" i="50"/>
  <c r="K5" i="50" s="1"/>
  <c r="K82" i="50"/>
  <c r="K98" i="50" s="1"/>
  <c r="J82" i="50"/>
  <c r="J98" i="50" s="1"/>
  <c r="I82" i="50"/>
  <c r="H5" i="50" s="1"/>
  <c r="H82" i="50"/>
  <c r="G5" i="50" s="1"/>
  <c r="G82" i="50"/>
  <c r="F5" i="50" s="1"/>
  <c r="F82" i="50"/>
  <c r="F98" i="50" s="1"/>
  <c r="E82" i="50"/>
  <c r="D5" i="50" s="1"/>
  <c r="D82" i="50"/>
  <c r="C5" i="50" s="1"/>
  <c r="C82" i="50"/>
  <c r="C98" i="50" s="1"/>
  <c r="B82" i="50"/>
  <c r="AI81" i="50"/>
  <c r="AH81" i="50"/>
  <c r="AN80" i="50"/>
  <c r="AI80" i="50"/>
  <c r="AH80" i="50"/>
  <c r="AN79" i="50"/>
  <c r="AN81" i="50" s="1"/>
  <c r="AI79" i="50"/>
  <c r="AH79" i="50"/>
  <c r="AI78" i="50"/>
  <c r="AH78" i="50"/>
  <c r="AI77" i="50"/>
  <c r="AH77" i="50"/>
  <c r="AI76" i="50"/>
  <c r="AH76" i="50"/>
  <c r="AI75" i="50"/>
  <c r="AH75" i="50"/>
  <c r="AI74" i="50"/>
  <c r="AH74" i="50"/>
  <c r="AI73" i="50"/>
  <c r="AH73" i="50"/>
  <c r="AI72" i="50"/>
  <c r="AH72" i="50"/>
  <c r="AI71" i="50"/>
  <c r="AH71" i="50"/>
  <c r="AG70" i="50"/>
  <c r="AF70" i="50"/>
  <c r="AE70" i="50"/>
  <c r="AD70" i="50"/>
  <c r="AC70" i="50"/>
  <c r="AB70" i="50"/>
  <c r="AA70" i="50"/>
  <c r="Z70" i="50"/>
  <c r="Y70" i="50"/>
  <c r="X70" i="50"/>
  <c r="W70" i="50"/>
  <c r="V70" i="50"/>
  <c r="U70" i="50"/>
  <c r="T70" i="50"/>
  <c r="S70" i="50"/>
  <c r="R70" i="50"/>
  <c r="Q70" i="50"/>
  <c r="P70" i="50"/>
  <c r="O70" i="50"/>
  <c r="N70" i="50"/>
  <c r="M70" i="50"/>
  <c r="L70" i="50"/>
  <c r="B70" i="50"/>
  <c r="AI69" i="50"/>
  <c r="AH69" i="50"/>
  <c r="AI68" i="50"/>
  <c r="AH68" i="50"/>
  <c r="AI67" i="50"/>
  <c r="AH67" i="50"/>
  <c r="AF66" i="50"/>
  <c r="AE66" i="50"/>
  <c r="AD66" i="50"/>
  <c r="AC66" i="50"/>
  <c r="AB66" i="50"/>
  <c r="AA66" i="50"/>
  <c r="Z66" i="50"/>
  <c r="Y66" i="50"/>
  <c r="X66" i="50"/>
  <c r="W66" i="50"/>
  <c r="V66" i="50"/>
  <c r="U66" i="50"/>
  <c r="T66" i="50"/>
  <c r="S66" i="50"/>
  <c r="R66" i="50"/>
  <c r="Q66" i="50"/>
  <c r="P66" i="50"/>
  <c r="O66" i="50"/>
  <c r="N66" i="50"/>
  <c r="M66" i="50"/>
  <c r="L66" i="50"/>
  <c r="K66" i="50"/>
  <c r="J66" i="50"/>
  <c r="I66" i="50"/>
  <c r="H66" i="50"/>
  <c r="G66" i="50"/>
  <c r="F66" i="50"/>
  <c r="E66" i="50"/>
  <c r="D66" i="50"/>
  <c r="C66" i="50"/>
  <c r="B66" i="50"/>
  <c r="AI65" i="50"/>
  <c r="AH65" i="50"/>
  <c r="AI64" i="50"/>
  <c r="AH64" i="50"/>
  <c r="AI63" i="50"/>
  <c r="AH63" i="50"/>
  <c r="AI62" i="50"/>
  <c r="AH62" i="50"/>
  <c r="AI61" i="50"/>
  <c r="AH61" i="50"/>
  <c r="AI60" i="50"/>
  <c r="AH60" i="50"/>
  <c r="AI59" i="50"/>
  <c r="AH59" i="50"/>
  <c r="AI58" i="50"/>
  <c r="AH58" i="50"/>
  <c r="AI57" i="50"/>
  <c r="AH57" i="50"/>
  <c r="AI56" i="50"/>
  <c r="AH56" i="50"/>
  <c r="AI55" i="50"/>
  <c r="AH55" i="50"/>
  <c r="AI54" i="50"/>
  <c r="AH54" i="50"/>
  <c r="AI53" i="50"/>
  <c r="AH53" i="50"/>
  <c r="AG52" i="50"/>
  <c r="AF52" i="50"/>
  <c r="AE52" i="50"/>
  <c r="AD52" i="50"/>
  <c r="AC52" i="50"/>
  <c r="AB52" i="50"/>
  <c r="AA52" i="50"/>
  <c r="Z52" i="50"/>
  <c r="Y52" i="50"/>
  <c r="X52" i="50"/>
  <c r="W52" i="50"/>
  <c r="V52" i="50"/>
  <c r="U52" i="50"/>
  <c r="T52" i="50"/>
  <c r="S52" i="50"/>
  <c r="R52" i="50"/>
  <c r="Q52" i="50"/>
  <c r="P52" i="50"/>
  <c r="O52" i="50"/>
  <c r="N52" i="50"/>
  <c r="M52" i="50"/>
  <c r="L52" i="50"/>
  <c r="K52" i="50"/>
  <c r="J52" i="50"/>
  <c r="I52" i="50"/>
  <c r="H52" i="50"/>
  <c r="G52" i="50"/>
  <c r="F52" i="50"/>
  <c r="E52" i="50"/>
  <c r="D52" i="50"/>
  <c r="C52" i="50"/>
  <c r="B52" i="50"/>
  <c r="AI51" i="50"/>
  <c r="AH51" i="50"/>
  <c r="AI50" i="50"/>
  <c r="AH50" i="50"/>
  <c r="AI49" i="50"/>
  <c r="AH49" i="50"/>
  <c r="AG48" i="50"/>
  <c r="AF48" i="50"/>
  <c r="AE48" i="50"/>
  <c r="AD48" i="50"/>
  <c r="AC48" i="50"/>
  <c r="AB48" i="50"/>
  <c r="AA48" i="50"/>
  <c r="Z48" i="50"/>
  <c r="Y48" i="50"/>
  <c r="X48" i="50"/>
  <c r="W48" i="50"/>
  <c r="V48" i="50"/>
  <c r="U48" i="50"/>
  <c r="T48" i="50"/>
  <c r="S48" i="50"/>
  <c r="R48" i="50"/>
  <c r="Q48" i="50"/>
  <c r="P48" i="50"/>
  <c r="O48" i="50"/>
  <c r="N48" i="50"/>
  <c r="M48" i="50"/>
  <c r="L48" i="50"/>
  <c r="K48" i="50"/>
  <c r="J48" i="50"/>
  <c r="I48" i="50"/>
  <c r="H48" i="50"/>
  <c r="G48" i="50"/>
  <c r="F48" i="50"/>
  <c r="E48" i="50"/>
  <c r="D48" i="50"/>
  <c r="C48" i="50"/>
  <c r="B48" i="50"/>
  <c r="AI47" i="50"/>
  <c r="AH47" i="50"/>
  <c r="AI46" i="50"/>
  <c r="AH46" i="50"/>
  <c r="AI45" i="50"/>
  <c r="AH45" i="50"/>
  <c r="AI44" i="50"/>
  <c r="AH44" i="50"/>
  <c r="AI43" i="50"/>
  <c r="AH43" i="50"/>
  <c r="AI42" i="50"/>
  <c r="AH42" i="50"/>
  <c r="AI41" i="50"/>
  <c r="AH41" i="50"/>
  <c r="AI40" i="50"/>
  <c r="AH40" i="50"/>
  <c r="AI39" i="50"/>
  <c r="AH39" i="50"/>
  <c r="AI38" i="50"/>
  <c r="AH38" i="50"/>
  <c r="AI37" i="50"/>
  <c r="AH37" i="50"/>
  <c r="AI36" i="50"/>
  <c r="AH36" i="50"/>
  <c r="AI35" i="50"/>
  <c r="AH35" i="50"/>
  <c r="AI34" i="50"/>
  <c r="AH34" i="50"/>
  <c r="AI33" i="50"/>
  <c r="AH33" i="50"/>
  <c r="AI32" i="50"/>
  <c r="AH32" i="50"/>
  <c r="AI31" i="50"/>
  <c r="AH31" i="50"/>
  <c r="AI30" i="50"/>
  <c r="AH30" i="50"/>
  <c r="AI29" i="50"/>
  <c r="AH29" i="50"/>
  <c r="AI28" i="50"/>
  <c r="AH28" i="50"/>
  <c r="AI27" i="50"/>
  <c r="AH27" i="50"/>
  <c r="AI26" i="50"/>
  <c r="AH26" i="50"/>
  <c r="AI25" i="50"/>
  <c r="AH25" i="50"/>
  <c r="AI24" i="50"/>
  <c r="AH24" i="50"/>
  <c r="AI23" i="50"/>
  <c r="AH23" i="50"/>
  <c r="AI22" i="50"/>
  <c r="AH22" i="50"/>
  <c r="AI21" i="50"/>
  <c r="AH21" i="50"/>
  <c r="AI20" i="50"/>
  <c r="AH20" i="50"/>
  <c r="AI19" i="50"/>
  <c r="AH19" i="50"/>
  <c r="AI18" i="50"/>
  <c r="AH18" i="50"/>
  <c r="AI17" i="50"/>
  <c r="AH17" i="50"/>
  <c r="AI16" i="50"/>
  <c r="AH16" i="50"/>
  <c r="AI15" i="50"/>
  <c r="AH15" i="50"/>
  <c r="AI14" i="50"/>
  <c r="AH14" i="50"/>
  <c r="AI13" i="50"/>
  <c r="AH13" i="50"/>
  <c r="AI12" i="50"/>
  <c r="AH12" i="50"/>
  <c r="AI11" i="50"/>
  <c r="AH11" i="50"/>
  <c r="Z5" i="50"/>
  <c r="R5" i="50"/>
  <c r="AG4" i="50"/>
  <c r="K4" i="50"/>
  <c r="E4" i="50"/>
  <c r="H4" i="50" s="1"/>
  <c r="B4" i="50"/>
  <c r="AG2" i="50"/>
  <c r="AC5" i="50" l="1"/>
  <c r="AD87" i="50"/>
  <c r="AD89" i="50" s="1"/>
  <c r="AA5" i="50"/>
  <c r="U5" i="50"/>
  <c r="V87" i="50"/>
  <c r="V89" i="50" s="1"/>
  <c r="AA87" i="50"/>
  <c r="AA89" i="50" s="1"/>
  <c r="AA90" i="50" s="1"/>
  <c r="T5" i="50"/>
  <c r="AG89" i="50"/>
  <c r="E108" i="50"/>
  <c r="F231" i="50"/>
  <c r="E267" i="50" s="1"/>
  <c r="D267" i="50"/>
  <c r="AB87" i="50"/>
  <c r="AB89" i="50" s="1"/>
  <c r="AG6" i="50"/>
  <c r="AC87" i="50"/>
  <c r="AC89" i="50" s="1"/>
  <c r="AF98" i="50"/>
  <c r="P98" i="50"/>
  <c r="C267" i="50"/>
  <c r="X98" i="50"/>
  <c r="U87" i="50"/>
  <c r="U89" i="50" s="1"/>
  <c r="U7" i="50" s="1"/>
  <c r="T98" i="50"/>
  <c r="T87" i="50"/>
  <c r="T89" i="50" s="1"/>
  <c r="S87" i="50"/>
  <c r="S89" i="50" s="1"/>
  <c r="S90" i="50" s="1"/>
  <c r="M5" i="50"/>
  <c r="N87" i="50"/>
  <c r="N89" i="50" s="1"/>
  <c r="M98" i="50"/>
  <c r="M87" i="50"/>
  <c r="M89" i="50" s="1"/>
  <c r="M7" i="50" s="1"/>
  <c r="L98" i="50"/>
  <c r="L87" i="50"/>
  <c r="L89" i="50" s="1"/>
  <c r="L90" i="50" s="1"/>
  <c r="J5" i="50"/>
  <c r="K87" i="50"/>
  <c r="K89" i="50" s="1"/>
  <c r="AC246" i="50" s="1"/>
  <c r="I5" i="50"/>
  <c r="I98" i="50"/>
  <c r="H98" i="50"/>
  <c r="E5" i="50"/>
  <c r="F87" i="50"/>
  <c r="F89" i="50" s="1"/>
  <c r="X246" i="50" s="1"/>
  <c r="E98" i="50"/>
  <c r="E87" i="50"/>
  <c r="E89" i="50" s="1"/>
  <c r="D98" i="50"/>
  <c r="AI66" i="50"/>
  <c r="D87" i="50"/>
  <c r="D89" i="50" s="1"/>
  <c r="D7" i="50" s="1"/>
  <c r="B5" i="50"/>
  <c r="C87" i="50"/>
  <c r="C89" i="50" s="1"/>
  <c r="U246" i="50" s="1"/>
  <c r="AM246" i="50"/>
  <c r="N7" i="50"/>
  <c r="AF246" i="50"/>
  <c r="N90" i="50"/>
  <c r="AD7" i="50"/>
  <c r="AV246" i="50"/>
  <c r="AD90" i="50"/>
  <c r="V7" i="50"/>
  <c r="AN246" i="50"/>
  <c r="V90" i="50"/>
  <c r="AI70" i="50"/>
  <c r="AH70" i="50"/>
  <c r="T90" i="50"/>
  <c r="T7" i="50"/>
  <c r="AL246" i="50"/>
  <c r="AB90" i="50"/>
  <c r="AB7" i="50"/>
  <c r="AT246" i="50"/>
  <c r="AC7" i="50"/>
  <c r="AU246" i="50"/>
  <c r="AC90" i="50"/>
  <c r="AK246" i="50"/>
  <c r="AH66" i="50"/>
  <c r="AF5" i="50"/>
  <c r="B98" i="50"/>
  <c r="AI82" i="50"/>
  <c r="AH82" i="50"/>
  <c r="Y5" i="50"/>
  <c r="AA7" i="50"/>
  <c r="Y98" i="50"/>
  <c r="D232" i="50"/>
  <c r="D108" i="50"/>
  <c r="G231" i="50"/>
  <c r="AS246" i="50"/>
  <c r="O87" i="50"/>
  <c r="O89" i="50" s="1"/>
  <c r="F226" i="50"/>
  <c r="E232" i="50"/>
  <c r="G87" i="50"/>
  <c r="G89" i="50" s="1"/>
  <c r="AE87" i="50"/>
  <c r="AE89" i="50" s="1"/>
  <c r="Q5" i="50"/>
  <c r="H87" i="50"/>
  <c r="H89" i="50" s="1"/>
  <c r="P87" i="50"/>
  <c r="P89" i="50" s="1"/>
  <c r="X87" i="50"/>
  <c r="X89" i="50" s="1"/>
  <c r="AF87" i="50"/>
  <c r="AF89" i="50" s="1"/>
  <c r="Q98" i="50"/>
  <c r="E7" i="50"/>
  <c r="W246" i="50"/>
  <c r="E90" i="50"/>
  <c r="W87" i="50"/>
  <c r="W89" i="50" s="1"/>
  <c r="I87" i="50"/>
  <c r="I89" i="50" s="1"/>
  <c r="Q87" i="50"/>
  <c r="Q89" i="50" s="1"/>
  <c r="Y87" i="50"/>
  <c r="Y89" i="50" s="1"/>
  <c r="AG87" i="50"/>
  <c r="AI52" i="50"/>
  <c r="AH52" i="50"/>
  <c r="S243" i="50"/>
  <c r="D243" i="50"/>
  <c r="B87" i="50"/>
  <c r="AI48" i="50"/>
  <c r="J87" i="50"/>
  <c r="J89" i="50" s="1"/>
  <c r="R87" i="50"/>
  <c r="R89" i="50" s="1"/>
  <c r="Z87" i="50"/>
  <c r="Z89" i="50" s="1"/>
  <c r="AH48" i="50"/>
  <c r="G98" i="50"/>
  <c r="O98" i="50"/>
  <c r="W98" i="50"/>
  <c r="AE98" i="50"/>
  <c r="B232" i="50"/>
  <c r="D90" i="50" l="1"/>
  <c r="F7" i="50"/>
  <c r="U90" i="50"/>
  <c r="S7" i="50"/>
  <c r="M90" i="50"/>
  <c r="AE246" i="50"/>
  <c r="AD246" i="50"/>
  <c r="L7" i="50"/>
  <c r="K90" i="50"/>
  <c r="K7" i="50"/>
  <c r="V246" i="50"/>
  <c r="F90" i="50"/>
  <c r="C90" i="50"/>
  <c r="C7" i="50"/>
  <c r="R90" i="50"/>
  <c r="R7" i="50"/>
  <c r="AJ246" i="50"/>
  <c r="J90" i="50"/>
  <c r="J7" i="50"/>
  <c r="AB246" i="50"/>
  <c r="Y90" i="50"/>
  <c r="AQ246" i="50"/>
  <c r="Y7" i="50"/>
  <c r="Y246" i="50"/>
  <c r="C241" i="50"/>
  <c r="B241" i="50"/>
  <c r="G90" i="50"/>
  <c r="G7" i="50"/>
  <c r="AI98" i="50"/>
  <c r="AH98" i="50"/>
  <c r="Q90" i="50"/>
  <c r="AI246" i="50"/>
  <c r="Q7" i="50"/>
  <c r="AX246" i="50"/>
  <c r="AF90" i="50"/>
  <c r="AF7" i="50"/>
  <c r="AH87" i="50"/>
  <c r="AI87" i="50"/>
  <c r="B89" i="50"/>
  <c r="I90" i="50"/>
  <c r="AA246" i="50"/>
  <c r="I7" i="50"/>
  <c r="AP246" i="50"/>
  <c r="X7" i="50"/>
  <c r="X90" i="50"/>
  <c r="G226" i="50"/>
  <c r="F232" i="50"/>
  <c r="F108" i="50"/>
  <c r="AO246" i="50"/>
  <c r="W7" i="50"/>
  <c r="W90" i="50"/>
  <c r="AH246" i="50"/>
  <c r="P7" i="50"/>
  <c r="P90" i="50"/>
  <c r="AG246" i="50"/>
  <c r="O7" i="50"/>
  <c r="O90" i="50"/>
  <c r="AW246" i="50"/>
  <c r="AE90" i="50"/>
  <c r="AE7" i="50"/>
  <c r="Z246" i="50"/>
  <c r="H90" i="50"/>
  <c r="H7" i="50"/>
  <c r="Z90" i="50"/>
  <c r="AR246" i="50"/>
  <c r="Z7" i="50"/>
  <c r="F267" i="50"/>
  <c r="H231" i="50"/>
  <c r="G267" i="50" l="1"/>
  <c r="I231" i="50"/>
  <c r="B90" i="50"/>
  <c r="AI89" i="50"/>
  <c r="AH89" i="50"/>
  <c r="T246" i="50"/>
  <c r="B7" i="50"/>
  <c r="A7" i="50" s="1"/>
  <c r="K6" i="50"/>
  <c r="H226" i="50"/>
  <c r="G108" i="50"/>
  <c r="G232" i="50"/>
  <c r="AI90" i="50" l="1"/>
  <c r="AH90" i="50"/>
  <c r="I226" i="50"/>
  <c r="H108" i="50"/>
  <c r="H232" i="50"/>
  <c r="H267" i="50"/>
  <c r="J231" i="50"/>
  <c r="K231" i="50" l="1"/>
  <c r="I267" i="50"/>
  <c r="I108" i="50"/>
  <c r="J226" i="50"/>
  <c r="J108" i="50" l="1"/>
  <c r="K226" i="50"/>
  <c r="J267" i="50"/>
  <c r="L231" i="50"/>
  <c r="K108" i="50" l="1"/>
  <c r="L226" i="50"/>
  <c r="K267" i="50"/>
  <c r="M231" i="50"/>
  <c r="L267" i="50" l="1"/>
  <c r="N231" i="50"/>
  <c r="L108" i="50"/>
  <c r="M226" i="50"/>
  <c r="N226" i="50" l="1"/>
  <c r="M108" i="50"/>
  <c r="M267" i="50"/>
  <c r="O231" i="50"/>
  <c r="N267" i="50" l="1"/>
  <c r="P231" i="50"/>
  <c r="O267" i="50" s="1"/>
  <c r="O226" i="50"/>
  <c r="N108" i="50"/>
  <c r="P226" i="50" l="1"/>
  <c r="O108" i="50"/>
  <c r="AI108" i="50" l="1"/>
  <c r="AH108" i="50"/>
  <c r="L111" i="49" l="1"/>
  <c r="K111" i="49"/>
  <c r="J111" i="49"/>
  <c r="G111" i="49"/>
  <c r="G108" i="49" s="1"/>
  <c r="H111" i="49"/>
  <c r="H108" i="49" s="1"/>
  <c r="I111" i="49"/>
  <c r="I108" i="49" s="1"/>
  <c r="J108" i="49"/>
  <c r="I48" i="49"/>
  <c r="J48" i="49"/>
  <c r="I52" i="49"/>
  <c r="J52" i="49"/>
  <c r="I66" i="49"/>
  <c r="J66" i="49"/>
  <c r="I82" i="49"/>
  <c r="H5" i="49" s="1"/>
  <c r="J82" i="49"/>
  <c r="I5" i="49" s="1"/>
  <c r="G48" i="49"/>
  <c r="H48" i="49"/>
  <c r="G52" i="49"/>
  <c r="H52" i="49"/>
  <c r="G66" i="49"/>
  <c r="H66" i="49"/>
  <c r="G82" i="49"/>
  <c r="G98" i="49" s="1"/>
  <c r="H82" i="49"/>
  <c r="G5" i="49" s="1"/>
  <c r="F111" i="49"/>
  <c r="F224" i="49"/>
  <c r="E108" i="49"/>
  <c r="F108" i="49"/>
  <c r="F48" i="49"/>
  <c r="AF271" i="49"/>
  <c r="AE271" i="49"/>
  <c r="AD271" i="49"/>
  <c r="AC271" i="49"/>
  <c r="AB271" i="49"/>
  <c r="AA271" i="49"/>
  <c r="Z271" i="49"/>
  <c r="Y271" i="49"/>
  <c r="X271" i="49"/>
  <c r="W271" i="49"/>
  <c r="V271" i="49"/>
  <c r="U271" i="49"/>
  <c r="T271" i="49"/>
  <c r="S271" i="49"/>
  <c r="R271" i="49"/>
  <c r="Q271" i="49"/>
  <c r="P271" i="49"/>
  <c r="O271" i="49"/>
  <c r="N271" i="49"/>
  <c r="M271" i="49"/>
  <c r="L271" i="49"/>
  <c r="K271" i="49"/>
  <c r="J271" i="49"/>
  <c r="I271" i="49"/>
  <c r="H271" i="49"/>
  <c r="G271" i="49"/>
  <c r="F271" i="49"/>
  <c r="E271" i="49"/>
  <c r="D271" i="49"/>
  <c r="C271" i="49"/>
  <c r="B271" i="49"/>
  <c r="A271" i="49"/>
  <c r="AF270" i="49"/>
  <c r="AE270" i="49"/>
  <c r="AD270" i="49"/>
  <c r="AC270" i="49"/>
  <c r="AB270" i="49"/>
  <c r="AA270" i="49"/>
  <c r="Z270" i="49"/>
  <c r="Y270" i="49"/>
  <c r="X270" i="49"/>
  <c r="W270" i="49"/>
  <c r="V270" i="49"/>
  <c r="U270" i="49"/>
  <c r="T270" i="49"/>
  <c r="S270" i="49"/>
  <c r="R270" i="49"/>
  <c r="Q270" i="49"/>
  <c r="P270" i="49"/>
  <c r="O270" i="49"/>
  <c r="N270" i="49"/>
  <c r="M270" i="49"/>
  <c r="L270" i="49"/>
  <c r="K270" i="49"/>
  <c r="J270" i="49"/>
  <c r="I270" i="49"/>
  <c r="H270" i="49"/>
  <c r="G270" i="49"/>
  <c r="F270" i="49"/>
  <c r="E270" i="49"/>
  <c r="D270" i="49"/>
  <c r="C270" i="49"/>
  <c r="B270" i="49"/>
  <c r="A270" i="49"/>
  <c r="AF269" i="49"/>
  <c r="AE269" i="49"/>
  <c r="AD269" i="49"/>
  <c r="AC269" i="49"/>
  <c r="AB269" i="49"/>
  <c r="AA269" i="49"/>
  <c r="Z269" i="49"/>
  <c r="Y269" i="49"/>
  <c r="X269" i="49"/>
  <c r="W269" i="49"/>
  <c r="V269" i="49"/>
  <c r="U269" i="49"/>
  <c r="T269" i="49"/>
  <c r="S269" i="49"/>
  <c r="R269" i="49"/>
  <c r="Q269" i="49"/>
  <c r="P269" i="49"/>
  <c r="O269" i="49"/>
  <c r="N269" i="49"/>
  <c r="M269" i="49"/>
  <c r="L269" i="49"/>
  <c r="K269" i="49"/>
  <c r="J269" i="49"/>
  <c r="I269" i="49"/>
  <c r="H269" i="49"/>
  <c r="G269" i="49"/>
  <c r="F269" i="49"/>
  <c r="E269" i="49"/>
  <c r="D269" i="49"/>
  <c r="C269" i="49"/>
  <c r="B269" i="49"/>
  <c r="A269" i="49"/>
  <c r="AF268" i="49"/>
  <c r="AE268" i="49"/>
  <c r="AD268" i="49"/>
  <c r="AC268" i="49"/>
  <c r="AB268" i="49"/>
  <c r="AA268" i="49"/>
  <c r="Z268" i="49"/>
  <c r="Y268" i="49"/>
  <c r="X268" i="49"/>
  <c r="W268" i="49"/>
  <c r="V268" i="49"/>
  <c r="U268" i="49"/>
  <c r="T268" i="49"/>
  <c r="S268" i="49"/>
  <c r="R268" i="49"/>
  <c r="Q268" i="49"/>
  <c r="P268" i="49"/>
  <c r="O268" i="49"/>
  <c r="N268" i="49"/>
  <c r="M268" i="49"/>
  <c r="L268" i="49"/>
  <c r="K268" i="49"/>
  <c r="J268" i="49"/>
  <c r="I268" i="49"/>
  <c r="H268" i="49"/>
  <c r="G268" i="49"/>
  <c r="F268" i="49"/>
  <c r="E268" i="49"/>
  <c r="D268" i="49"/>
  <c r="C268" i="49"/>
  <c r="B268" i="49"/>
  <c r="A268" i="49"/>
  <c r="AE267" i="49"/>
  <c r="AD267" i="49"/>
  <c r="AC267" i="49"/>
  <c r="AB267" i="49"/>
  <c r="AA267" i="49"/>
  <c r="Z267" i="49"/>
  <c r="Y267" i="49"/>
  <c r="X267" i="49"/>
  <c r="W267" i="49"/>
  <c r="V267" i="49"/>
  <c r="U267" i="49"/>
  <c r="T267" i="49"/>
  <c r="S267" i="49"/>
  <c r="R267" i="49"/>
  <c r="Q267" i="49"/>
  <c r="P267" i="49"/>
  <c r="C267" i="49"/>
  <c r="B267" i="49"/>
  <c r="S242" i="49"/>
  <c r="AG232" i="49"/>
  <c r="AG65" i="49" s="1"/>
  <c r="AG66" i="49" s="1"/>
  <c r="AG3" i="49" s="1"/>
  <c r="AF232" i="49"/>
  <c r="AE232" i="49"/>
  <c r="AD232" i="49"/>
  <c r="AC232" i="49"/>
  <c r="AB232" i="49"/>
  <c r="AA232" i="49"/>
  <c r="Z232" i="49"/>
  <c r="Y232" i="49"/>
  <c r="X232" i="49"/>
  <c r="W232" i="49"/>
  <c r="V232" i="49"/>
  <c r="U232" i="49"/>
  <c r="T232" i="49"/>
  <c r="S232" i="49"/>
  <c r="R232" i="49"/>
  <c r="Q232" i="49"/>
  <c r="C232" i="49"/>
  <c r="E231" i="49"/>
  <c r="D267" i="49" s="1"/>
  <c r="D231" i="49"/>
  <c r="B231" i="49"/>
  <c r="AF267" i="49" s="1"/>
  <c r="D230" i="49"/>
  <c r="E230" i="49" s="1"/>
  <c r="F230" i="49" s="1"/>
  <c r="G230" i="49" s="1"/>
  <c r="H230" i="49" s="1"/>
  <c r="I230" i="49" s="1"/>
  <c r="J230" i="49" s="1"/>
  <c r="K230" i="49" s="1"/>
  <c r="L230" i="49" s="1"/>
  <c r="M230" i="49" s="1"/>
  <c r="N230" i="49" s="1"/>
  <c r="O230" i="49" s="1"/>
  <c r="P230" i="49" s="1"/>
  <c r="B230" i="49"/>
  <c r="D229" i="49"/>
  <c r="D232" i="49" s="1"/>
  <c r="B229" i="49"/>
  <c r="E228" i="49"/>
  <c r="F228" i="49" s="1"/>
  <c r="G228" i="49" s="1"/>
  <c r="H228" i="49" s="1"/>
  <c r="D228" i="49"/>
  <c r="B228" i="49"/>
  <c r="E227" i="49"/>
  <c r="F227" i="49" s="1"/>
  <c r="G227" i="49" s="1"/>
  <c r="H227" i="49" s="1"/>
  <c r="I227" i="49" s="1"/>
  <c r="J227" i="49" s="1"/>
  <c r="K227" i="49" s="1"/>
  <c r="L227" i="49" s="1"/>
  <c r="M227" i="49" s="1"/>
  <c r="N227" i="49" s="1"/>
  <c r="O227" i="49" s="1"/>
  <c r="P227" i="49" s="1"/>
  <c r="D227" i="49"/>
  <c r="B227" i="49"/>
  <c r="D226" i="49"/>
  <c r="E226" i="49" s="1"/>
  <c r="B226" i="49"/>
  <c r="B108" i="49" s="1"/>
  <c r="AG224" i="49"/>
  <c r="AF224" i="49"/>
  <c r="AE224" i="49"/>
  <c r="AD224" i="49"/>
  <c r="AC224" i="49"/>
  <c r="AB224" i="49"/>
  <c r="AA224" i="49"/>
  <c r="Z224" i="49"/>
  <c r="Y224" i="49"/>
  <c r="X224" i="49"/>
  <c r="W224" i="49"/>
  <c r="V224" i="49"/>
  <c r="U224" i="49"/>
  <c r="T224" i="49"/>
  <c r="S224" i="49"/>
  <c r="R224" i="49"/>
  <c r="Q224" i="49"/>
  <c r="P224" i="49"/>
  <c r="O224" i="49"/>
  <c r="N224" i="49"/>
  <c r="M224" i="49"/>
  <c r="L224" i="49"/>
  <c r="K224" i="49"/>
  <c r="J224" i="49"/>
  <c r="I224" i="49"/>
  <c r="H224" i="49"/>
  <c r="G224" i="49"/>
  <c r="E224" i="49"/>
  <c r="D224" i="49"/>
  <c r="C224" i="49"/>
  <c r="B224" i="49"/>
  <c r="AI117" i="49"/>
  <c r="AH117" i="49"/>
  <c r="AI116" i="49"/>
  <c r="AH116" i="49"/>
  <c r="AI115" i="49"/>
  <c r="AH115" i="49"/>
  <c r="AI114" i="49"/>
  <c r="AH114" i="49"/>
  <c r="AI113" i="49"/>
  <c r="AH113" i="49"/>
  <c r="AI112" i="49"/>
  <c r="AH112" i="49"/>
  <c r="AI110" i="49"/>
  <c r="AH110" i="49"/>
  <c r="AI109" i="49"/>
  <c r="AH109" i="49"/>
  <c r="AF108" i="49"/>
  <c r="AE108" i="49"/>
  <c r="AD108" i="49"/>
  <c r="AC108" i="49"/>
  <c r="AB108" i="49"/>
  <c r="AA108" i="49"/>
  <c r="Z108" i="49"/>
  <c r="Y108" i="49"/>
  <c r="X108" i="49"/>
  <c r="W108" i="49"/>
  <c r="V108" i="49"/>
  <c r="U108" i="49"/>
  <c r="T108" i="49"/>
  <c r="S108" i="49"/>
  <c r="R108" i="49"/>
  <c r="Q108" i="49"/>
  <c r="D108" i="49"/>
  <c r="C108" i="49"/>
  <c r="AI107" i="49"/>
  <c r="AH107" i="49"/>
  <c r="AI106" i="49"/>
  <c r="AH106" i="49"/>
  <c r="AI105" i="49"/>
  <c r="AH105" i="49"/>
  <c r="AI104" i="49"/>
  <c r="AH104" i="49"/>
  <c r="AI103" i="49"/>
  <c r="AH103" i="49"/>
  <c r="AI102" i="49"/>
  <c r="AH102" i="49"/>
  <c r="AI101" i="49"/>
  <c r="AH101" i="49"/>
  <c r="AI100" i="49"/>
  <c r="AH100" i="49"/>
  <c r="AI99" i="49"/>
  <c r="AH99" i="49"/>
  <c r="AI97" i="49"/>
  <c r="AH97" i="49"/>
  <c r="AI96" i="49"/>
  <c r="AH96" i="49"/>
  <c r="AI95" i="49"/>
  <c r="AH95" i="49"/>
  <c r="AI94" i="49"/>
  <c r="AH94" i="49"/>
  <c r="AI93" i="49"/>
  <c r="AH93" i="49"/>
  <c r="AI92" i="49"/>
  <c r="AH92" i="49"/>
  <c r="AI91" i="49"/>
  <c r="AH91" i="49"/>
  <c r="AI88" i="49"/>
  <c r="AH88" i="49"/>
  <c r="AI86" i="49"/>
  <c r="AH86" i="49"/>
  <c r="AG86" i="49"/>
  <c r="AI85" i="49"/>
  <c r="AH85" i="49"/>
  <c r="AI84" i="49"/>
  <c r="AH84" i="49"/>
  <c r="AI83" i="49"/>
  <c r="AH83" i="49"/>
  <c r="AN82" i="49"/>
  <c r="AG82" i="49"/>
  <c r="AF82" i="49"/>
  <c r="AE5" i="49" s="1"/>
  <c r="AE82" i="49"/>
  <c r="AE98" i="49" s="1"/>
  <c r="AD82" i="49"/>
  <c r="AD98" i="49" s="1"/>
  <c r="AC82" i="49"/>
  <c r="AC98" i="49" s="1"/>
  <c r="AB82" i="49"/>
  <c r="AB98" i="49" s="1"/>
  <c r="AA82" i="49"/>
  <c r="AA98" i="49" s="1"/>
  <c r="Z82" i="49"/>
  <c r="Z98" i="49" s="1"/>
  <c r="Y82" i="49"/>
  <c r="Y98" i="49" s="1"/>
  <c r="X82" i="49"/>
  <c r="W5" i="49" s="1"/>
  <c r="W82" i="49"/>
  <c r="W98" i="49" s="1"/>
  <c r="V82" i="49"/>
  <c r="V98" i="49" s="1"/>
  <c r="U82" i="49"/>
  <c r="U98" i="49" s="1"/>
  <c r="T82" i="49"/>
  <c r="T98" i="49" s="1"/>
  <c r="S82" i="49"/>
  <c r="S98" i="49" s="1"/>
  <c r="R82" i="49"/>
  <c r="Q5" i="49" s="1"/>
  <c r="Q82" i="49"/>
  <c r="Q98" i="49" s="1"/>
  <c r="P82" i="49"/>
  <c r="O5" i="49" s="1"/>
  <c r="O82" i="49"/>
  <c r="O98" i="49" s="1"/>
  <c r="N82" i="49"/>
  <c r="N98" i="49" s="1"/>
  <c r="M82" i="49"/>
  <c r="M98" i="49" s="1"/>
  <c r="L82" i="49"/>
  <c r="L98" i="49" s="1"/>
  <c r="K82" i="49"/>
  <c r="K98" i="49" s="1"/>
  <c r="F82" i="49"/>
  <c r="F98" i="49" s="1"/>
  <c r="E82" i="49"/>
  <c r="E98" i="49" s="1"/>
  <c r="D82" i="49"/>
  <c r="D98" i="49" s="1"/>
  <c r="C82" i="49"/>
  <c r="C98" i="49" s="1"/>
  <c r="B82" i="49"/>
  <c r="AI81" i="49"/>
  <c r="AH81" i="49"/>
  <c r="AN80" i="49"/>
  <c r="AI80" i="49"/>
  <c r="AH80" i="49"/>
  <c r="AN79" i="49"/>
  <c r="AN81" i="49" s="1"/>
  <c r="AI79" i="49"/>
  <c r="AH79" i="49"/>
  <c r="AI78" i="49"/>
  <c r="AH78" i="49"/>
  <c r="AI77" i="49"/>
  <c r="AH77" i="49"/>
  <c r="AI76" i="49"/>
  <c r="AH76" i="49"/>
  <c r="AI75" i="49"/>
  <c r="AH75" i="49"/>
  <c r="AI74" i="49"/>
  <c r="AH74" i="49"/>
  <c r="AI73" i="49"/>
  <c r="AH73" i="49"/>
  <c r="AI72" i="49"/>
  <c r="AH72" i="49"/>
  <c r="AI71" i="49"/>
  <c r="AH71" i="49"/>
  <c r="AG70" i="49"/>
  <c r="AF70" i="49"/>
  <c r="AE70" i="49"/>
  <c r="AD70" i="49"/>
  <c r="AC70" i="49"/>
  <c r="AB70" i="49"/>
  <c r="AA70" i="49"/>
  <c r="Z70" i="49"/>
  <c r="Y70" i="49"/>
  <c r="X70" i="49"/>
  <c r="W70" i="49"/>
  <c r="V70" i="49"/>
  <c r="U70" i="49"/>
  <c r="T70" i="49"/>
  <c r="S70" i="49"/>
  <c r="R70" i="49"/>
  <c r="Q70" i="49"/>
  <c r="P70" i="49"/>
  <c r="O70" i="49"/>
  <c r="N70" i="49"/>
  <c r="M70" i="49"/>
  <c r="L70" i="49"/>
  <c r="B70" i="49"/>
  <c r="AI69" i="49"/>
  <c r="AH69" i="49"/>
  <c r="AI68" i="49"/>
  <c r="AH68" i="49"/>
  <c r="AI67" i="49"/>
  <c r="AH67" i="49"/>
  <c r="AF66" i="49"/>
  <c r="AE66" i="49"/>
  <c r="AD66" i="49"/>
  <c r="AC66" i="49"/>
  <c r="AB66" i="49"/>
  <c r="AA66" i="49"/>
  <c r="Z66" i="49"/>
  <c r="Y66" i="49"/>
  <c r="X66" i="49"/>
  <c r="W66" i="49"/>
  <c r="V66" i="49"/>
  <c r="U66" i="49"/>
  <c r="T66" i="49"/>
  <c r="S66" i="49"/>
  <c r="R66" i="49"/>
  <c r="Q66" i="49"/>
  <c r="P66" i="49"/>
  <c r="O66" i="49"/>
  <c r="N66" i="49"/>
  <c r="M66" i="49"/>
  <c r="L66" i="49"/>
  <c r="K66" i="49"/>
  <c r="F66" i="49"/>
  <c r="E66" i="49"/>
  <c r="D66" i="49"/>
  <c r="C66" i="49"/>
  <c r="B66" i="49"/>
  <c r="AI65" i="49"/>
  <c r="AH65" i="49"/>
  <c r="AI64" i="49"/>
  <c r="AH64" i="49"/>
  <c r="AI63" i="49"/>
  <c r="AH63" i="49"/>
  <c r="AI62" i="49"/>
  <c r="AH62" i="49"/>
  <c r="AI61" i="49"/>
  <c r="AH61" i="49"/>
  <c r="AI60" i="49"/>
  <c r="AH60" i="49"/>
  <c r="AI59" i="49"/>
  <c r="AH59" i="49"/>
  <c r="AI58" i="49"/>
  <c r="AH58" i="49"/>
  <c r="AI57" i="49"/>
  <c r="AH57" i="49"/>
  <c r="AI56" i="49"/>
  <c r="AH56" i="49"/>
  <c r="AI55" i="49"/>
  <c r="AH55" i="49"/>
  <c r="AI54" i="49"/>
  <c r="AH54" i="49"/>
  <c r="AI53" i="49"/>
  <c r="AH53" i="49"/>
  <c r="AG52" i="49"/>
  <c r="AF52" i="49"/>
  <c r="AE52" i="49"/>
  <c r="AD52" i="49"/>
  <c r="AC52" i="49"/>
  <c r="AB52" i="49"/>
  <c r="AA52" i="49"/>
  <c r="Z52" i="49"/>
  <c r="Y52" i="49"/>
  <c r="X52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F52" i="49"/>
  <c r="E52" i="49"/>
  <c r="D52" i="49"/>
  <c r="C52" i="49"/>
  <c r="B52" i="49"/>
  <c r="AI51" i="49"/>
  <c r="AH51" i="49"/>
  <c r="AI50" i="49"/>
  <c r="AH50" i="49"/>
  <c r="AI49" i="49"/>
  <c r="AH49" i="49"/>
  <c r="AG48" i="49"/>
  <c r="AG2" i="49" s="1"/>
  <c r="AF48" i="49"/>
  <c r="AE48" i="49"/>
  <c r="AD48" i="49"/>
  <c r="AC48" i="49"/>
  <c r="AB48" i="49"/>
  <c r="AA48" i="49"/>
  <c r="Z48" i="49"/>
  <c r="Y48" i="49"/>
  <c r="X48" i="49"/>
  <c r="W48" i="49"/>
  <c r="V48" i="49"/>
  <c r="U48" i="49"/>
  <c r="T48" i="49"/>
  <c r="S48" i="49"/>
  <c r="R48" i="49"/>
  <c r="Q48" i="49"/>
  <c r="P48" i="49"/>
  <c r="O48" i="49"/>
  <c r="N48" i="49"/>
  <c r="M48" i="49"/>
  <c r="L48" i="49"/>
  <c r="K48" i="49"/>
  <c r="E48" i="49"/>
  <c r="D48" i="49"/>
  <c r="C48" i="49"/>
  <c r="B48" i="49"/>
  <c r="AI47" i="49"/>
  <c r="AH47" i="49"/>
  <c r="AI46" i="49"/>
  <c r="AH46" i="49"/>
  <c r="AI45" i="49"/>
  <c r="AH45" i="49"/>
  <c r="AI44" i="49"/>
  <c r="AH44" i="49"/>
  <c r="AI43" i="49"/>
  <c r="AH43" i="49"/>
  <c r="AI42" i="49"/>
  <c r="AH42" i="49"/>
  <c r="AI41" i="49"/>
  <c r="AH41" i="49"/>
  <c r="AI40" i="49"/>
  <c r="AH40" i="49"/>
  <c r="AI39" i="49"/>
  <c r="AH39" i="49"/>
  <c r="AI38" i="49"/>
  <c r="AH38" i="49"/>
  <c r="AI37" i="49"/>
  <c r="AH37" i="49"/>
  <c r="AI36" i="49"/>
  <c r="AH36" i="49"/>
  <c r="AI35" i="49"/>
  <c r="AH35" i="49"/>
  <c r="AI34" i="49"/>
  <c r="AH34" i="49"/>
  <c r="AI33" i="49"/>
  <c r="AH33" i="49"/>
  <c r="AI32" i="49"/>
  <c r="AH32" i="49"/>
  <c r="AI31" i="49"/>
  <c r="AH31" i="49"/>
  <c r="AI30" i="49"/>
  <c r="AH30" i="49"/>
  <c r="AI29" i="49"/>
  <c r="AH29" i="49"/>
  <c r="AI28" i="49"/>
  <c r="AH28" i="49"/>
  <c r="AI27" i="49"/>
  <c r="AH27" i="49"/>
  <c r="AI26" i="49"/>
  <c r="AH26" i="49"/>
  <c r="AI25" i="49"/>
  <c r="AH25" i="49"/>
  <c r="AI24" i="49"/>
  <c r="AH24" i="49"/>
  <c r="AI23" i="49"/>
  <c r="AH23" i="49"/>
  <c r="AI22" i="49"/>
  <c r="AH22" i="49"/>
  <c r="AI21" i="49"/>
  <c r="AH21" i="49"/>
  <c r="AI20" i="49"/>
  <c r="AH20" i="49"/>
  <c r="AI19" i="49"/>
  <c r="AH19" i="49"/>
  <c r="AI18" i="49"/>
  <c r="AH18" i="49"/>
  <c r="AI17" i="49"/>
  <c r="AH17" i="49"/>
  <c r="AI16" i="49"/>
  <c r="AH16" i="49"/>
  <c r="AI15" i="49"/>
  <c r="AH15" i="49"/>
  <c r="AI14" i="49"/>
  <c r="AH14" i="49"/>
  <c r="AI13" i="49"/>
  <c r="AH13" i="49"/>
  <c r="AI12" i="49"/>
  <c r="AH12" i="49"/>
  <c r="AI11" i="49"/>
  <c r="AH11" i="49"/>
  <c r="U5" i="49"/>
  <c r="T5" i="49"/>
  <c r="AG4" i="49"/>
  <c r="K4" i="49"/>
  <c r="E4" i="49"/>
  <c r="H4" i="49" s="1"/>
  <c r="B4" i="49"/>
  <c r="S243" i="49" s="1"/>
  <c r="AB111" i="48"/>
  <c r="AB48" i="48"/>
  <c r="AB52" i="48"/>
  <c r="AB66" i="48"/>
  <c r="AB70" i="48"/>
  <c r="AB82" i="48"/>
  <c r="AF87" i="49" l="1"/>
  <c r="AF89" i="49" s="1"/>
  <c r="AD5" i="49"/>
  <c r="AE87" i="49"/>
  <c r="AE89" i="49" s="1"/>
  <c r="AC5" i="49"/>
  <c r="AD87" i="49"/>
  <c r="AD89" i="49" s="1"/>
  <c r="AC87" i="49"/>
  <c r="AC89" i="49" s="1"/>
  <c r="AB5" i="49"/>
  <c r="AA5" i="49"/>
  <c r="AB87" i="49"/>
  <c r="AB89" i="49" s="1"/>
  <c r="Z5" i="49"/>
  <c r="AA87" i="49"/>
  <c r="AA89" i="49" s="1"/>
  <c r="Y5" i="49"/>
  <c r="X5" i="49"/>
  <c r="Y87" i="49"/>
  <c r="Y89" i="49" s="1"/>
  <c r="Z87" i="49"/>
  <c r="Z89" i="49" s="1"/>
  <c r="X87" i="49"/>
  <c r="X89" i="49" s="1"/>
  <c r="V5" i="49"/>
  <c r="W87" i="49"/>
  <c r="W89" i="49" s="1"/>
  <c r="V87" i="49"/>
  <c r="V89" i="49" s="1"/>
  <c r="S5" i="49"/>
  <c r="T87" i="49"/>
  <c r="T89" i="49" s="1"/>
  <c r="U87" i="49"/>
  <c r="U89" i="49" s="1"/>
  <c r="R5" i="49"/>
  <c r="S87" i="49"/>
  <c r="S89" i="49" s="1"/>
  <c r="AG6" i="49"/>
  <c r="R98" i="49"/>
  <c r="R87" i="49"/>
  <c r="R89" i="49" s="1"/>
  <c r="P5" i="49"/>
  <c r="AI70" i="49"/>
  <c r="Q87" i="49"/>
  <c r="Q89" i="49" s="1"/>
  <c r="P87" i="49"/>
  <c r="P89" i="49" s="1"/>
  <c r="N5" i="49"/>
  <c r="O87" i="49"/>
  <c r="O89" i="49" s="1"/>
  <c r="M5" i="49"/>
  <c r="N87" i="49"/>
  <c r="N89" i="49" s="1"/>
  <c r="L5" i="49"/>
  <c r="M87" i="49"/>
  <c r="M89" i="49" s="1"/>
  <c r="M90" i="49" s="1"/>
  <c r="K5" i="49"/>
  <c r="L87" i="49"/>
  <c r="L89" i="49" s="1"/>
  <c r="L90" i="49" s="1"/>
  <c r="I98" i="49"/>
  <c r="J5" i="49"/>
  <c r="K87" i="49"/>
  <c r="K89" i="49" s="1"/>
  <c r="K90" i="49" s="1"/>
  <c r="J87" i="49"/>
  <c r="J89" i="49" s="1"/>
  <c r="J90" i="49" s="1"/>
  <c r="AH111" i="49"/>
  <c r="AI111" i="49"/>
  <c r="I87" i="49"/>
  <c r="I89" i="49" s="1"/>
  <c r="I90" i="49" s="1"/>
  <c r="J98" i="49"/>
  <c r="H87" i="49"/>
  <c r="H89" i="49" s="1"/>
  <c r="H90" i="49" s="1"/>
  <c r="G87" i="49"/>
  <c r="G89" i="49" s="1"/>
  <c r="G90" i="49" s="1"/>
  <c r="F5" i="49"/>
  <c r="E5" i="49"/>
  <c r="E87" i="49"/>
  <c r="E89" i="49" s="1"/>
  <c r="E7" i="49" s="1"/>
  <c r="F87" i="49"/>
  <c r="F89" i="49" s="1"/>
  <c r="F90" i="49" s="1"/>
  <c r="D5" i="49"/>
  <c r="C5" i="49"/>
  <c r="B5" i="49"/>
  <c r="AH82" i="49"/>
  <c r="D87" i="49"/>
  <c r="D89" i="49" s="1"/>
  <c r="D7" i="49" s="1"/>
  <c r="AH66" i="49"/>
  <c r="AH52" i="49"/>
  <c r="C87" i="49"/>
  <c r="C89" i="49" s="1"/>
  <c r="C90" i="49" s="1"/>
  <c r="AF5" i="49"/>
  <c r="B98" i="49"/>
  <c r="B87" i="49"/>
  <c r="N7" i="49"/>
  <c r="AF246" i="49"/>
  <c r="N90" i="49"/>
  <c r="V7" i="49"/>
  <c r="AN246" i="49"/>
  <c r="V90" i="49"/>
  <c r="AD7" i="49"/>
  <c r="AV246" i="49"/>
  <c r="AD90" i="49"/>
  <c r="AF90" i="49"/>
  <c r="AF7" i="49"/>
  <c r="AX246" i="49"/>
  <c r="AG246" i="49"/>
  <c r="O90" i="49"/>
  <c r="O7" i="49"/>
  <c r="AO246" i="49"/>
  <c r="W90" i="49"/>
  <c r="W7" i="49"/>
  <c r="AW246" i="49"/>
  <c r="AE90" i="49"/>
  <c r="AE7" i="49"/>
  <c r="D90" i="49"/>
  <c r="Q90" i="49"/>
  <c r="AI246" i="49"/>
  <c r="Q7" i="49"/>
  <c r="Y90" i="49"/>
  <c r="AQ246" i="49"/>
  <c r="Y7" i="49"/>
  <c r="AG87" i="49"/>
  <c r="R90" i="49"/>
  <c r="R7" i="49"/>
  <c r="AJ246" i="49"/>
  <c r="Z246" i="49"/>
  <c r="Z90" i="49"/>
  <c r="Z7" i="49"/>
  <c r="AR246" i="49"/>
  <c r="AA90" i="49"/>
  <c r="AS246" i="49"/>
  <c r="AA7" i="49"/>
  <c r="AB90" i="49"/>
  <c r="AT246" i="49"/>
  <c r="AB7" i="49"/>
  <c r="F226" i="49"/>
  <c r="X90" i="49"/>
  <c r="X7" i="49"/>
  <c r="AP246" i="49"/>
  <c r="S7" i="49"/>
  <c r="S90" i="49"/>
  <c r="AK246" i="49"/>
  <c r="P90" i="49"/>
  <c r="P7" i="49"/>
  <c r="AH246" i="49"/>
  <c r="T90" i="49"/>
  <c r="T7" i="49"/>
  <c r="AL246" i="49"/>
  <c r="W246" i="49"/>
  <c r="E90" i="49"/>
  <c r="M7" i="49"/>
  <c r="AE246" i="49"/>
  <c r="U7" i="49"/>
  <c r="AM246" i="49"/>
  <c r="U90" i="49"/>
  <c r="AC7" i="49"/>
  <c r="AU246" i="49"/>
  <c r="AC90" i="49"/>
  <c r="AG89" i="49"/>
  <c r="AI82" i="49"/>
  <c r="AH70" i="49"/>
  <c r="D243" i="49"/>
  <c r="AI66" i="49"/>
  <c r="H98" i="49"/>
  <c r="P98" i="49"/>
  <c r="X98" i="49"/>
  <c r="AF98" i="49"/>
  <c r="F231" i="49"/>
  <c r="AH48" i="49"/>
  <c r="AI48" i="49"/>
  <c r="AI52" i="49"/>
  <c r="E229" i="49"/>
  <c r="F229" i="49" s="1"/>
  <c r="G229" i="49" s="1"/>
  <c r="H229" i="49" s="1"/>
  <c r="I229" i="49" s="1"/>
  <c r="B232" i="49"/>
  <c r="AB87" i="48"/>
  <c r="AI98" i="49" l="1"/>
  <c r="L7" i="49"/>
  <c r="AD246" i="49"/>
  <c r="J7" i="49"/>
  <c r="F7" i="49"/>
  <c r="AB246" i="49"/>
  <c r="X246" i="49"/>
  <c r="G7" i="49"/>
  <c r="Y246" i="49"/>
  <c r="H7" i="49"/>
  <c r="AA246" i="49"/>
  <c r="I7" i="49"/>
  <c r="AC246" i="49"/>
  <c r="K7" i="49"/>
  <c r="C241" i="49"/>
  <c r="K6" i="49" s="1"/>
  <c r="B241" i="49"/>
  <c r="V246" i="49"/>
  <c r="C7" i="49"/>
  <c r="U246" i="49"/>
  <c r="AH87" i="49"/>
  <c r="AI87" i="49"/>
  <c r="B89" i="49"/>
  <c r="T246" i="49" s="1"/>
  <c r="G231" i="49"/>
  <c r="E267" i="49"/>
  <c r="G226" i="49"/>
  <c r="F232" i="49"/>
  <c r="E232" i="49"/>
  <c r="J229" i="49"/>
  <c r="K229" i="49" s="1"/>
  <c r="L229" i="49" s="1"/>
  <c r="M229" i="49" s="1"/>
  <c r="N229" i="49" s="1"/>
  <c r="O229" i="49" s="1"/>
  <c r="P229" i="49" s="1"/>
  <c r="B90" i="49"/>
  <c r="AI89" i="49"/>
  <c r="AH89" i="49"/>
  <c r="B7" i="49"/>
  <c r="AH98" i="49"/>
  <c r="A7" i="49" l="1"/>
  <c r="H226" i="49"/>
  <c r="G232" i="49"/>
  <c r="AH90" i="49"/>
  <c r="AI90" i="49"/>
  <c r="F267" i="49"/>
  <c r="H231" i="49"/>
  <c r="G267" i="49" l="1"/>
  <c r="I231" i="49"/>
  <c r="I226" i="49"/>
  <c r="H232" i="49"/>
  <c r="H267" i="49" l="1"/>
  <c r="J231" i="49"/>
  <c r="J226" i="49"/>
  <c r="K231" i="49" l="1"/>
  <c r="I267" i="49"/>
  <c r="K226" i="49"/>
  <c r="J267" i="49" l="1"/>
  <c r="L231" i="49"/>
  <c r="L226" i="49"/>
  <c r="K108" i="49"/>
  <c r="M226" i="49" l="1"/>
  <c r="L108" i="49"/>
  <c r="M231" i="49"/>
  <c r="K267" i="49"/>
  <c r="L267" i="49" l="1"/>
  <c r="N231" i="49"/>
  <c r="N226" i="49"/>
  <c r="M108" i="49"/>
  <c r="K70" i="48"/>
  <c r="L70" i="48"/>
  <c r="M70" i="48"/>
  <c r="N70" i="48"/>
  <c r="O70" i="48"/>
  <c r="P70" i="48"/>
  <c r="Q70" i="48"/>
  <c r="R70" i="48"/>
  <c r="S70" i="48"/>
  <c r="T70" i="48"/>
  <c r="U70" i="48"/>
  <c r="V70" i="48"/>
  <c r="W70" i="48"/>
  <c r="X70" i="48"/>
  <c r="Y70" i="48"/>
  <c r="Z70" i="48"/>
  <c r="AA70" i="48"/>
  <c r="AC70" i="48"/>
  <c r="AD70" i="48"/>
  <c r="AE70" i="48"/>
  <c r="AF70" i="48"/>
  <c r="C70" i="48"/>
  <c r="D70" i="48"/>
  <c r="E70" i="48"/>
  <c r="F70" i="48"/>
  <c r="G70" i="48"/>
  <c r="H70" i="48"/>
  <c r="I70" i="48"/>
  <c r="J70" i="48"/>
  <c r="J66" i="48"/>
  <c r="J52" i="48"/>
  <c r="J48" i="48"/>
  <c r="AF271" i="48"/>
  <c r="AE271" i="48"/>
  <c r="AD271" i="48"/>
  <c r="AC271" i="48"/>
  <c r="AB271" i="48"/>
  <c r="AA271" i="48"/>
  <c r="Z271" i="48"/>
  <c r="Y271" i="48"/>
  <c r="X271" i="48"/>
  <c r="W271" i="48"/>
  <c r="V271" i="48"/>
  <c r="U271" i="48"/>
  <c r="T271" i="48"/>
  <c r="S271" i="48"/>
  <c r="R271" i="48"/>
  <c r="Q271" i="48"/>
  <c r="P271" i="48"/>
  <c r="O271" i="48"/>
  <c r="N271" i="48"/>
  <c r="M271" i="48"/>
  <c r="L271" i="48"/>
  <c r="K271" i="48"/>
  <c r="J271" i="48"/>
  <c r="I271" i="48"/>
  <c r="H271" i="48"/>
  <c r="G271" i="48"/>
  <c r="F271" i="48"/>
  <c r="E271" i="48"/>
  <c r="D271" i="48"/>
  <c r="C271" i="48"/>
  <c r="B271" i="48"/>
  <c r="A271" i="48"/>
  <c r="AF270" i="48"/>
  <c r="AE270" i="48"/>
  <c r="AD270" i="48"/>
  <c r="AC270" i="48"/>
  <c r="AB270" i="48"/>
  <c r="AA270" i="48"/>
  <c r="Z270" i="48"/>
  <c r="Y270" i="48"/>
  <c r="X270" i="48"/>
  <c r="W270" i="48"/>
  <c r="V270" i="48"/>
  <c r="U270" i="48"/>
  <c r="T270" i="48"/>
  <c r="S270" i="48"/>
  <c r="R270" i="48"/>
  <c r="Q270" i="48"/>
  <c r="P270" i="48"/>
  <c r="O270" i="48"/>
  <c r="N270" i="48"/>
  <c r="M270" i="48"/>
  <c r="L270" i="48"/>
  <c r="K270" i="48"/>
  <c r="J270" i="48"/>
  <c r="I270" i="48"/>
  <c r="H270" i="48"/>
  <c r="G270" i="48"/>
  <c r="F270" i="48"/>
  <c r="E270" i="48"/>
  <c r="D270" i="48"/>
  <c r="C270" i="48"/>
  <c r="B270" i="48"/>
  <c r="A270" i="48"/>
  <c r="AF269" i="48"/>
  <c r="AE269" i="48"/>
  <c r="AD269" i="48"/>
  <c r="AC269" i="48"/>
  <c r="AB269" i="48"/>
  <c r="AA269" i="48"/>
  <c r="Z269" i="48"/>
  <c r="Y269" i="48"/>
  <c r="X269" i="48"/>
  <c r="W269" i="48"/>
  <c r="V269" i="48"/>
  <c r="U269" i="48"/>
  <c r="T269" i="48"/>
  <c r="S269" i="48"/>
  <c r="R269" i="48"/>
  <c r="Q269" i="48"/>
  <c r="P269" i="48"/>
  <c r="O269" i="48"/>
  <c r="N269" i="48"/>
  <c r="M269" i="48"/>
  <c r="L269" i="48"/>
  <c r="K269" i="48"/>
  <c r="J269" i="48"/>
  <c r="I269" i="48"/>
  <c r="H269" i="48"/>
  <c r="G269" i="48"/>
  <c r="F269" i="48"/>
  <c r="E269" i="48"/>
  <c r="D269" i="48"/>
  <c r="C269" i="48"/>
  <c r="B269" i="48"/>
  <c r="A269" i="48"/>
  <c r="AF268" i="48"/>
  <c r="AE268" i="48"/>
  <c r="AD268" i="48"/>
  <c r="AC268" i="48"/>
  <c r="AB268" i="48"/>
  <c r="AA268" i="48"/>
  <c r="Z268" i="48"/>
  <c r="Y268" i="48"/>
  <c r="X268" i="48"/>
  <c r="W268" i="48"/>
  <c r="V268" i="48"/>
  <c r="U268" i="48"/>
  <c r="T268" i="48"/>
  <c r="S268" i="48"/>
  <c r="R268" i="48"/>
  <c r="Q268" i="48"/>
  <c r="P268" i="48"/>
  <c r="O268" i="48"/>
  <c r="N268" i="48"/>
  <c r="M268" i="48"/>
  <c r="L268" i="48"/>
  <c r="K268" i="48"/>
  <c r="J268" i="48"/>
  <c r="I268" i="48"/>
  <c r="H268" i="48"/>
  <c r="G268" i="48"/>
  <c r="F268" i="48"/>
  <c r="E268" i="48"/>
  <c r="D268" i="48"/>
  <c r="C268" i="48"/>
  <c r="B268" i="48"/>
  <c r="A268" i="48"/>
  <c r="AE267" i="48"/>
  <c r="AD267" i="48"/>
  <c r="AC267" i="48"/>
  <c r="AB267" i="48"/>
  <c r="AA267" i="48"/>
  <c r="Z267" i="48"/>
  <c r="Y267" i="48"/>
  <c r="X267" i="48"/>
  <c r="W267" i="48"/>
  <c r="V267" i="48"/>
  <c r="U267" i="48"/>
  <c r="T267" i="48"/>
  <c r="S267" i="48"/>
  <c r="R267" i="48"/>
  <c r="Q267" i="48"/>
  <c r="P267" i="48"/>
  <c r="B267" i="48"/>
  <c r="S242" i="48"/>
  <c r="AG232" i="48"/>
  <c r="AF232" i="48"/>
  <c r="AE232" i="48"/>
  <c r="AD232" i="48"/>
  <c r="AC232" i="48"/>
  <c r="AB232" i="48"/>
  <c r="AA232" i="48"/>
  <c r="Z232" i="48"/>
  <c r="Y232" i="48"/>
  <c r="X232" i="48"/>
  <c r="W232" i="48"/>
  <c r="V232" i="48"/>
  <c r="U232" i="48"/>
  <c r="T232" i="48"/>
  <c r="S232" i="48"/>
  <c r="R232" i="48"/>
  <c r="Q232" i="48"/>
  <c r="C232" i="48"/>
  <c r="D231" i="48"/>
  <c r="C267" i="48" s="1"/>
  <c r="B231" i="48"/>
  <c r="AF267" i="48" s="1"/>
  <c r="E230" i="48"/>
  <c r="F230" i="48" s="1"/>
  <c r="G230" i="48" s="1"/>
  <c r="H230" i="48" s="1"/>
  <c r="I230" i="48" s="1"/>
  <c r="J230" i="48" s="1"/>
  <c r="K230" i="48" s="1"/>
  <c r="L230" i="48" s="1"/>
  <c r="M230" i="48" s="1"/>
  <c r="N230" i="48" s="1"/>
  <c r="O230" i="48" s="1"/>
  <c r="P230" i="48" s="1"/>
  <c r="D230" i="48"/>
  <c r="B230" i="48"/>
  <c r="D229" i="48"/>
  <c r="E229" i="48" s="1"/>
  <c r="F229" i="48" s="1"/>
  <c r="G229" i="48" s="1"/>
  <c r="H229" i="48" s="1"/>
  <c r="I229" i="48" s="1"/>
  <c r="B229" i="48"/>
  <c r="D228" i="48"/>
  <c r="E228" i="48" s="1"/>
  <c r="F228" i="48" s="1"/>
  <c r="G228" i="48" s="1"/>
  <c r="H228" i="48" s="1"/>
  <c r="B228" i="48"/>
  <c r="D227" i="48"/>
  <c r="E227" i="48" s="1"/>
  <c r="B227" i="48"/>
  <c r="E226" i="48"/>
  <c r="F226" i="48" s="1"/>
  <c r="D226" i="48"/>
  <c r="D232" i="48" s="1"/>
  <c r="B226" i="48"/>
  <c r="B232" i="48" s="1"/>
  <c r="AG224" i="48"/>
  <c r="AF224" i="48"/>
  <c r="AE224" i="48"/>
  <c r="AD224" i="48"/>
  <c r="AC224" i="48"/>
  <c r="AB224" i="48"/>
  <c r="AA224" i="48"/>
  <c r="Z224" i="48"/>
  <c r="Y224" i="48"/>
  <c r="X224" i="48"/>
  <c r="W224" i="48"/>
  <c r="V224" i="48"/>
  <c r="U224" i="48"/>
  <c r="T224" i="48"/>
  <c r="S224" i="48"/>
  <c r="R224" i="48"/>
  <c r="Q224" i="48"/>
  <c r="P224" i="48"/>
  <c r="O224" i="48"/>
  <c r="N224" i="48"/>
  <c r="M224" i="48"/>
  <c r="L224" i="48"/>
  <c r="K224" i="48"/>
  <c r="J224" i="48"/>
  <c r="I224" i="48"/>
  <c r="H224" i="48"/>
  <c r="G224" i="48"/>
  <c r="F224" i="48"/>
  <c r="E224" i="48"/>
  <c r="D224" i="48"/>
  <c r="C224" i="48"/>
  <c r="B224" i="48"/>
  <c r="AI117" i="48"/>
  <c r="AH117" i="48"/>
  <c r="AI116" i="48"/>
  <c r="AH116" i="48"/>
  <c r="AI115" i="48"/>
  <c r="AH115" i="48"/>
  <c r="AI114" i="48"/>
  <c r="AH114" i="48"/>
  <c r="AI113" i="48"/>
  <c r="AH113" i="48"/>
  <c r="AI112" i="48"/>
  <c r="AH112" i="48"/>
  <c r="AI111" i="48"/>
  <c r="AH111" i="48"/>
  <c r="AI110" i="48"/>
  <c r="AH110" i="48"/>
  <c r="AI109" i="48"/>
  <c r="AH109" i="48"/>
  <c r="AF108" i="48"/>
  <c r="AE108" i="48"/>
  <c r="AD108" i="48"/>
  <c r="AC108" i="48"/>
  <c r="AB108" i="48"/>
  <c r="AA108" i="48"/>
  <c r="Z108" i="48"/>
  <c r="Y108" i="48"/>
  <c r="X108" i="48"/>
  <c r="W108" i="48"/>
  <c r="V108" i="48"/>
  <c r="U108" i="48"/>
  <c r="T108" i="48"/>
  <c r="S108" i="48"/>
  <c r="R108" i="48"/>
  <c r="Q108" i="48"/>
  <c r="C108" i="48"/>
  <c r="B108" i="48"/>
  <c r="AI107" i="48"/>
  <c r="AH107" i="48"/>
  <c r="AI106" i="48"/>
  <c r="AH106" i="48"/>
  <c r="AI105" i="48"/>
  <c r="AH105" i="48"/>
  <c r="AI104" i="48"/>
  <c r="AH104" i="48"/>
  <c r="AI103" i="48"/>
  <c r="AH103" i="48"/>
  <c r="AI102" i="48"/>
  <c r="AH102" i="48"/>
  <c r="AI101" i="48"/>
  <c r="AH101" i="48"/>
  <c r="AI100" i="48"/>
  <c r="AH100" i="48"/>
  <c r="AI99" i="48"/>
  <c r="AH99" i="48"/>
  <c r="AI97" i="48"/>
  <c r="AH97" i="48"/>
  <c r="AI96" i="48"/>
  <c r="AH96" i="48"/>
  <c r="AI95" i="48"/>
  <c r="AH95" i="48"/>
  <c r="AI94" i="48"/>
  <c r="AH94" i="48"/>
  <c r="AI93" i="48"/>
  <c r="AH93" i="48"/>
  <c r="AI92" i="48"/>
  <c r="AH92" i="48"/>
  <c r="AI91" i="48"/>
  <c r="AH91" i="48"/>
  <c r="AI88" i="48"/>
  <c r="AH88" i="48"/>
  <c r="AI86" i="48"/>
  <c r="AH86" i="48"/>
  <c r="AG86" i="48"/>
  <c r="AG89" i="48" s="1"/>
  <c r="AI85" i="48"/>
  <c r="AH85" i="48"/>
  <c r="AI84" i="48"/>
  <c r="AH84" i="48"/>
  <c r="AI83" i="48"/>
  <c r="AH83" i="48"/>
  <c r="AN82" i="48"/>
  <c r="AG82" i="48"/>
  <c r="AF82" i="48"/>
  <c r="AF98" i="48" s="1"/>
  <c r="AE82" i="48"/>
  <c r="AD5" i="48" s="1"/>
  <c r="AD82" i="48"/>
  <c r="AC5" i="48" s="1"/>
  <c r="AC82" i="48"/>
  <c r="AC98" i="48" s="1"/>
  <c r="AB98" i="48"/>
  <c r="AA82" i="48"/>
  <c r="AA98" i="48" s="1"/>
  <c r="Z82" i="48"/>
  <c r="Z98" i="48" s="1"/>
  <c r="Y82" i="48"/>
  <c r="Y98" i="48" s="1"/>
  <c r="X82" i="48"/>
  <c r="X98" i="48" s="1"/>
  <c r="W82" i="48"/>
  <c r="V5" i="48" s="1"/>
  <c r="V82" i="48"/>
  <c r="U5" i="48" s="1"/>
  <c r="U82" i="48"/>
  <c r="U98" i="48" s="1"/>
  <c r="T82" i="48"/>
  <c r="T98" i="48" s="1"/>
  <c r="S82" i="48"/>
  <c r="S98" i="48" s="1"/>
  <c r="R82" i="48"/>
  <c r="R98" i="48" s="1"/>
  <c r="Q82" i="48"/>
  <c r="Q98" i="48" s="1"/>
  <c r="P82" i="48"/>
  <c r="P98" i="48" s="1"/>
  <c r="O82" i="48"/>
  <c r="N5" i="48" s="1"/>
  <c r="N82" i="48"/>
  <c r="M5" i="48" s="1"/>
  <c r="M82" i="48"/>
  <c r="M98" i="48" s="1"/>
  <c r="L82" i="48"/>
  <c r="L98" i="48" s="1"/>
  <c r="K82" i="48"/>
  <c r="K98" i="48" s="1"/>
  <c r="J82" i="48"/>
  <c r="J98" i="48" s="1"/>
  <c r="I82" i="48"/>
  <c r="I98" i="48" s="1"/>
  <c r="H82" i="48"/>
  <c r="H98" i="48" s="1"/>
  <c r="G82" i="48"/>
  <c r="F5" i="48" s="1"/>
  <c r="F82" i="48"/>
  <c r="F98" i="48" s="1"/>
  <c r="E82" i="48"/>
  <c r="E98" i="48" s="1"/>
  <c r="D82" i="48"/>
  <c r="D98" i="48" s="1"/>
  <c r="C82" i="48"/>
  <c r="C98" i="48" s="1"/>
  <c r="B82" i="48"/>
  <c r="AF5" i="48" s="1"/>
  <c r="AI81" i="48"/>
  <c r="AH81" i="48"/>
  <c r="AN80" i="48"/>
  <c r="AI80" i="48"/>
  <c r="AH80" i="48"/>
  <c r="AN79" i="48"/>
  <c r="AN81" i="48" s="1"/>
  <c r="AI79" i="48"/>
  <c r="AH79" i="48"/>
  <c r="AI78" i="48"/>
  <c r="AH78" i="48"/>
  <c r="AI77" i="48"/>
  <c r="AH77" i="48"/>
  <c r="AI76" i="48"/>
  <c r="AH76" i="48"/>
  <c r="AI75" i="48"/>
  <c r="AH75" i="48"/>
  <c r="AI74" i="48"/>
  <c r="AH74" i="48"/>
  <c r="AI73" i="48"/>
  <c r="AH73" i="48"/>
  <c r="AI72" i="48"/>
  <c r="AH72" i="48"/>
  <c r="AI71" i="48"/>
  <c r="AH71" i="48"/>
  <c r="AG70" i="48"/>
  <c r="B70" i="48"/>
  <c r="AI69" i="48"/>
  <c r="AH69" i="48"/>
  <c r="AI68" i="48"/>
  <c r="AH68" i="48"/>
  <c r="AI67" i="48"/>
  <c r="AH67" i="48"/>
  <c r="AG66" i="48"/>
  <c r="AG3" i="48" s="1"/>
  <c r="AF66" i="48"/>
  <c r="AE66" i="48"/>
  <c r="AD66" i="48"/>
  <c r="AC66" i="48"/>
  <c r="AA66" i="48"/>
  <c r="Z66" i="48"/>
  <c r="Y66" i="48"/>
  <c r="X66" i="48"/>
  <c r="W66" i="48"/>
  <c r="V66" i="48"/>
  <c r="U66" i="48"/>
  <c r="T66" i="48"/>
  <c r="S66" i="48"/>
  <c r="R66" i="48"/>
  <c r="Q66" i="48"/>
  <c r="P66" i="48"/>
  <c r="O66" i="48"/>
  <c r="N66" i="48"/>
  <c r="M66" i="48"/>
  <c r="L66" i="48"/>
  <c r="K66" i="48"/>
  <c r="I66" i="48"/>
  <c r="H66" i="48"/>
  <c r="G66" i="48"/>
  <c r="F66" i="48"/>
  <c r="E66" i="48"/>
  <c r="D66" i="48"/>
  <c r="C66" i="48"/>
  <c r="B66" i="48"/>
  <c r="AI65" i="48"/>
  <c r="AH65" i="48"/>
  <c r="AG65" i="48"/>
  <c r="AI64" i="48"/>
  <c r="AH64" i="48"/>
  <c r="AI63" i="48"/>
  <c r="AH63" i="48"/>
  <c r="AI62" i="48"/>
  <c r="AH62" i="48"/>
  <c r="AI61" i="48"/>
  <c r="AH61" i="48"/>
  <c r="AI60" i="48"/>
  <c r="AH60" i="48"/>
  <c r="AI59" i="48"/>
  <c r="AH59" i="48"/>
  <c r="AI58" i="48"/>
  <c r="AH58" i="48"/>
  <c r="AI57" i="48"/>
  <c r="AH57" i="48"/>
  <c r="AI56" i="48"/>
  <c r="AH56" i="48"/>
  <c r="AI55" i="48"/>
  <c r="AH55" i="48"/>
  <c r="AI54" i="48"/>
  <c r="AH54" i="48"/>
  <c r="AI53" i="48"/>
  <c r="AH53" i="48"/>
  <c r="AG52" i="48"/>
  <c r="AF52" i="48"/>
  <c r="AE52" i="48"/>
  <c r="AD52" i="48"/>
  <c r="AC52" i="48"/>
  <c r="AA52" i="48"/>
  <c r="Z52" i="48"/>
  <c r="Y52" i="48"/>
  <c r="X52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I52" i="48"/>
  <c r="H52" i="48"/>
  <c r="G52" i="48"/>
  <c r="F52" i="48"/>
  <c r="E52" i="48"/>
  <c r="D52" i="48"/>
  <c r="C52" i="48"/>
  <c r="B52" i="48"/>
  <c r="AI51" i="48"/>
  <c r="AH51" i="48"/>
  <c r="AI50" i="48"/>
  <c r="AH50" i="48"/>
  <c r="AI49" i="48"/>
  <c r="AH49" i="48"/>
  <c r="AG48" i="48"/>
  <c r="AG87" i="48" s="1"/>
  <c r="AF48" i="48"/>
  <c r="AE48" i="48"/>
  <c r="AD48" i="48"/>
  <c r="AC48" i="48"/>
  <c r="AB89" i="48"/>
  <c r="AA48" i="48"/>
  <c r="Z48" i="48"/>
  <c r="Y48" i="48"/>
  <c r="X48" i="48"/>
  <c r="W48" i="48"/>
  <c r="V48" i="48"/>
  <c r="U48" i="48"/>
  <c r="T48" i="48"/>
  <c r="S48" i="48"/>
  <c r="R48" i="48"/>
  <c r="Q48" i="48"/>
  <c r="P48" i="48"/>
  <c r="O48" i="48"/>
  <c r="N48" i="48"/>
  <c r="M48" i="48"/>
  <c r="L48" i="48"/>
  <c r="K48" i="48"/>
  <c r="I48" i="48"/>
  <c r="H48" i="48"/>
  <c r="G48" i="48"/>
  <c r="F48" i="48"/>
  <c r="E48" i="48"/>
  <c r="D48" i="48"/>
  <c r="C48" i="48"/>
  <c r="B48" i="48"/>
  <c r="AI47" i="48"/>
  <c r="AH47" i="48"/>
  <c r="AI46" i="48"/>
  <c r="AH46" i="48"/>
  <c r="AI45" i="48"/>
  <c r="AH45" i="48"/>
  <c r="AI44" i="48"/>
  <c r="AH44" i="48"/>
  <c r="AI43" i="48"/>
  <c r="AH43" i="48"/>
  <c r="AI42" i="48"/>
  <c r="AH42" i="48"/>
  <c r="AI41" i="48"/>
  <c r="AH41" i="48"/>
  <c r="AI40" i="48"/>
  <c r="AH40" i="48"/>
  <c r="AI39" i="48"/>
  <c r="AH39" i="48"/>
  <c r="AI38" i="48"/>
  <c r="AH38" i="48"/>
  <c r="AI37" i="48"/>
  <c r="AH37" i="48"/>
  <c r="AI36" i="48"/>
  <c r="AH36" i="48"/>
  <c r="AI35" i="48"/>
  <c r="AH35" i="48"/>
  <c r="AI34" i="48"/>
  <c r="AH34" i="48"/>
  <c r="AI33" i="48"/>
  <c r="AH33" i="48"/>
  <c r="AI32" i="48"/>
  <c r="AH32" i="48"/>
  <c r="AI31" i="48"/>
  <c r="AH31" i="48"/>
  <c r="AI30" i="48"/>
  <c r="AH30" i="48"/>
  <c r="AI29" i="48"/>
  <c r="AH29" i="48"/>
  <c r="AI28" i="48"/>
  <c r="AH28" i="48"/>
  <c r="AI27" i="48"/>
  <c r="AH27" i="48"/>
  <c r="AI26" i="48"/>
  <c r="AH26" i="48"/>
  <c r="AI25" i="48"/>
  <c r="AH25" i="48"/>
  <c r="AI24" i="48"/>
  <c r="AH24" i="48"/>
  <c r="AI23" i="48"/>
  <c r="AH23" i="48"/>
  <c r="AI22" i="48"/>
  <c r="AH22" i="48"/>
  <c r="AI21" i="48"/>
  <c r="AH21" i="48"/>
  <c r="AI20" i="48"/>
  <c r="AH20" i="48"/>
  <c r="AI19" i="48"/>
  <c r="AH19" i="48"/>
  <c r="AI18" i="48"/>
  <c r="AH18" i="48"/>
  <c r="AI17" i="48"/>
  <c r="AH17" i="48"/>
  <c r="AI16" i="48"/>
  <c r="AH16" i="48"/>
  <c r="AI15" i="48"/>
  <c r="AH15" i="48"/>
  <c r="AI14" i="48"/>
  <c r="AH14" i="48"/>
  <c r="AI13" i="48"/>
  <c r="AH13" i="48"/>
  <c r="AI12" i="48"/>
  <c r="AH12" i="48"/>
  <c r="AI11" i="48"/>
  <c r="AH11" i="48"/>
  <c r="AA5" i="48"/>
  <c r="AG4" i="48"/>
  <c r="K4" i="48"/>
  <c r="E4" i="48"/>
  <c r="H4" i="48" s="1"/>
  <c r="B4" i="48"/>
  <c r="S243" i="48" s="1"/>
  <c r="AG2" i="48"/>
  <c r="AA111" i="47"/>
  <c r="Z111" i="47"/>
  <c r="Y111" i="47"/>
  <c r="X111" i="47"/>
  <c r="X48" i="47"/>
  <c r="X52" i="47"/>
  <c r="W111" i="47"/>
  <c r="V111" i="47"/>
  <c r="V48" i="47"/>
  <c r="V52" i="47"/>
  <c r="U111" i="47"/>
  <c r="U48" i="47"/>
  <c r="U52" i="47"/>
  <c r="U66" i="47"/>
  <c r="U70" i="47"/>
  <c r="U82" i="47"/>
  <c r="O226" i="49" l="1"/>
  <c r="N108" i="49"/>
  <c r="M267" i="49"/>
  <c r="O231" i="49"/>
  <c r="AD98" i="48"/>
  <c r="S5" i="48"/>
  <c r="AE5" i="48"/>
  <c r="AF87" i="48"/>
  <c r="AF89" i="48" s="1"/>
  <c r="AB5" i="48"/>
  <c r="AD87" i="48"/>
  <c r="AD89" i="48" s="1"/>
  <c r="AV246" i="48" s="1"/>
  <c r="AE87" i="48"/>
  <c r="AE89" i="48" s="1"/>
  <c r="AE90" i="48" s="1"/>
  <c r="AC87" i="48"/>
  <c r="AC89" i="48" s="1"/>
  <c r="AC7" i="48" s="1"/>
  <c r="Z5" i="48"/>
  <c r="AA87" i="48"/>
  <c r="AA89" i="48" s="1"/>
  <c r="Y5" i="48"/>
  <c r="X5" i="48"/>
  <c r="Y87" i="48"/>
  <c r="Y89" i="48" s="1"/>
  <c r="W5" i="48"/>
  <c r="W87" i="48"/>
  <c r="W89" i="48" s="1"/>
  <c r="X87" i="48"/>
  <c r="X89" i="48" s="1"/>
  <c r="V98" i="48"/>
  <c r="V87" i="48"/>
  <c r="V89" i="48" s="1"/>
  <c r="T5" i="48"/>
  <c r="U87" i="48"/>
  <c r="U89" i="48" s="1"/>
  <c r="T87" i="48"/>
  <c r="T89" i="48" s="1"/>
  <c r="AL246" i="48" s="1"/>
  <c r="R5" i="48"/>
  <c r="S87" i="48"/>
  <c r="S89" i="48" s="1"/>
  <c r="P5" i="48"/>
  <c r="Q87" i="48"/>
  <c r="Q89" i="48" s="1"/>
  <c r="AI246" i="48" s="1"/>
  <c r="Q5" i="48"/>
  <c r="O5" i="48"/>
  <c r="P87" i="48"/>
  <c r="P89" i="48" s="1"/>
  <c r="AH246" i="48" s="1"/>
  <c r="O87" i="48"/>
  <c r="O89" i="48" s="1"/>
  <c r="O90" i="48" s="1"/>
  <c r="N98" i="48"/>
  <c r="AH70" i="48"/>
  <c r="N87" i="48"/>
  <c r="N89" i="48" s="1"/>
  <c r="L5" i="48"/>
  <c r="M87" i="48"/>
  <c r="M89" i="48" s="1"/>
  <c r="M7" i="48" s="1"/>
  <c r="K5" i="48"/>
  <c r="L87" i="48"/>
  <c r="L89" i="48" s="1"/>
  <c r="L90" i="48" s="1"/>
  <c r="J5" i="48"/>
  <c r="K87" i="48"/>
  <c r="K89" i="48" s="1"/>
  <c r="K90" i="48" s="1"/>
  <c r="AI70" i="48"/>
  <c r="R87" i="48"/>
  <c r="R89" i="48" s="1"/>
  <c r="R7" i="48" s="1"/>
  <c r="Z87" i="48"/>
  <c r="Z89" i="48" s="1"/>
  <c r="Z7" i="48" s="1"/>
  <c r="D5" i="48"/>
  <c r="I5" i="48"/>
  <c r="J87" i="48"/>
  <c r="J89" i="48" s="1"/>
  <c r="J90" i="48" s="1"/>
  <c r="E5" i="48"/>
  <c r="G87" i="48"/>
  <c r="G89" i="48" s="1"/>
  <c r="Y246" i="48" s="1"/>
  <c r="G5" i="48"/>
  <c r="H5" i="48"/>
  <c r="F87" i="48"/>
  <c r="F89" i="48" s="1"/>
  <c r="F7" i="48" s="1"/>
  <c r="E87" i="48"/>
  <c r="E89" i="48" s="1"/>
  <c r="E7" i="48" s="1"/>
  <c r="H87" i="48"/>
  <c r="H89" i="48" s="1"/>
  <c r="H7" i="48" s="1"/>
  <c r="I87" i="48"/>
  <c r="I89" i="48" s="1"/>
  <c r="I90" i="48" s="1"/>
  <c r="C5" i="48"/>
  <c r="D87" i="48"/>
  <c r="D89" i="48" s="1"/>
  <c r="V246" i="48" s="1"/>
  <c r="B5" i="48"/>
  <c r="AI66" i="48"/>
  <c r="C87" i="48"/>
  <c r="C89" i="48" s="1"/>
  <c r="C90" i="48" s="1"/>
  <c r="AI52" i="48"/>
  <c r="B87" i="48"/>
  <c r="B89" i="48" s="1"/>
  <c r="S90" i="48"/>
  <c r="S7" i="48"/>
  <c r="AK246" i="48"/>
  <c r="G226" i="48"/>
  <c r="AC246" i="48"/>
  <c r="N7" i="48"/>
  <c r="AF246" i="48"/>
  <c r="N90" i="48"/>
  <c r="V7" i="48"/>
  <c r="AN246" i="48"/>
  <c r="V90" i="48"/>
  <c r="AD7" i="48"/>
  <c r="T90" i="48"/>
  <c r="T7" i="48"/>
  <c r="F227" i="48"/>
  <c r="G227" i="48" s="1"/>
  <c r="H227" i="48" s="1"/>
  <c r="I227" i="48" s="1"/>
  <c r="J227" i="48" s="1"/>
  <c r="K227" i="48" s="1"/>
  <c r="L227" i="48" s="1"/>
  <c r="M227" i="48" s="1"/>
  <c r="N227" i="48" s="1"/>
  <c r="O227" i="48" s="1"/>
  <c r="P227" i="48" s="1"/>
  <c r="G7" i="48"/>
  <c r="O7" i="48"/>
  <c r="AO246" i="48"/>
  <c r="W90" i="48"/>
  <c r="W7" i="48"/>
  <c r="AW246" i="48"/>
  <c r="AE7" i="48"/>
  <c r="U7" i="48"/>
  <c r="AM246" i="48"/>
  <c r="U90" i="48"/>
  <c r="X90" i="48"/>
  <c r="X7" i="48"/>
  <c r="AP246" i="48"/>
  <c r="AF90" i="48"/>
  <c r="AF7" i="48"/>
  <c r="AX246" i="48"/>
  <c r="J229" i="48"/>
  <c r="K229" i="48" s="1"/>
  <c r="L229" i="48" s="1"/>
  <c r="M229" i="48" s="1"/>
  <c r="N229" i="48" s="1"/>
  <c r="O229" i="48" s="1"/>
  <c r="P229" i="48" s="1"/>
  <c r="AB90" i="48"/>
  <c r="AB7" i="48"/>
  <c r="AT246" i="48"/>
  <c r="AA90" i="48"/>
  <c r="AA7" i="48"/>
  <c r="AS246" i="48"/>
  <c r="P90" i="48"/>
  <c r="AG6" i="48"/>
  <c r="Q90" i="48"/>
  <c r="Q7" i="48"/>
  <c r="Y90" i="48"/>
  <c r="Y7" i="48"/>
  <c r="AQ246" i="48"/>
  <c r="D243" i="48"/>
  <c r="AH66" i="48"/>
  <c r="G98" i="48"/>
  <c r="O98" i="48"/>
  <c r="W98" i="48"/>
  <c r="AE98" i="48"/>
  <c r="D108" i="48"/>
  <c r="E231" i="48"/>
  <c r="E232" i="48" s="1"/>
  <c r="AH82" i="48"/>
  <c r="AH48" i="48"/>
  <c r="AH52" i="48"/>
  <c r="AI82" i="48"/>
  <c r="B98" i="48"/>
  <c r="AI48" i="48"/>
  <c r="U87" i="47"/>
  <c r="U89" i="47" s="1"/>
  <c r="U90" i="47" s="1"/>
  <c r="T111" i="47"/>
  <c r="B108" i="47"/>
  <c r="B82" i="47"/>
  <c r="B98" i="47" s="1"/>
  <c r="B70" i="47"/>
  <c r="B66" i="47"/>
  <c r="B52" i="47"/>
  <c r="B48" i="47"/>
  <c r="AF271" i="47"/>
  <c r="AE271" i="47"/>
  <c r="AD271" i="47"/>
  <c r="AC271" i="47"/>
  <c r="AB271" i="47"/>
  <c r="AA271" i="47"/>
  <c r="Z271" i="47"/>
  <c r="Y271" i="47"/>
  <c r="X271" i="47"/>
  <c r="W271" i="47"/>
  <c r="V271" i="47"/>
  <c r="U271" i="47"/>
  <c r="T271" i="47"/>
  <c r="S271" i="47"/>
  <c r="R271" i="47"/>
  <c r="Q271" i="47"/>
  <c r="P271" i="47"/>
  <c r="O271" i="47"/>
  <c r="N271" i="47"/>
  <c r="M271" i="47"/>
  <c r="L271" i="47"/>
  <c r="K271" i="47"/>
  <c r="J271" i="47"/>
  <c r="I271" i="47"/>
  <c r="H271" i="47"/>
  <c r="G271" i="47"/>
  <c r="F271" i="47"/>
  <c r="E271" i="47"/>
  <c r="D271" i="47"/>
  <c r="C271" i="47"/>
  <c r="B271" i="47"/>
  <c r="A271" i="47"/>
  <c r="AF270" i="47"/>
  <c r="AE270" i="47"/>
  <c r="AD270" i="47"/>
  <c r="AC270" i="47"/>
  <c r="AB270" i="47"/>
  <c r="AA270" i="47"/>
  <c r="Z270" i="47"/>
  <c r="Y270" i="47"/>
  <c r="X270" i="47"/>
  <c r="W270" i="47"/>
  <c r="V270" i="47"/>
  <c r="U270" i="47"/>
  <c r="T270" i="47"/>
  <c r="S270" i="47"/>
  <c r="R270" i="47"/>
  <c r="Q270" i="47"/>
  <c r="P270" i="47"/>
  <c r="O270" i="47"/>
  <c r="N270" i="47"/>
  <c r="M270" i="47"/>
  <c r="L270" i="47"/>
  <c r="K270" i="47"/>
  <c r="J270" i="47"/>
  <c r="I270" i="47"/>
  <c r="H270" i="47"/>
  <c r="G270" i="47"/>
  <c r="F270" i="47"/>
  <c r="E270" i="47"/>
  <c r="D270" i="47"/>
  <c r="C270" i="47"/>
  <c r="B270" i="47"/>
  <c r="A270" i="47"/>
  <c r="AF269" i="47"/>
  <c r="AE269" i="47"/>
  <c r="AD269" i="47"/>
  <c r="AC269" i="47"/>
  <c r="AB269" i="47"/>
  <c r="AA269" i="47"/>
  <c r="Z269" i="47"/>
  <c r="Y269" i="47"/>
  <c r="X269" i="47"/>
  <c r="W269" i="47"/>
  <c r="V269" i="47"/>
  <c r="U269" i="47"/>
  <c r="T269" i="47"/>
  <c r="S269" i="47"/>
  <c r="R269" i="47"/>
  <c r="Q269" i="47"/>
  <c r="P269" i="47"/>
  <c r="O269" i="47"/>
  <c r="N269" i="47"/>
  <c r="M269" i="47"/>
  <c r="L269" i="47"/>
  <c r="K269" i="47"/>
  <c r="J269" i="47"/>
  <c r="I269" i="47"/>
  <c r="H269" i="47"/>
  <c r="G269" i="47"/>
  <c r="F269" i="47"/>
  <c r="E269" i="47"/>
  <c r="D269" i="47"/>
  <c r="C269" i="47"/>
  <c r="B269" i="47"/>
  <c r="A269" i="47"/>
  <c r="AF268" i="47"/>
  <c r="AE268" i="47"/>
  <c r="AD268" i="47"/>
  <c r="AC268" i="47"/>
  <c r="AB268" i="47"/>
  <c r="AA268" i="47"/>
  <c r="Z268" i="47"/>
  <c r="Y268" i="47"/>
  <c r="X268" i="47"/>
  <c r="W268" i="47"/>
  <c r="V268" i="47"/>
  <c r="U268" i="47"/>
  <c r="T268" i="47"/>
  <c r="S268" i="47"/>
  <c r="R268" i="47"/>
  <c r="Q268" i="47"/>
  <c r="P268" i="47"/>
  <c r="O268" i="47"/>
  <c r="N268" i="47"/>
  <c r="M268" i="47"/>
  <c r="L268" i="47"/>
  <c r="K268" i="47"/>
  <c r="J268" i="47"/>
  <c r="I268" i="47"/>
  <c r="H268" i="47"/>
  <c r="G268" i="47"/>
  <c r="F268" i="47"/>
  <c r="E268" i="47"/>
  <c r="D268" i="47"/>
  <c r="C268" i="47"/>
  <c r="B268" i="47"/>
  <c r="A268" i="47"/>
  <c r="AE267" i="47"/>
  <c r="AD267" i="47"/>
  <c r="AC267" i="47"/>
  <c r="AB267" i="47"/>
  <c r="AA267" i="47"/>
  <c r="Z267" i="47"/>
  <c r="Y267" i="47"/>
  <c r="X267" i="47"/>
  <c r="W267" i="47"/>
  <c r="V267" i="47"/>
  <c r="U267" i="47"/>
  <c r="T267" i="47"/>
  <c r="S267" i="47"/>
  <c r="R267" i="47"/>
  <c r="Q267" i="47"/>
  <c r="P267" i="47"/>
  <c r="B267" i="47"/>
  <c r="S242" i="47"/>
  <c r="AG232" i="47"/>
  <c r="AF232" i="47"/>
  <c r="AE232" i="47"/>
  <c r="AD232" i="47"/>
  <c r="AC232" i="47"/>
  <c r="AB232" i="47"/>
  <c r="AA232" i="47"/>
  <c r="Z232" i="47"/>
  <c r="Y232" i="47"/>
  <c r="X232" i="47"/>
  <c r="W232" i="47"/>
  <c r="V232" i="47"/>
  <c r="U232" i="47"/>
  <c r="T232" i="47"/>
  <c r="S232" i="47"/>
  <c r="R232" i="47"/>
  <c r="Q232" i="47"/>
  <c r="D232" i="47"/>
  <c r="C232" i="47"/>
  <c r="D231" i="47"/>
  <c r="C267" i="47" s="1"/>
  <c r="B231" i="47"/>
  <c r="AF267" i="47" s="1"/>
  <c r="D230" i="47"/>
  <c r="E230" i="47" s="1"/>
  <c r="F230" i="47" s="1"/>
  <c r="G230" i="47" s="1"/>
  <c r="H230" i="47" s="1"/>
  <c r="I230" i="47" s="1"/>
  <c r="J230" i="47" s="1"/>
  <c r="K230" i="47" s="1"/>
  <c r="L230" i="47" s="1"/>
  <c r="M230" i="47" s="1"/>
  <c r="N230" i="47" s="1"/>
  <c r="O230" i="47" s="1"/>
  <c r="P230" i="47" s="1"/>
  <c r="B230" i="47"/>
  <c r="G229" i="47"/>
  <c r="H229" i="47" s="1"/>
  <c r="I229" i="47" s="1"/>
  <c r="F229" i="47"/>
  <c r="E229" i="47"/>
  <c r="D229" i="47"/>
  <c r="B229" i="47"/>
  <c r="E228" i="47"/>
  <c r="F228" i="47" s="1"/>
  <c r="G228" i="47" s="1"/>
  <c r="H228" i="47" s="1"/>
  <c r="D228" i="47"/>
  <c r="B228" i="47"/>
  <c r="D227" i="47"/>
  <c r="E227" i="47" s="1"/>
  <c r="F227" i="47" s="1"/>
  <c r="G227" i="47" s="1"/>
  <c r="H227" i="47" s="1"/>
  <c r="I227" i="47" s="1"/>
  <c r="J227" i="47" s="1"/>
  <c r="K227" i="47" s="1"/>
  <c r="L227" i="47" s="1"/>
  <c r="M227" i="47" s="1"/>
  <c r="N227" i="47" s="1"/>
  <c r="O227" i="47" s="1"/>
  <c r="P227" i="47" s="1"/>
  <c r="B227" i="47"/>
  <c r="B232" i="47" s="1"/>
  <c r="D226" i="47"/>
  <c r="E226" i="47" s="1"/>
  <c r="B226" i="47"/>
  <c r="AG224" i="47"/>
  <c r="AF224" i="47"/>
  <c r="AE224" i="47"/>
  <c r="AD224" i="47"/>
  <c r="AC224" i="47"/>
  <c r="AB224" i="47"/>
  <c r="AA224" i="47"/>
  <c r="Z224" i="47"/>
  <c r="Y224" i="47"/>
  <c r="X224" i="47"/>
  <c r="W224" i="47"/>
  <c r="V224" i="47"/>
  <c r="U224" i="47"/>
  <c r="T224" i="47"/>
  <c r="S224" i="47"/>
  <c r="R224" i="47"/>
  <c r="Q224" i="47"/>
  <c r="P224" i="47"/>
  <c r="O224" i="47"/>
  <c r="N224" i="47"/>
  <c r="M224" i="47"/>
  <c r="L224" i="47"/>
  <c r="K224" i="47"/>
  <c r="J224" i="47"/>
  <c r="I224" i="47"/>
  <c r="H224" i="47"/>
  <c r="G224" i="47"/>
  <c r="F224" i="47"/>
  <c r="E224" i="47"/>
  <c r="D224" i="47"/>
  <c r="C224" i="47"/>
  <c r="B224" i="47"/>
  <c r="AI117" i="47"/>
  <c r="AH117" i="47"/>
  <c r="AI116" i="47"/>
  <c r="AH116" i="47"/>
  <c r="AI115" i="47"/>
  <c r="AH115" i="47"/>
  <c r="AI114" i="47"/>
  <c r="AH114" i="47"/>
  <c r="AI113" i="47"/>
  <c r="AH113" i="47"/>
  <c r="AI112" i="47"/>
  <c r="AH112" i="47"/>
  <c r="AI111" i="47"/>
  <c r="AH111" i="47"/>
  <c r="AI110" i="47"/>
  <c r="AH110" i="47"/>
  <c r="AI109" i="47"/>
  <c r="AH109" i="47"/>
  <c r="AF108" i="47"/>
  <c r="AE108" i="47"/>
  <c r="AD108" i="47"/>
  <c r="AC108" i="47"/>
  <c r="AB108" i="47"/>
  <c r="AA108" i="47"/>
  <c r="Y108" i="47"/>
  <c r="X108" i="47"/>
  <c r="W108" i="47"/>
  <c r="V108" i="47"/>
  <c r="U108" i="47"/>
  <c r="T108" i="47"/>
  <c r="S108" i="47"/>
  <c r="R108" i="47"/>
  <c r="Q108" i="47"/>
  <c r="C108" i="47"/>
  <c r="AI107" i="47"/>
  <c r="AH107" i="47"/>
  <c r="AI106" i="47"/>
  <c r="AH106" i="47"/>
  <c r="AI105" i="47"/>
  <c r="AH105" i="47"/>
  <c r="AI104" i="47"/>
  <c r="AH104" i="47"/>
  <c r="AI103" i="47"/>
  <c r="AH103" i="47"/>
  <c r="AI102" i="47"/>
  <c r="AH102" i="47"/>
  <c r="AI101" i="47"/>
  <c r="AH101" i="47"/>
  <c r="AI100" i="47"/>
  <c r="AH100" i="47"/>
  <c r="AI99" i="47"/>
  <c r="AH99" i="47"/>
  <c r="AF98" i="47"/>
  <c r="U98" i="47"/>
  <c r="L98" i="47"/>
  <c r="AI97" i="47"/>
  <c r="AH97" i="47"/>
  <c r="AI96" i="47"/>
  <c r="AH96" i="47"/>
  <c r="AI95" i="47"/>
  <c r="AH95" i="47"/>
  <c r="AI94" i="47"/>
  <c r="AH94" i="47"/>
  <c r="AI93" i="47"/>
  <c r="AH93" i="47"/>
  <c r="AI92" i="47"/>
  <c r="AH92" i="47"/>
  <c r="AI91" i="47"/>
  <c r="AH91" i="47"/>
  <c r="AI88" i="47"/>
  <c r="AH88" i="47"/>
  <c r="AI86" i="47"/>
  <c r="AH86" i="47"/>
  <c r="AG86" i="47"/>
  <c r="AI85" i="47"/>
  <c r="AH85" i="47"/>
  <c r="AI84" i="47"/>
  <c r="AH84" i="47"/>
  <c r="AI83" i="47"/>
  <c r="AH83" i="47"/>
  <c r="AN82" i="47"/>
  <c r="AG82" i="47"/>
  <c r="AF82" i="47"/>
  <c r="AE82" i="47"/>
  <c r="AD5" i="47" s="1"/>
  <c r="AD82" i="47"/>
  <c r="AC5" i="47" s="1"/>
  <c r="AC82" i="47"/>
  <c r="AC98" i="47" s="1"/>
  <c r="AB82" i="47"/>
  <c r="AB98" i="47" s="1"/>
  <c r="AA82" i="47"/>
  <c r="AA98" i="47" s="1"/>
  <c r="Y82" i="47"/>
  <c r="Y98" i="47" s="1"/>
  <c r="X82" i="47"/>
  <c r="X98" i="47" s="1"/>
  <c r="W82" i="47"/>
  <c r="V5" i="47" s="1"/>
  <c r="V82" i="47"/>
  <c r="U5" i="47" s="1"/>
  <c r="T82" i="47"/>
  <c r="T98" i="47" s="1"/>
  <c r="S82" i="47"/>
  <c r="S98" i="47" s="1"/>
  <c r="R82" i="47"/>
  <c r="R98" i="47" s="1"/>
  <c r="Q82" i="47"/>
  <c r="Q98" i="47" s="1"/>
  <c r="P82" i="47"/>
  <c r="P98" i="47" s="1"/>
  <c r="O82" i="47"/>
  <c r="N5" i="47" s="1"/>
  <c r="N82" i="47"/>
  <c r="M5" i="47" s="1"/>
  <c r="M82" i="47"/>
  <c r="M98" i="47" s="1"/>
  <c r="L82" i="47"/>
  <c r="K5" i="47" s="1"/>
  <c r="K82" i="47"/>
  <c r="K98" i="47" s="1"/>
  <c r="J82" i="47"/>
  <c r="J98" i="47" s="1"/>
  <c r="I82" i="47"/>
  <c r="I98" i="47" s="1"/>
  <c r="H82" i="47"/>
  <c r="H98" i="47" s="1"/>
  <c r="G82" i="47"/>
  <c r="F5" i="47" s="1"/>
  <c r="F82" i="47"/>
  <c r="E5" i="47" s="1"/>
  <c r="E82" i="47"/>
  <c r="E98" i="47" s="1"/>
  <c r="D82" i="47"/>
  <c r="D98" i="47" s="1"/>
  <c r="C82" i="47"/>
  <c r="C98" i="47" s="1"/>
  <c r="AI81" i="47"/>
  <c r="AH81" i="47"/>
  <c r="AN80" i="47"/>
  <c r="AN81" i="47" s="1"/>
  <c r="AI80" i="47"/>
  <c r="AH80" i="47"/>
  <c r="AN79" i="47"/>
  <c r="AI79" i="47"/>
  <c r="AH79" i="47"/>
  <c r="AI78" i="47"/>
  <c r="AH78" i="47"/>
  <c r="AI77" i="47"/>
  <c r="AH77" i="47"/>
  <c r="AI76" i="47"/>
  <c r="AH76" i="47"/>
  <c r="AI75" i="47"/>
  <c r="AH75" i="47"/>
  <c r="AI74" i="47"/>
  <c r="AH74" i="47"/>
  <c r="AI73" i="47"/>
  <c r="AH73" i="47"/>
  <c r="AI72" i="47"/>
  <c r="AH72" i="47"/>
  <c r="AI71" i="47"/>
  <c r="AH71" i="47"/>
  <c r="AG70" i="47"/>
  <c r="AF70" i="47"/>
  <c r="AE70" i="47"/>
  <c r="AD70" i="47"/>
  <c r="AC70" i="47"/>
  <c r="AB70" i="47"/>
  <c r="AA70" i="47"/>
  <c r="Y70" i="47"/>
  <c r="X70" i="47"/>
  <c r="W70" i="47"/>
  <c r="V70" i="47"/>
  <c r="T70" i="47"/>
  <c r="S70" i="47"/>
  <c r="R70" i="47"/>
  <c r="Q70" i="47"/>
  <c r="P70" i="47"/>
  <c r="O70" i="47"/>
  <c r="N70" i="47"/>
  <c r="M70" i="47"/>
  <c r="L70" i="47"/>
  <c r="AI69" i="47"/>
  <c r="AH69" i="47"/>
  <c r="AI68" i="47"/>
  <c r="AH68" i="47"/>
  <c r="AI67" i="47"/>
  <c r="AH67" i="47"/>
  <c r="AF66" i="47"/>
  <c r="AE66" i="47"/>
  <c r="AD66" i="47"/>
  <c r="AC66" i="47"/>
  <c r="AB66" i="47"/>
  <c r="AA66" i="47"/>
  <c r="Y66" i="47"/>
  <c r="X66" i="47"/>
  <c r="W66" i="47"/>
  <c r="V66" i="47"/>
  <c r="T66" i="47"/>
  <c r="S66" i="47"/>
  <c r="R66" i="47"/>
  <c r="Q66" i="47"/>
  <c r="P66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C66" i="47"/>
  <c r="AI65" i="47"/>
  <c r="AH65" i="47"/>
  <c r="AG65" i="47"/>
  <c r="AG66" i="47" s="1"/>
  <c r="AG3" i="47" s="1"/>
  <c r="AI64" i="47"/>
  <c r="AH64" i="47"/>
  <c r="AI63" i="47"/>
  <c r="AH63" i="47"/>
  <c r="AI62" i="47"/>
  <c r="AH62" i="47"/>
  <c r="AI61" i="47"/>
  <c r="AH61" i="47"/>
  <c r="AI60" i="47"/>
  <c r="AH60" i="47"/>
  <c r="AI59" i="47"/>
  <c r="AH59" i="47"/>
  <c r="AI58" i="47"/>
  <c r="AH58" i="47"/>
  <c r="AI57" i="47"/>
  <c r="AH57" i="47"/>
  <c r="AI56" i="47"/>
  <c r="AH56" i="47"/>
  <c r="AI55" i="47"/>
  <c r="AH55" i="47"/>
  <c r="AI54" i="47"/>
  <c r="AH54" i="47"/>
  <c r="AI53" i="47"/>
  <c r="AH53" i="47"/>
  <c r="AG52" i="47"/>
  <c r="AF52" i="47"/>
  <c r="AE52" i="47"/>
  <c r="AD52" i="47"/>
  <c r="AC52" i="47"/>
  <c r="AB52" i="47"/>
  <c r="AA52" i="47"/>
  <c r="Y52" i="47"/>
  <c r="W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C52" i="47"/>
  <c r="AI51" i="47"/>
  <c r="AH51" i="47"/>
  <c r="AI50" i="47"/>
  <c r="AH50" i="47"/>
  <c r="AI49" i="47"/>
  <c r="AH49" i="47"/>
  <c r="AG48" i="47"/>
  <c r="AF48" i="47"/>
  <c r="AE48" i="47"/>
  <c r="AD48" i="47"/>
  <c r="AC48" i="47"/>
  <c r="AB48" i="47"/>
  <c r="AA48" i="47"/>
  <c r="Y48" i="47"/>
  <c r="W48" i="47"/>
  <c r="W87" i="47" s="1"/>
  <c r="W89" i="47" s="1"/>
  <c r="T48" i="47"/>
  <c r="S48" i="47"/>
  <c r="R48" i="47"/>
  <c r="Q48" i="47"/>
  <c r="P48" i="47"/>
  <c r="O48" i="47"/>
  <c r="N48" i="47"/>
  <c r="M48" i="47"/>
  <c r="L48" i="47"/>
  <c r="K48" i="47"/>
  <c r="J48" i="47"/>
  <c r="I48" i="47"/>
  <c r="H48" i="47"/>
  <c r="G48" i="47"/>
  <c r="F48" i="47"/>
  <c r="E48" i="47"/>
  <c r="D48" i="47"/>
  <c r="C48" i="47"/>
  <c r="AI47" i="47"/>
  <c r="AH47" i="47"/>
  <c r="AI46" i="47"/>
  <c r="AH46" i="47"/>
  <c r="AI45" i="47"/>
  <c r="AH45" i="47"/>
  <c r="AI44" i="47"/>
  <c r="AH44" i="47"/>
  <c r="AI43" i="47"/>
  <c r="AH43" i="47"/>
  <c r="AI42" i="47"/>
  <c r="AH42" i="47"/>
  <c r="AI41" i="47"/>
  <c r="AH41" i="47"/>
  <c r="AI40" i="47"/>
  <c r="AH40" i="47"/>
  <c r="AI39" i="47"/>
  <c r="AH39" i="47"/>
  <c r="AI38" i="47"/>
  <c r="AH38" i="47"/>
  <c r="AI37" i="47"/>
  <c r="AH37" i="47"/>
  <c r="AI36" i="47"/>
  <c r="AH36" i="47"/>
  <c r="AI35" i="47"/>
  <c r="AH35" i="47"/>
  <c r="AI34" i="47"/>
  <c r="AH34" i="47"/>
  <c r="AI33" i="47"/>
  <c r="AH33" i="47"/>
  <c r="AI32" i="47"/>
  <c r="AH32" i="47"/>
  <c r="AI31" i="47"/>
  <c r="AH31" i="47"/>
  <c r="AI30" i="47"/>
  <c r="AH30" i="47"/>
  <c r="AI29" i="47"/>
  <c r="AH29" i="47"/>
  <c r="AI28" i="47"/>
  <c r="AH28" i="47"/>
  <c r="AI27" i="47"/>
  <c r="AH27" i="47"/>
  <c r="AI26" i="47"/>
  <c r="AH26" i="47"/>
  <c r="AI25" i="47"/>
  <c r="AH25" i="47"/>
  <c r="AI24" i="47"/>
  <c r="AH24" i="47"/>
  <c r="AI23" i="47"/>
  <c r="AH23" i="47"/>
  <c r="AI22" i="47"/>
  <c r="AH22" i="47"/>
  <c r="AI21" i="47"/>
  <c r="AH21" i="47"/>
  <c r="AI20" i="47"/>
  <c r="AH20" i="47"/>
  <c r="AI19" i="47"/>
  <c r="AH19" i="47"/>
  <c r="AI18" i="47"/>
  <c r="AH18" i="47"/>
  <c r="AI17" i="47"/>
  <c r="AH17" i="47"/>
  <c r="AI16" i="47"/>
  <c r="AH16" i="47"/>
  <c r="AI15" i="47"/>
  <c r="AH15" i="47"/>
  <c r="AI14" i="47"/>
  <c r="AH14" i="47"/>
  <c r="AI13" i="47"/>
  <c r="AH13" i="47"/>
  <c r="AI12" i="47"/>
  <c r="AH12" i="47"/>
  <c r="AI11" i="47"/>
  <c r="AH11" i="47"/>
  <c r="AE5" i="47"/>
  <c r="Y5" i="47"/>
  <c r="T5" i="47"/>
  <c r="K4" i="47"/>
  <c r="E4" i="47"/>
  <c r="H4" i="47" s="1"/>
  <c r="B4" i="47"/>
  <c r="S243" i="47" s="1"/>
  <c r="AG2" i="47"/>
  <c r="AK34" i="46"/>
  <c r="AA111" i="46"/>
  <c r="AA48" i="46"/>
  <c r="AA52" i="46"/>
  <c r="AA66" i="46"/>
  <c r="AA70" i="46"/>
  <c r="AA82" i="46"/>
  <c r="AA98" i="46" s="1"/>
  <c r="AA108" i="46"/>
  <c r="Z82" i="46"/>
  <c r="Z48" i="46"/>
  <c r="Z111" i="46"/>
  <c r="Z52" i="46"/>
  <c r="Y111" i="46"/>
  <c r="X111" i="46"/>
  <c r="X48" i="46"/>
  <c r="X52" i="46"/>
  <c r="W111" i="46"/>
  <c r="V48" i="46"/>
  <c r="W48" i="46"/>
  <c r="V52" i="46"/>
  <c r="W52" i="46"/>
  <c r="V66" i="46"/>
  <c r="W66" i="46"/>
  <c r="V70" i="46"/>
  <c r="W70" i="46"/>
  <c r="V82" i="46"/>
  <c r="W82" i="46"/>
  <c r="W98" i="46" s="1"/>
  <c r="V98" i="46"/>
  <c r="V111" i="46"/>
  <c r="V108" i="46" s="1"/>
  <c r="W108" i="46"/>
  <c r="U111" i="46"/>
  <c r="T111" i="46"/>
  <c r="T48" i="46"/>
  <c r="T52" i="46"/>
  <c r="T66" i="46"/>
  <c r="T70" i="46"/>
  <c r="T82" i="46"/>
  <c r="S111" i="46"/>
  <c r="S48" i="46"/>
  <c r="S52" i="46"/>
  <c r="M90" i="48" l="1"/>
  <c r="K7" i="48"/>
  <c r="P231" i="49"/>
  <c r="O267" i="49" s="1"/>
  <c r="N267" i="49"/>
  <c r="P226" i="49"/>
  <c r="O108" i="49"/>
  <c r="AD90" i="48"/>
  <c r="AC90" i="48"/>
  <c r="AU246" i="48"/>
  <c r="AR246" i="48"/>
  <c r="Z90" i="48"/>
  <c r="R90" i="48"/>
  <c r="AJ246" i="48"/>
  <c r="P7" i="48"/>
  <c r="AG246" i="48"/>
  <c r="AE246" i="48"/>
  <c r="AD246" i="48"/>
  <c r="L7" i="48"/>
  <c r="AB246" i="48"/>
  <c r="J7" i="48"/>
  <c r="G90" i="48"/>
  <c r="F90" i="48"/>
  <c r="X246" i="48"/>
  <c r="E90" i="48"/>
  <c r="W246" i="48"/>
  <c r="H90" i="48"/>
  <c r="B241" i="48"/>
  <c r="Z246" i="48"/>
  <c r="AA246" i="48"/>
  <c r="I7" i="48"/>
  <c r="D7" i="48"/>
  <c r="D90" i="48"/>
  <c r="U246" i="48"/>
  <c r="C241" i="48"/>
  <c r="AH87" i="48"/>
  <c r="AI87" i="48"/>
  <c r="C7" i="48"/>
  <c r="B7" i="48"/>
  <c r="A7" i="48" s="1"/>
  <c r="B90" i="48"/>
  <c r="AI89" i="48"/>
  <c r="AH89" i="48"/>
  <c r="T246" i="48"/>
  <c r="AI98" i="48"/>
  <c r="AH98" i="48"/>
  <c r="H226" i="48"/>
  <c r="D267" i="48"/>
  <c r="F231" i="48"/>
  <c r="E108" i="48"/>
  <c r="AF87" i="47"/>
  <c r="AF89" i="47" s="1"/>
  <c r="AE87" i="47"/>
  <c r="AE89" i="47" s="1"/>
  <c r="AD87" i="47"/>
  <c r="AD89" i="47" s="1"/>
  <c r="AB5" i="47"/>
  <c r="AC87" i="47"/>
  <c r="AC89" i="47" s="1"/>
  <c r="AA5" i="47"/>
  <c r="AB87" i="47"/>
  <c r="AB89" i="47" s="1"/>
  <c r="Z5" i="47"/>
  <c r="AA87" i="47"/>
  <c r="AA89" i="47" s="1"/>
  <c r="X5" i="47"/>
  <c r="Y87" i="47"/>
  <c r="Y89" i="47" s="1"/>
  <c r="W5" i="47"/>
  <c r="X87" i="47"/>
  <c r="X89" i="47" s="1"/>
  <c r="V87" i="47"/>
  <c r="V89" i="47" s="1"/>
  <c r="S5" i="47"/>
  <c r="T87" i="47"/>
  <c r="T89" i="47" s="1"/>
  <c r="R5" i="47"/>
  <c r="S87" i="47"/>
  <c r="S89" i="47" s="1"/>
  <c r="Q5" i="47"/>
  <c r="R87" i="47"/>
  <c r="R89" i="47" s="1"/>
  <c r="P5" i="47"/>
  <c r="Q87" i="47"/>
  <c r="Q89" i="47" s="1"/>
  <c r="O5" i="47"/>
  <c r="P87" i="47"/>
  <c r="P89" i="47" s="1"/>
  <c r="O87" i="47"/>
  <c r="O89" i="47" s="1"/>
  <c r="AI70" i="47"/>
  <c r="N87" i="47"/>
  <c r="N89" i="47" s="1"/>
  <c r="L5" i="47"/>
  <c r="M87" i="47"/>
  <c r="M89" i="47" s="1"/>
  <c r="M7" i="47" s="1"/>
  <c r="L87" i="47"/>
  <c r="L89" i="47" s="1"/>
  <c r="J5" i="47"/>
  <c r="K87" i="47"/>
  <c r="K89" i="47" s="1"/>
  <c r="K7" i="47" s="1"/>
  <c r="I5" i="47"/>
  <c r="J87" i="47"/>
  <c r="J89" i="47" s="1"/>
  <c r="AB246" i="47" s="1"/>
  <c r="G5" i="47"/>
  <c r="G87" i="47"/>
  <c r="G89" i="47" s="1"/>
  <c r="G90" i="47" s="1"/>
  <c r="F87" i="47"/>
  <c r="F89" i="47" s="1"/>
  <c r="X246" i="47" s="1"/>
  <c r="AI52" i="47"/>
  <c r="E87" i="47"/>
  <c r="E89" i="47" s="1"/>
  <c r="E7" i="47" s="1"/>
  <c r="D5" i="47"/>
  <c r="H5" i="47"/>
  <c r="H87" i="47"/>
  <c r="H89" i="47" s="1"/>
  <c r="H90" i="47" s="1"/>
  <c r="I87" i="47"/>
  <c r="I89" i="47" s="1"/>
  <c r="I7" i="47" s="1"/>
  <c r="AI66" i="47"/>
  <c r="C5" i="47"/>
  <c r="D87" i="47"/>
  <c r="D89" i="47" s="1"/>
  <c r="D7" i="47" s="1"/>
  <c r="AI48" i="47"/>
  <c r="B5" i="47"/>
  <c r="AH66" i="47"/>
  <c r="AF5" i="47"/>
  <c r="B87" i="47"/>
  <c r="B89" i="47" s="1"/>
  <c r="B90" i="47" s="1"/>
  <c r="AH70" i="47"/>
  <c r="R90" i="47"/>
  <c r="R7" i="47"/>
  <c r="AJ246" i="47"/>
  <c r="T90" i="47"/>
  <c r="T7" i="47"/>
  <c r="AL246" i="47"/>
  <c r="AA90" i="47"/>
  <c r="AA7" i="47"/>
  <c r="AS246" i="47"/>
  <c r="Z7" i="47"/>
  <c r="AR246" i="47"/>
  <c r="AB90" i="47"/>
  <c r="AB7" i="47"/>
  <c r="AT246" i="47"/>
  <c r="U7" i="47"/>
  <c r="AM246" i="47"/>
  <c r="AC7" i="47"/>
  <c r="AU246" i="47"/>
  <c r="AC90" i="47"/>
  <c r="K90" i="47"/>
  <c r="AF246" i="47"/>
  <c r="N90" i="47"/>
  <c r="N7" i="47"/>
  <c r="AN246" i="47"/>
  <c r="V7" i="47"/>
  <c r="V90" i="47"/>
  <c r="AD7" i="47"/>
  <c r="AV246" i="47"/>
  <c r="AD90" i="47"/>
  <c r="Q90" i="47"/>
  <c r="Q7" i="47"/>
  <c r="AI246" i="47"/>
  <c r="Y90" i="47"/>
  <c r="Y7" i="47"/>
  <c r="AQ246" i="47"/>
  <c r="AG87" i="47"/>
  <c r="AG89" i="47"/>
  <c r="F226" i="47"/>
  <c r="E108" i="47"/>
  <c r="L90" i="47"/>
  <c r="L7" i="47"/>
  <c r="AD246" i="47"/>
  <c r="AG246" i="47"/>
  <c r="O90" i="47"/>
  <c r="O7" i="47"/>
  <c r="AO246" i="47"/>
  <c r="W90" i="47"/>
  <c r="W7" i="47"/>
  <c r="AW246" i="47"/>
  <c r="AE90" i="47"/>
  <c r="AE7" i="47"/>
  <c r="S90" i="47"/>
  <c r="S7" i="47"/>
  <c r="AK246" i="47"/>
  <c r="P90" i="47"/>
  <c r="P7" i="47"/>
  <c r="AH246" i="47"/>
  <c r="AF90" i="47"/>
  <c r="AF7" i="47"/>
  <c r="AX246" i="47"/>
  <c r="J229" i="47"/>
  <c r="K229" i="47" s="1"/>
  <c r="L229" i="47" s="1"/>
  <c r="M229" i="47" s="1"/>
  <c r="N229" i="47" s="1"/>
  <c r="O229" i="47" s="1"/>
  <c r="P229" i="47" s="1"/>
  <c r="X90" i="47"/>
  <c r="X7" i="47"/>
  <c r="AP246" i="47"/>
  <c r="C87" i="47"/>
  <c r="C89" i="47" s="1"/>
  <c r="F98" i="47"/>
  <c r="N98" i="47"/>
  <c r="V98" i="47"/>
  <c r="AD98" i="47"/>
  <c r="D243" i="47"/>
  <c r="AG4" i="47"/>
  <c r="AG6" i="47" s="1"/>
  <c r="G98" i="47"/>
  <c r="O98" i="47"/>
  <c r="W98" i="47"/>
  <c r="AE98" i="47"/>
  <c r="D108" i="47"/>
  <c r="E231" i="47"/>
  <c r="AH82" i="47"/>
  <c r="AH48" i="47"/>
  <c r="AH52" i="47"/>
  <c r="AI82" i="47"/>
  <c r="AA87" i="46"/>
  <c r="AA89" i="46" s="1"/>
  <c r="AA90" i="46" s="1"/>
  <c r="V87" i="46"/>
  <c r="V89" i="46" s="1"/>
  <c r="V90" i="46" s="1"/>
  <c r="W87" i="46"/>
  <c r="W89" i="46" s="1"/>
  <c r="W90" i="46" s="1"/>
  <c r="T87" i="46"/>
  <c r="T89" i="46" s="1"/>
  <c r="T90" i="46" s="1"/>
  <c r="AH108" i="49" l="1"/>
  <c r="AI108" i="49"/>
  <c r="K6" i="48"/>
  <c r="E267" i="48"/>
  <c r="G231" i="48"/>
  <c r="F108" i="48"/>
  <c r="I226" i="48"/>
  <c r="AI90" i="48"/>
  <c r="AH90" i="48"/>
  <c r="F232" i="48"/>
  <c r="M90" i="47"/>
  <c r="AE246" i="47"/>
  <c r="Y246" i="47"/>
  <c r="J7" i="47"/>
  <c r="AC246" i="47"/>
  <c r="J90" i="47"/>
  <c r="AI98" i="47"/>
  <c r="G7" i="47"/>
  <c r="W246" i="47"/>
  <c r="E90" i="47"/>
  <c r="V246" i="47"/>
  <c r="C241" i="47"/>
  <c r="F7" i="47"/>
  <c r="F90" i="47"/>
  <c r="B241" i="47"/>
  <c r="AA246" i="47"/>
  <c r="Z246" i="47"/>
  <c r="I90" i="47"/>
  <c r="H7" i="47"/>
  <c r="D90" i="47"/>
  <c r="AI87" i="47"/>
  <c r="AH98" i="47"/>
  <c r="G226" i="47"/>
  <c r="F108" i="47"/>
  <c r="F232" i="47"/>
  <c r="AI89" i="47"/>
  <c r="AH89" i="47"/>
  <c r="B7" i="47"/>
  <c r="T246" i="47"/>
  <c r="AH87" i="47"/>
  <c r="C90" i="47"/>
  <c r="C7" i="47"/>
  <c r="U246" i="47"/>
  <c r="D267" i="47"/>
  <c r="F231" i="47"/>
  <c r="E232" i="47"/>
  <c r="J226" i="48" l="1"/>
  <c r="F267" i="48"/>
  <c r="H231" i="48"/>
  <c r="G108" i="48"/>
  <c r="G232" i="48"/>
  <c r="K6" i="47"/>
  <c r="H226" i="47"/>
  <c r="G108" i="47"/>
  <c r="G232" i="47"/>
  <c r="AI90" i="47"/>
  <c r="AH90" i="47"/>
  <c r="A7" i="47"/>
  <c r="E267" i="47"/>
  <c r="G231" i="47"/>
  <c r="G267" i="48" l="1"/>
  <c r="I231" i="48"/>
  <c r="H108" i="48"/>
  <c r="H232" i="48"/>
  <c r="K226" i="48"/>
  <c r="I226" i="47"/>
  <c r="F267" i="47"/>
  <c r="H231" i="47"/>
  <c r="H108" i="47" s="1"/>
  <c r="H267" i="48" l="1"/>
  <c r="J231" i="48"/>
  <c r="I108" i="48"/>
  <c r="L226" i="48"/>
  <c r="H232" i="47"/>
  <c r="G267" i="47"/>
  <c r="I231" i="47"/>
  <c r="I108" i="47"/>
  <c r="J226" i="47"/>
  <c r="M226" i="48" l="1"/>
  <c r="K231" i="48"/>
  <c r="I267" i="48"/>
  <c r="J108" i="48"/>
  <c r="K226" i="47"/>
  <c r="H267" i="47"/>
  <c r="J231" i="47"/>
  <c r="L231" i="48" l="1"/>
  <c r="J267" i="48"/>
  <c r="K108" i="48"/>
  <c r="N226" i="48"/>
  <c r="K231" i="47"/>
  <c r="I267" i="47"/>
  <c r="L226" i="47"/>
  <c r="K108" i="47"/>
  <c r="J108" i="47"/>
  <c r="O226" i="48" l="1"/>
  <c r="K267" i="48"/>
  <c r="M231" i="48"/>
  <c r="L108" i="48"/>
  <c r="M226" i="47"/>
  <c r="J267" i="47"/>
  <c r="L231" i="47"/>
  <c r="L267" i="48" l="1"/>
  <c r="N231" i="48"/>
  <c r="M108" i="48"/>
  <c r="P226" i="48"/>
  <c r="K267" i="47"/>
  <c r="M231" i="47"/>
  <c r="L108" i="47"/>
  <c r="N226" i="47"/>
  <c r="M108" i="47"/>
  <c r="M267" i="48" l="1"/>
  <c r="O231" i="48"/>
  <c r="N108" i="48"/>
  <c r="O226" i="47"/>
  <c r="N108" i="47"/>
  <c r="L267" i="47"/>
  <c r="N231" i="47"/>
  <c r="N267" i="48" l="1"/>
  <c r="P231" i="48"/>
  <c r="O267" i="48" s="1"/>
  <c r="O108" i="48"/>
  <c r="M267" i="47"/>
  <c r="O231" i="47"/>
  <c r="P226" i="47"/>
  <c r="O108" i="47"/>
  <c r="AI108" i="48" l="1"/>
  <c r="AH108" i="48"/>
  <c r="AH108" i="47"/>
  <c r="AI108" i="47"/>
  <c r="N267" i="47"/>
  <c r="P231" i="47"/>
  <c r="O267" i="47" s="1"/>
  <c r="AF271" i="46" l="1"/>
  <c r="AE271" i="46"/>
  <c r="AD271" i="46"/>
  <c r="AC271" i="46"/>
  <c r="AB271" i="46"/>
  <c r="AA271" i="46"/>
  <c r="Z271" i="46"/>
  <c r="Y271" i="46"/>
  <c r="X271" i="46"/>
  <c r="W271" i="46"/>
  <c r="V271" i="46"/>
  <c r="U271" i="46"/>
  <c r="T271" i="46"/>
  <c r="S271" i="46"/>
  <c r="R271" i="46"/>
  <c r="Q271" i="46"/>
  <c r="P271" i="46"/>
  <c r="O271" i="46"/>
  <c r="N271" i="46"/>
  <c r="M271" i="46"/>
  <c r="L271" i="46"/>
  <c r="K271" i="46"/>
  <c r="J271" i="46"/>
  <c r="I271" i="46"/>
  <c r="H271" i="46"/>
  <c r="G271" i="46"/>
  <c r="F271" i="46"/>
  <c r="E271" i="46"/>
  <c r="D271" i="46"/>
  <c r="C271" i="46"/>
  <c r="B271" i="46"/>
  <c r="A271" i="46"/>
  <c r="AF270" i="46"/>
  <c r="AE270" i="46"/>
  <c r="AD270" i="46"/>
  <c r="AC270" i="46"/>
  <c r="AB270" i="46"/>
  <c r="AA270" i="46"/>
  <c r="Z270" i="46"/>
  <c r="Y270" i="46"/>
  <c r="X270" i="46"/>
  <c r="W270" i="46"/>
  <c r="V270" i="46"/>
  <c r="U270" i="46"/>
  <c r="T270" i="46"/>
  <c r="S270" i="46"/>
  <c r="R270" i="46"/>
  <c r="Q270" i="46"/>
  <c r="P270" i="46"/>
  <c r="O270" i="46"/>
  <c r="N270" i="46"/>
  <c r="M270" i="46"/>
  <c r="L270" i="46"/>
  <c r="K270" i="46"/>
  <c r="J270" i="46"/>
  <c r="I270" i="46"/>
  <c r="H270" i="46"/>
  <c r="G270" i="46"/>
  <c r="F270" i="46"/>
  <c r="E270" i="46"/>
  <c r="D270" i="46"/>
  <c r="C270" i="46"/>
  <c r="B270" i="46"/>
  <c r="A270" i="46"/>
  <c r="AF269" i="46"/>
  <c r="AE269" i="46"/>
  <c r="AD269" i="46"/>
  <c r="AC269" i="46"/>
  <c r="AB269" i="46"/>
  <c r="AA269" i="46"/>
  <c r="Z269" i="46"/>
  <c r="Y269" i="46"/>
  <c r="X269" i="46"/>
  <c r="W269" i="46"/>
  <c r="V269" i="46"/>
  <c r="U269" i="46"/>
  <c r="T269" i="46"/>
  <c r="S269" i="46"/>
  <c r="R269" i="46"/>
  <c r="Q269" i="46"/>
  <c r="P269" i="46"/>
  <c r="O269" i="46"/>
  <c r="N269" i="46"/>
  <c r="M269" i="46"/>
  <c r="L269" i="46"/>
  <c r="K269" i="46"/>
  <c r="J269" i="46"/>
  <c r="I269" i="46"/>
  <c r="H269" i="46"/>
  <c r="G269" i="46"/>
  <c r="F269" i="46"/>
  <c r="E269" i="46"/>
  <c r="D269" i="46"/>
  <c r="C269" i="46"/>
  <c r="B269" i="46"/>
  <c r="A269" i="46"/>
  <c r="AF268" i="46"/>
  <c r="AE268" i="46"/>
  <c r="AD268" i="46"/>
  <c r="AC268" i="46"/>
  <c r="AB268" i="46"/>
  <c r="AA268" i="46"/>
  <c r="Z268" i="46"/>
  <c r="Y268" i="46"/>
  <c r="X268" i="46"/>
  <c r="W268" i="46"/>
  <c r="V268" i="46"/>
  <c r="U268" i="46"/>
  <c r="T268" i="46"/>
  <c r="S268" i="46"/>
  <c r="R268" i="46"/>
  <c r="Q268" i="46"/>
  <c r="P268" i="46"/>
  <c r="O268" i="46"/>
  <c r="N268" i="46"/>
  <c r="M268" i="46"/>
  <c r="L268" i="46"/>
  <c r="K268" i="46"/>
  <c r="J268" i="46"/>
  <c r="I268" i="46"/>
  <c r="H268" i="46"/>
  <c r="G268" i="46"/>
  <c r="F268" i="46"/>
  <c r="E268" i="46"/>
  <c r="D268" i="46"/>
  <c r="C268" i="46"/>
  <c r="B268" i="46"/>
  <c r="A268" i="46"/>
  <c r="AE267" i="46"/>
  <c r="AD267" i="46"/>
  <c r="AC267" i="46"/>
  <c r="AB267" i="46"/>
  <c r="AA267" i="46"/>
  <c r="Z267" i="46"/>
  <c r="Y267" i="46"/>
  <c r="X267" i="46"/>
  <c r="W267" i="46"/>
  <c r="V267" i="46"/>
  <c r="U267" i="46"/>
  <c r="T267" i="46"/>
  <c r="S267" i="46"/>
  <c r="R267" i="46"/>
  <c r="Q267" i="46"/>
  <c r="P267" i="46"/>
  <c r="E267" i="46"/>
  <c r="C267" i="46"/>
  <c r="B267" i="46"/>
  <c r="S242" i="46"/>
  <c r="AG232" i="46"/>
  <c r="AF232" i="46"/>
  <c r="AE232" i="46"/>
  <c r="AD232" i="46"/>
  <c r="AC232" i="46"/>
  <c r="AB232" i="46"/>
  <c r="AA232" i="46"/>
  <c r="Z232" i="46"/>
  <c r="Y232" i="46"/>
  <c r="X232" i="46"/>
  <c r="W232" i="46"/>
  <c r="V232" i="46"/>
  <c r="U232" i="46"/>
  <c r="T232" i="46"/>
  <c r="S232" i="46"/>
  <c r="R232" i="46"/>
  <c r="Q232" i="46"/>
  <c r="C232" i="46"/>
  <c r="F231" i="46"/>
  <c r="G231" i="46" s="1"/>
  <c r="E231" i="46"/>
  <c r="D267" i="46" s="1"/>
  <c r="D231" i="46"/>
  <c r="B231" i="46"/>
  <c r="AF267" i="46" s="1"/>
  <c r="D230" i="46"/>
  <c r="E230" i="46" s="1"/>
  <c r="F230" i="46" s="1"/>
  <c r="G230" i="46" s="1"/>
  <c r="H230" i="46" s="1"/>
  <c r="I230" i="46" s="1"/>
  <c r="J230" i="46" s="1"/>
  <c r="K230" i="46" s="1"/>
  <c r="L230" i="46" s="1"/>
  <c r="M230" i="46" s="1"/>
  <c r="N230" i="46" s="1"/>
  <c r="O230" i="46" s="1"/>
  <c r="P230" i="46" s="1"/>
  <c r="B230" i="46"/>
  <c r="D229" i="46"/>
  <c r="E229" i="46" s="1"/>
  <c r="F229" i="46" s="1"/>
  <c r="G229" i="46" s="1"/>
  <c r="H229" i="46" s="1"/>
  <c r="I229" i="46" s="1"/>
  <c r="B229" i="46"/>
  <c r="E228" i="46"/>
  <c r="F228" i="46" s="1"/>
  <c r="G228" i="46" s="1"/>
  <c r="H228" i="46" s="1"/>
  <c r="D228" i="46"/>
  <c r="B228" i="46"/>
  <c r="H227" i="46"/>
  <c r="I227" i="46" s="1"/>
  <c r="J227" i="46" s="1"/>
  <c r="K227" i="46" s="1"/>
  <c r="L227" i="46" s="1"/>
  <c r="M227" i="46" s="1"/>
  <c r="N227" i="46" s="1"/>
  <c r="O227" i="46" s="1"/>
  <c r="P227" i="46" s="1"/>
  <c r="G227" i="46"/>
  <c r="F227" i="46"/>
  <c r="E227" i="46"/>
  <c r="D227" i="46"/>
  <c r="B227" i="46"/>
  <c r="F226" i="46"/>
  <c r="G226" i="46" s="1"/>
  <c r="E226" i="46"/>
  <c r="D226" i="46"/>
  <c r="D232" i="46" s="1"/>
  <c r="B226" i="46"/>
  <c r="B232" i="46" s="1"/>
  <c r="AG224" i="46"/>
  <c r="AF224" i="46"/>
  <c r="AE224" i="46"/>
  <c r="AD224" i="46"/>
  <c r="AC224" i="46"/>
  <c r="AB224" i="46"/>
  <c r="AA224" i="46"/>
  <c r="Z224" i="46"/>
  <c r="Y224" i="46"/>
  <c r="X224" i="46"/>
  <c r="W224" i="46"/>
  <c r="V224" i="46"/>
  <c r="U224" i="46"/>
  <c r="T224" i="46"/>
  <c r="S224" i="46"/>
  <c r="R224" i="46"/>
  <c r="Q224" i="46"/>
  <c r="P224" i="46"/>
  <c r="O224" i="46"/>
  <c r="N224" i="46"/>
  <c r="M224" i="46"/>
  <c r="L224" i="46"/>
  <c r="K224" i="46"/>
  <c r="J224" i="46"/>
  <c r="I224" i="46"/>
  <c r="H224" i="46"/>
  <c r="G224" i="46"/>
  <c r="F224" i="46"/>
  <c r="E224" i="46"/>
  <c r="D224" i="46"/>
  <c r="C224" i="46"/>
  <c r="B224" i="46"/>
  <c r="AI117" i="46"/>
  <c r="AH117" i="46"/>
  <c r="AI116" i="46"/>
  <c r="AH116" i="46"/>
  <c r="AI115" i="46"/>
  <c r="AH115" i="46"/>
  <c r="AI114" i="46"/>
  <c r="AH114" i="46"/>
  <c r="AI113" i="46"/>
  <c r="AH113" i="46"/>
  <c r="AI112" i="46"/>
  <c r="AH112" i="46"/>
  <c r="AI111" i="46"/>
  <c r="AH111" i="46"/>
  <c r="AI110" i="46"/>
  <c r="AH110" i="46"/>
  <c r="AI109" i="46"/>
  <c r="AH109" i="46"/>
  <c r="AF108" i="46"/>
  <c r="AE108" i="46"/>
  <c r="AD108" i="46"/>
  <c r="AC108" i="46"/>
  <c r="AB108" i="46"/>
  <c r="Z108" i="46"/>
  <c r="Y108" i="46"/>
  <c r="X108" i="46"/>
  <c r="U108" i="46"/>
  <c r="T108" i="46"/>
  <c r="S108" i="46"/>
  <c r="R108" i="46"/>
  <c r="Q108" i="46"/>
  <c r="F108" i="46"/>
  <c r="E108" i="46"/>
  <c r="D108" i="46"/>
  <c r="C108" i="46"/>
  <c r="B108" i="46"/>
  <c r="AI107" i="46"/>
  <c r="AH107" i="46"/>
  <c r="AI106" i="46"/>
  <c r="AH106" i="46"/>
  <c r="AI105" i="46"/>
  <c r="AH105" i="46"/>
  <c r="AI104" i="46"/>
  <c r="AH104" i="46"/>
  <c r="AI103" i="46"/>
  <c r="AH103" i="46"/>
  <c r="AI102" i="46"/>
  <c r="AH102" i="46"/>
  <c r="AI101" i="46"/>
  <c r="AH101" i="46"/>
  <c r="AI100" i="46"/>
  <c r="AH100" i="46"/>
  <c r="AI99" i="46"/>
  <c r="AH99" i="46"/>
  <c r="AI97" i="46"/>
  <c r="AH97" i="46"/>
  <c r="AI96" i="46"/>
  <c r="AH96" i="46"/>
  <c r="AI95" i="46"/>
  <c r="AH95" i="46"/>
  <c r="AI94" i="46"/>
  <c r="AH94" i="46"/>
  <c r="AI93" i="46"/>
  <c r="AH93" i="46"/>
  <c r="AI92" i="46"/>
  <c r="AH92" i="46"/>
  <c r="AI91" i="46"/>
  <c r="AH91" i="46"/>
  <c r="AI88" i="46"/>
  <c r="AH88" i="46"/>
  <c r="AI86" i="46"/>
  <c r="AH86" i="46"/>
  <c r="AG86" i="46"/>
  <c r="AG89" i="46" s="1"/>
  <c r="AI85" i="46"/>
  <c r="AH85" i="46"/>
  <c r="AI84" i="46"/>
  <c r="AH84" i="46"/>
  <c r="AI83" i="46"/>
  <c r="AH83" i="46"/>
  <c r="AN82" i="46"/>
  <c r="AG82" i="46"/>
  <c r="AF82" i="46"/>
  <c r="AF98" i="46" s="1"/>
  <c r="AE82" i="46"/>
  <c r="AE98" i="46" s="1"/>
  <c r="AD82" i="46"/>
  <c r="AD98" i="46" s="1"/>
  <c r="AC82" i="46"/>
  <c r="AC98" i="46" s="1"/>
  <c r="AB82" i="46"/>
  <c r="AB98" i="46" s="1"/>
  <c r="Z98" i="46"/>
  <c r="Y82" i="46"/>
  <c r="Y98" i="46" s="1"/>
  <c r="X82" i="46"/>
  <c r="X98" i="46" s="1"/>
  <c r="U82" i="46"/>
  <c r="U98" i="46" s="1"/>
  <c r="T98" i="46"/>
  <c r="S82" i="46"/>
  <c r="S98" i="46" s="1"/>
  <c r="R82" i="46"/>
  <c r="R98" i="46" s="1"/>
  <c r="Q82" i="46"/>
  <c r="Q98" i="46" s="1"/>
  <c r="P82" i="46"/>
  <c r="P98" i="46" s="1"/>
  <c r="O82" i="46"/>
  <c r="O98" i="46" s="1"/>
  <c r="N82" i="46"/>
  <c r="N98" i="46" s="1"/>
  <c r="M82" i="46"/>
  <c r="M98" i="46" s="1"/>
  <c r="L82" i="46"/>
  <c r="L98" i="46" s="1"/>
  <c r="K82" i="46"/>
  <c r="K98" i="46" s="1"/>
  <c r="J82" i="46"/>
  <c r="J98" i="46" s="1"/>
  <c r="I82" i="46"/>
  <c r="I98" i="46" s="1"/>
  <c r="H82" i="46"/>
  <c r="H98" i="46" s="1"/>
  <c r="G82" i="46"/>
  <c r="G98" i="46" s="1"/>
  <c r="F82" i="46"/>
  <c r="F98" i="46" s="1"/>
  <c r="E82" i="46"/>
  <c r="E98" i="46" s="1"/>
  <c r="D82" i="46"/>
  <c r="D98" i="46" s="1"/>
  <c r="C82" i="46"/>
  <c r="C98" i="46" s="1"/>
  <c r="B82" i="46"/>
  <c r="B98" i="46" s="1"/>
  <c r="AI81" i="46"/>
  <c r="AH81" i="46"/>
  <c r="AN80" i="46"/>
  <c r="AI80" i="46"/>
  <c r="AH80" i="46"/>
  <c r="AN79" i="46"/>
  <c r="AN81" i="46" s="1"/>
  <c r="AI79" i="46"/>
  <c r="AH79" i="46"/>
  <c r="AI78" i="46"/>
  <c r="AH78" i="46"/>
  <c r="AI77" i="46"/>
  <c r="AH77" i="46"/>
  <c r="AI76" i="46"/>
  <c r="AH76" i="46"/>
  <c r="AI75" i="46"/>
  <c r="AH75" i="46"/>
  <c r="AI74" i="46"/>
  <c r="AH74" i="46"/>
  <c r="AI73" i="46"/>
  <c r="AH73" i="46"/>
  <c r="AI72" i="46"/>
  <c r="AH72" i="46"/>
  <c r="AI71" i="46"/>
  <c r="AH71" i="46"/>
  <c r="AG70" i="46"/>
  <c r="AF70" i="46"/>
  <c r="AE70" i="46"/>
  <c r="AD70" i="46"/>
  <c r="AC70" i="46"/>
  <c r="AB70" i="46"/>
  <c r="Z70" i="46"/>
  <c r="Y70" i="46"/>
  <c r="X70" i="46"/>
  <c r="U70" i="46"/>
  <c r="S70" i="46"/>
  <c r="R70" i="46"/>
  <c r="Q70" i="46"/>
  <c r="P70" i="46"/>
  <c r="O70" i="46"/>
  <c r="N70" i="46"/>
  <c r="M70" i="46"/>
  <c r="L70" i="46"/>
  <c r="B70" i="46"/>
  <c r="AI70" i="46" s="1"/>
  <c r="AI69" i="46"/>
  <c r="AH69" i="46"/>
  <c r="AI68" i="46"/>
  <c r="AH68" i="46"/>
  <c r="AI67" i="46"/>
  <c r="AH67" i="46"/>
  <c r="AG66" i="46"/>
  <c r="AF66" i="46"/>
  <c r="AE66" i="46"/>
  <c r="AD66" i="46"/>
  <c r="AC66" i="46"/>
  <c r="AB66" i="46"/>
  <c r="Z66" i="46"/>
  <c r="Y66" i="46"/>
  <c r="X66" i="46"/>
  <c r="U66" i="46"/>
  <c r="S66" i="46"/>
  <c r="R66" i="46"/>
  <c r="Q66" i="46"/>
  <c r="P66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C66" i="46"/>
  <c r="B66" i="46"/>
  <c r="AI65" i="46"/>
  <c r="AH65" i="46"/>
  <c r="AG65" i="46"/>
  <c r="AI64" i="46"/>
  <c r="AH64" i="46"/>
  <c r="AI63" i="46"/>
  <c r="AH63" i="46"/>
  <c r="AI62" i="46"/>
  <c r="AH62" i="46"/>
  <c r="AI61" i="46"/>
  <c r="AH61" i="46"/>
  <c r="AI60" i="46"/>
  <c r="AH60" i="46"/>
  <c r="AI59" i="46"/>
  <c r="AH59" i="46"/>
  <c r="AI58" i="46"/>
  <c r="AH58" i="46"/>
  <c r="AI57" i="46"/>
  <c r="AH57" i="46"/>
  <c r="AI56" i="46"/>
  <c r="AH56" i="46"/>
  <c r="AI55" i="46"/>
  <c r="AH55" i="46"/>
  <c r="AI54" i="46"/>
  <c r="AH54" i="46"/>
  <c r="AI53" i="46"/>
  <c r="AH53" i="46"/>
  <c r="AG52" i="46"/>
  <c r="AF52" i="46"/>
  <c r="AE52" i="46"/>
  <c r="AD52" i="46"/>
  <c r="AC52" i="46"/>
  <c r="AB52" i="46"/>
  <c r="Y52" i="46"/>
  <c r="U52" i="46"/>
  <c r="R52" i="46"/>
  <c r="Q52" i="46"/>
  <c r="P52" i="46"/>
  <c r="O52" i="46"/>
  <c r="N52" i="46"/>
  <c r="M52" i="46"/>
  <c r="L52" i="46"/>
  <c r="K52" i="46"/>
  <c r="J52" i="46"/>
  <c r="I52" i="46"/>
  <c r="H52" i="46"/>
  <c r="G52" i="46"/>
  <c r="F52" i="46"/>
  <c r="E52" i="46"/>
  <c r="D52" i="46"/>
  <c r="C52" i="46"/>
  <c r="B52" i="46"/>
  <c r="AI51" i="46"/>
  <c r="AH51" i="46"/>
  <c r="AI50" i="46"/>
  <c r="AH50" i="46"/>
  <c r="AI49" i="46"/>
  <c r="AH49" i="46"/>
  <c r="AG48" i="46"/>
  <c r="AG87" i="46" s="1"/>
  <c r="AF48" i="46"/>
  <c r="AE48" i="46"/>
  <c r="AD48" i="46"/>
  <c r="AC48" i="46"/>
  <c r="AB48" i="46"/>
  <c r="Y48" i="46"/>
  <c r="U48" i="46"/>
  <c r="R48" i="46"/>
  <c r="Q48" i="46"/>
  <c r="P48" i="46"/>
  <c r="O48" i="46"/>
  <c r="N48" i="46"/>
  <c r="M48" i="46"/>
  <c r="L48" i="46"/>
  <c r="K48" i="46"/>
  <c r="J48" i="46"/>
  <c r="I48" i="46"/>
  <c r="H48" i="46"/>
  <c r="G48" i="46"/>
  <c r="F48" i="46"/>
  <c r="E48" i="46"/>
  <c r="D48" i="46"/>
  <c r="C48" i="46"/>
  <c r="B48" i="46"/>
  <c r="AI47" i="46"/>
  <c r="AH47" i="46"/>
  <c r="AI46" i="46"/>
  <c r="AH46" i="46"/>
  <c r="AI45" i="46"/>
  <c r="AH45" i="46"/>
  <c r="AI44" i="46"/>
  <c r="AH44" i="46"/>
  <c r="AI43" i="46"/>
  <c r="AH43" i="46"/>
  <c r="AI42" i="46"/>
  <c r="AH42" i="46"/>
  <c r="AI41" i="46"/>
  <c r="AH41" i="46"/>
  <c r="AI40" i="46"/>
  <c r="AH40" i="46"/>
  <c r="AI39" i="46"/>
  <c r="AH39" i="46"/>
  <c r="AI38" i="46"/>
  <c r="AH38" i="46"/>
  <c r="AI37" i="46"/>
  <c r="AH37" i="46"/>
  <c r="AI36" i="46"/>
  <c r="AH36" i="46"/>
  <c r="AI35" i="46"/>
  <c r="AH35" i="46"/>
  <c r="AI34" i="46"/>
  <c r="AH34" i="46"/>
  <c r="AI33" i="46"/>
  <c r="AH33" i="46"/>
  <c r="AI32" i="46"/>
  <c r="AH32" i="46"/>
  <c r="AI31" i="46"/>
  <c r="AH31" i="46"/>
  <c r="AI30" i="46"/>
  <c r="AH30" i="46"/>
  <c r="AI29" i="46"/>
  <c r="AH29" i="46"/>
  <c r="AI28" i="46"/>
  <c r="AH28" i="46"/>
  <c r="AI27" i="46"/>
  <c r="AH27" i="46"/>
  <c r="AI26" i="46"/>
  <c r="AH26" i="46"/>
  <c r="AI25" i="46"/>
  <c r="AH25" i="46"/>
  <c r="AI24" i="46"/>
  <c r="AH24" i="46"/>
  <c r="AI23" i="46"/>
  <c r="AH23" i="46"/>
  <c r="AI22" i="46"/>
  <c r="AH22" i="46"/>
  <c r="AI21" i="46"/>
  <c r="AH21" i="46"/>
  <c r="AI20" i="46"/>
  <c r="AH20" i="46"/>
  <c r="AI19" i="46"/>
  <c r="AH19" i="46"/>
  <c r="AI18" i="46"/>
  <c r="AH18" i="46"/>
  <c r="AI17" i="46"/>
  <c r="AH17" i="46"/>
  <c r="AI16" i="46"/>
  <c r="AH16" i="46"/>
  <c r="AI15" i="46"/>
  <c r="AH15" i="46"/>
  <c r="AI14" i="46"/>
  <c r="AH14" i="46"/>
  <c r="AI13" i="46"/>
  <c r="AH13" i="46"/>
  <c r="AI12" i="46"/>
  <c r="AH12" i="46"/>
  <c r="AI11" i="46"/>
  <c r="AH11" i="46"/>
  <c r="AA5" i="46"/>
  <c r="Z5" i="46"/>
  <c r="V5" i="46"/>
  <c r="U5" i="46"/>
  <c r="S5" i="46"/>
  <c r="O5" i="46"/>
  <c r="AG4" i="46"/>
  <c r="K4" i="46"/>
  <c r="E4" i="46"/>
  <c r="H4" i="46" s="1"/>
  <c r="B4" i="46"/>
  <c r="S243" i="46" s="1"/>
  <c r="AG3" i="46"/>
  <c r="AG2" i="46"/>
  <c r="AG6" i="46" s="1"/>
  <c r="AE5" i="46" l="1"/>
  <c r="AF87" i="46"/>
  <c r="AF89" i="46" s="1"/>
  <c r="AF90" i="46" s="1"/>
  <c r="AD5" i="46"/>
  <c r="AE87" i="46"/>
  <c r="AE89" i="46" s="1"/>
  <c r="AW246" i="46" s="1"/>
  <c r="AC5" i="46"/>
  <c r="AD87" i="46"/>
  <c r="AD89" i="46" s="1"/>
  <c r="AD90" i="46" s="1"/>
  <c r="AB5" i="46"/>
  <c r="AC87" i="46"/>
  <c r="AC89" i="46" s="1"/>
  <c r="AU246" i="46" s="1"/>
  <c r="AB87" i="46"/>
  <c r="AB89" i="46" s="1"/>
  <c r="Y5" i="46"/>
  <c r="Z87" i="46"/>
  <c r="Z89" i="46" s="1"/>
  <c r="Z7" i="46" s="1"/>
  <c r="X5" i="46"/>
  <c r="Y87" i="46"/>
  <c r="Y89" i="46" s="1"/>
  <c r="Y7" i="46" s="1"/>
  <c r="W5" i="46"/>
  <c r="X87" i="46"/>
  <c r="X89" i="46" s="1"/>
  <c r="AP246" i="46" s="1"/>
  <c r="T5" i="46"/>
  <c r="U87" i="46"/>
  <c r="U89" i="46" s="1"/>
  <c r="U90" i="46" s="1"/>
  <c r="R5" i="46"/>
  <c r="S87" i="46"/>
  <c r="S89" i="46" s="1"/>
  <c r="S90" i="46" s="1"/>
  <c r="Q5" i="46"/>
  <c r="R87" i="46"/>
  <c r="R89" i="46" s="1"/>
  <c r="R7" i="46" s="1"/>
  <c r="P5" i="46"/>
  <c r="Q87" i="46"/>
  <c r="Q89" i="46" s="1"/>
  <c r="AI246" i="46" s="1"/>
  <c r="P87" i="46"/>
  <c r="P89" i="46" s="1"/>
  <c r="P90" i="46" s="1"/>
  <c r="N5" i="46"/>
  <c r="O87" i="46"/>
  <c r="O89" i="46" s="1"/>
  <c r="AG246" i="46" s="1"/>
  <c r="M5" i="46"/>
  <c r="N87" i="46"/>
  <c r="N89" i="46" s="1"/>
  <c r="N7" i="46" s="1"/>
  <c r="L5" i="46"/>
  <c r="M87" i="46"/>
  <c r="M89" i="46" s="1"/>
  <c r="K5" i="46"/>
  <c r="L87" i="46"/>
  <c r="L89" i="46" s="1"/>
  <c r="L90" i="46" s="1"/>
  <c r="J5" i="46"/>
  <c r="K87" i="46"/>
  <c r="K89" i="46" s="1"/>
  <c r="K90" i="46" s="1"/>
  <c r="I5" i="46"/>
  <c r="J87" i="46"/>
  <c r="J89" i="46" s="1"/>
  <c r="J7" i="46" s="1"/>
  <c r="H5" i="46"/>
  <c r="I87" i="46"/>
  <c r="I89" i="46" s="1"/>
  <c r="G5" i="46"/>
  <c r="H87" i="46"/>
  <c r="H89" i="46" s="1"/>
  <c r="H90" i="46" s="1"/>
  <c r="G87" i="46"/>
  <c r="G89" i="46" s="1"/>
  <c r="G7" i="46" s="1"/>
  <c r="F5" i="46"/>
  <c r="E5" i="46"/>
  <c r="AI66" i="46"/>
  <c r="F87" i="46"/>
  <c r="F89" i="46" s="1"/>
  <c r="F7" i="46" s="1"/>
  <c r="D5" i="46"/>
  <c r="E87" i="46"/>
  <c r="E89" i="46" s="1"/>
  <c r="E90" i="46" s="1"/>
  <c r="C5" i="46"/>
  <c r="AH52" i="46"/>
  <c r="D87" i="46"/>
  <c r="D89" i="46" s="1"/>
  <c r="D7" i="46" s="1"/>
  <c r="B5" i="46"/>
  <c r="AH66" i="46"/>
  <c r="C87" i="46"/>
  <c r="C89" i="46" s="1"/>
  <c r="U246" i="46" s="1"/>
  <c r="AF5" i="46"/>
  <c r="B87" i="46"/>
  <c r="B89" i="46" s="1"/>
  <c r="H226" i="46"/>
  <c r="G108" i="46"/>
  <c r="G232" i="46"/>
  <c r="O7" i="46"/>
  <c r="AO246" i="46"/>
  <c r="W7" i="46"/>
  <c r="AE7" i="46"/>
  <c r="F267" i="46"/>
  <c r="H231" i="46"/>
  <c r="AI98" i="46"/>
  <c r="AH98" i="46"/>
  <c r="Q90" i="46"/>
  <c r="Q7" i="46"/>
  <c r="J229" i="46"/>
  <c r="K229" i="46" s="1"/>
  <c r="L229" i="46" s="1"/>
  <c r="M229" i="46" s="1"/>
  <c r="N229" i="46" s="1"/>
  <c r="O229" i="46" s="1"/>
  <c r="P229" i="46" s="1"/>
  <c r="Y246" i="46"/>
  <c r="G90" i="46"/>
  <c r="X90" i="46"/>
  <c r="X7" i="46"/>
  <c r="I90" i="46"/>
  <c r="I7" i="46"/>
  <c r="AA246" i="46"/>
  <c r="R90" i="46"/>
  <c r="AJ246" i="46"/>
  <c r="AN246" i="46"/>
  <c r="V7" i="46"/>
  <c r="AS246" i="46"/>
  <c r="AA7" i="46"/>
  <c r="T7" i="46"/>
  <c r="AL246" i="46"/>
  <c r="AB90" i="46"/>
  <c r="AB7" i="46"/>
  <c r="AT246" i="46"/>
  <c r="E7" i="46"/>
  <c r="M7" i="46"/>
  <c r="AE246" i="46"/>
  <c r="M90" i="46"/>
  <c r="U7" i="46"/>
  <c r="AM246" i="46"/>
  <c r="AC7" i="46"/>
  <c r="E232" i="46"/>
  <c r="AH70" i="46"/>
  <c r="D243" i="46"/>
  <c r="F232" i="46"/>
  <c r="AH82" i="46"/>
  <c r="AH48" i="46"/>
  <c r="AI82" i="46"/>
  <c r="AI48" i="46"/>
  <c r="AI52" i="46"/>
  <c r="AX246" i="46" l="1"/>
  <c r="AF7" i="46"/>
  <c r="AE90" i="46"/>
  <c r="AV246" i="46"/>
  <c r="AD7" i="46"/>
  <c r="AC90" i="46"/>
  <c r="Z90" i="46"/>
  <c r="AR246" i="46"/>
  <c r="Y90" i="46"/>
  <c r="AQ246" i="46"/>
  <c r="AK246" i="46"/>
  <c r="S7" i="46"/>
  <c r="O90" i="46"/>
  <c r="AH246" i="46"/>
  <c r="P7" i="46"/>
  <c r="N90" i="46"/>
  <c r="AF246" i="46"/>
  <c r="AD246" i="46"/>
  <c r="L7" i="46"/>
  <c r="K7" i="46"/>
  <c r="AC246" i="46"/>
  <c r="J90" i="46"/>
  <c r="AB246" i="46"/>
  <c r="B241" i="46"/>
  <c r="C241" i="46"/>
  <c r="K6" i="46" s="1"/>
  <c r="Z246" i="46"/>
  <c r="H7" i="46"/>
  <c r="C7" i="46"/>
  <c r="W246" i="46"/>
  <c r="F90" i="46"/>
  <c r="X246" i="46"/>
  <c r="D90" i="46"/>
  <c r="V246" i="46"/>
  <c r="C90" i="46"/>
  <c r="AI87" i="46"/>
  <c r="AH87" i="46"/>
  <c r="B7" i="46"/>
  <c r="B90" i="46"/>
  <c r="AI89" i="46"/>
  <c r="AH89" i="46"/>
  <c r="T246" i="46"/>
  <c r="I226" i="46"/>
  <c r="H108" i="46"/>
  <c r="H232" i="46"/>
  <c r="G267" i="46"/>
  <c r="I231" i="46"/>
  <c r="A7" i="46" l="1"/>
  <c r="I108" i="46"/>
  <c r="J226" i="46"/>
  <c r="H267" i="46"/>
  <c r="J231" i="46"/>
  <c r="AI90" i="46"/>
  <c r="AH90" i="46"/>
  <c r="K231" i="46" l="1"/>
  <c r="I267" i="46"/>
  <c r="J108" i="46"/>
  <c r="K226" i="46"/>
  <c r="N48" i="45"/>
  <c r="N52" i="45"/>
  <c r="D111" i="45"/>
  <c r="C111" i="45"/>
  <c r="C48" i="45"/>
  <c r="B111" i="45"/>
  <c r="B108" i="45"/>
  <c r="B82" i="45"/>
  <c r="B98" i="45" s="1"/>
  <c r="B70" i="45"/>
  <c r="B66" i="45"/>
  <c r="B52" i="45"/>
  <c r="B48" i="45"/>
  <c r="AF271" i="45"/>
  <c r="AE271" i="45"/>
  <c r="AD271" i="45"/>
  <c r="AC271" i="45"/>
  <c r="AB271" i="45"/>
  <c r="AA271" i="45"/>
  <c r="Z271" i="45"/>
  <c r="Y271" i="45"/>
  <c r="X271" i="45"/>
  <c r="W271" i="45"/>
  <c r="V271" i="45"/>
  <c r="U271" i="45"/>
  <c r="T271" i="45"/>
  <c r="S271" i="45"/>
  <c r="R271" i="45"/>
  <c r="Q271" i="45"/>
  <c r="P271" i="45"/>
  <c r="O271" i="45"/>
  <c r="N271" i="45"/>
  <c r="M271" i="45"/>
  <c r="L271" i="45"/>
  <c r="K271" i="45"/>
  <c r="J271" i="45"/>
  <c r="I271" i="45"/>
  <c r="H271" i="45"/>
  <c r="G271" i="45"/>
  <c r="F271" i="45"/>
  <c r="E271" i="45"/>
  <c r="D271" i="45"/>
  <c r="C271" i="45"/>
  <c r="B271" i="45"/>
  <c r="A271" i="45"/>
  <c r="AF270" i="45"/>
  <c r="AE270" i="45"/>
  <c r="AD270" i="45"/>
  <c r="AC270" i="45"/>
  <c r="AB270" i="45"/>
  <c r="AA270" i="45"/>
  <c r="Z270" i="45"/>
  <c r="Y270" i="45"/>
  <c r="X270" i="45"/>
  <c r="W270" i="45"/>
  <c r="V270" i="45"/>
  <c r="U270" i="45"/>
  <c r="T270" i="45"/>
  <c r="S270" i="45"/>
  <c r="R270" i="45"/>
  <c r="Q270" i="45"/>
  <c r="P270" i="45"/>
  <c r="O270" i="45"/>
  <c r="N270" i="45"/>
  <c r="M270" i="45"/>
  <c r="L270" i="45"/>
  <c r="K270" i="45"/>
  <c r="J270" i="45"/>
  <c r="I270" i="45"/>
  <c r="H270" i="45"/>
  <c r="G270" i="45"/>
  <c r="F270" i="45"/>
  <c r="E270" i="45"/>
  <c r="D270" i="45"/>
  <c r="C270" i="45"/>
  <c r="B270" i="45"/>
  <c r="A270" i="45"/>
  <c r="AF269" i="45"/>
  <c r="AE269" i="45"/>
  <c r="AD269" i="45"/>
  <c r="AC269" i="45"/>
  <c r="AB269" i="45"/>
  <c r="AA269" i="45"/>
  <c r="Z269" i="45"/>
  <c r="Y269" i="45"/>
  <c r="X269" i="45"/>
  <c r="W269" i="45"/>
  <c r="V269" i="45"/>
  <c r="U269" i="45"/>
  <c r="T269" i="45"/>
  <c r="S269" i="45"/>
  <c r="R269" i="45"/>
  <c r="Q269" i="45"/>
  <c r="P269" i="45"/>
  <c r="O269" i="45"/>
  <c r="N269" i="45"/>
  <c r="M269" i="45"/>
  <c r="L269" i="45"/>
  <c r="K269" i="45"/>
  <c r="J269" i="45"/>
  <c r="I269" i="45"/>
  <c r="H269" i="45"/>
  <c r="G269" i="45"/>
  <c r="F269" i="45"/>
  <c r="E269" i="45"/>
  <c r="D269" i="45"/>
  <c r="C269" i="45"/>
  <c r="B269" i="45"/>
  <c r="A269" i="45"/>
  <c r="AF268" i="45"/>
  <c r="AE268" i="45"/>
  <c r="AD268" i="45"/>
  <c r="AC268" i="45"/>
  <c r="AB268" i="45"/>
  <c r="AA268" i="45"/>
  <c r="Z268" i="45"/>
  <c r="Y268" i="45"/>
  <c r="X268" i="45"/>
  <c r="W268" i="45"/>
  <c r="V268" i="45"/>
  <c r="U268" i="45"/>
  <c r="T268" i="45"/>
  <c r="S268" i="45"/>
  <c r="R268" i="45"/>
  <c r="Q268" i="45"/>
  <c r="P268" i="45"/>
  <c r="O268" i="45"/>
  <c r="N268" i="45"/>
  <c r="M268" i="45"/>
  <c r="L268" i="45"/>
  <c r="K268" i="45"/>
  <c r="J268" i="45"/>
  <c r="I268" i="45"/>
  <c r="H268" i="45"/>
  <c r="G268" i="45"/>
  <c r="F268" i="45"/>
  <c r="E268" i="45"/>
  <c r="D268" i="45"/>
  <c r="C268" i="45"/>
  <c r="B268" i="45"/>
  <c r="A268" i="45"/>
  <c r="AE267" i="45"/>
  <c r="AD267" i="45"/>
  <c r="AC267" i="45"/>
  <c r="AB267" i="45"/>
  <c r="AA267" i="45"/>
  <c r="Z267" i="45"/>
  <c r="Y267" i="45"/>
  <c r="X267" i="45"/>
  <c r="W267" i="45"/>
  <c r="V267" i="45"/>
  <c r="U267" i="45"/>
  <c r="T267" i="45"/>
  <c r="S267" i="45"/>
  <c r="R267" i="45"/>
  <c r="Q267" i="45"/>
  <c r="P267" i="45"/>
  <c r="D267" i="45"/>
  <c r="C267" i="45"/>
  <c r="B267" i="45"/>
  <c r="S242" i="45"/>
  <c r="AG232" i="45"/>
  <c r="AG65" i="45" s="1"/>
  <c r="AG66" i="45" s="1"/>
  <c r="AG3" i="45" s="1"/>
  <c r="AF232" i="45"/>
  <c r="AE232" i="45"/>
  <c r="AD232" i="45"/>
  <c r="AC232" i="45"/>
  <c r="AB232" i="45"/>
  <c r="AA232" i="45"/>
  <c r="Z232" i="45"/>
  <c r="Y232" i="45"/>
  <c r="X232" i="45"/>
  <c r="W232" i="45"/>
  <c r="V232" i="45"/>
  <c r="U232" i="45"/>
  <c r="T232" i="45"/>
  <c r="S232" i="45"/>
  <c r="R232" i="45"/>
  <c r="Q232" i="45"/>
  <c r="C232" i="45"/>
  <c r="F231" i="45"/>
  <c r="E267" i="45" s="1"/>
  <c r="E231" i="45"/>
  <c r="D231" i="45"/>
  <c r="B231" i="45"/>
  <c r="AF267" i="45" s="1"/>
  <c r="D230" i="45"/>
  <c r="E230" i="45" s="1"/>
  <c r="F230" i="45" s="1"/>
  <c r="G230" i="45" s="1"/>
  <c r="H230" i="45" s="1"/>
  <c r="I230" i="45" s="1"/>
  <c r="J230" i="45" s="1"/>
  <c r="K230" i="45" s="1"/>
  <c r="L230" i="45" s="1"/>
  <c r="M230" i="45" s="1"/>
  <c r="N230" i="45" s="1"/>
  <c r="O230" i="45" s="1"/>
  <c r="P230" i="45" s="1"/>
  <c r="B230" i="45"/>
  <c r="D229" i="45"/>
  <c r="E229" i="45" s="1"/>
  <c r="F229" i="45" s="1"/>
  <c r="G229" i="45" s="1"/>
  <c r="H229" i="45" s="1"/>
  <c r="I229" i="45" s="1"/>
  <c r="B229" i="45"/>
  <c r="H228" i="45"/>
  <c r="G228" i="45"/>
  <c r="F228" i="45"/>
  <c r="E228" i="45"/>
  <c r="D228" i="45"/>
  <c r="B228" i="45"/>
  <c r="F227" i="45"/>
  <c r="G227" i="45" s="1"/>
  <c r="H227" i="45" s="1"/>
  <c r="I227" i="45" s="1"/>
  <c r="J227" i="45" s="1"/>
  <c r="K227" i="45" s="1"/>
  <c r="L227" i="45" s="1"/>
  <c r="M227" i="45" s="1"/>
  <c r="N227" i="45" s="1"/>
  <c r="O227" i="45" s="1"/>
  <c r="P227" i="45" s="1"/>
  <c r="E227" i="45"/>
  <c r="D227" i="45"/>
  <c r="B227" i="45"/>
  <c r="D226" i="45"/>
  <c r="D232" i="45" s="1"/>
  <c r="B226" i="45"/>
  <c r="AG224" i="45"/>
  <c r="AF224" i="45"/>
  <c r="AE224" i="45"/>
  <c r="AD224" i="45"/>
  <c r="AC224" i="45"/>
  <c r="AB224" i="45"/>
  <c r="AA224" i="45"/>
  <c r="Z224" i="45"/>
  <c r="Y224" i="45"/>
  <c r="X224" i="45"/>
  <c r="W224" i="45"/>
  <c r="V224" i="45"/>
  <c r="U224" i="45"/>
  <c r="T224" i="45"/>
  <c r="S224" i="45"/>
  <c r="R224" i="45"/>
  <c r="Q224" i="45"/>
  <c r="P224" i="45"/>
  <c r="O224" i="45"/>
  <c r="N224" i="45"/>
  <c r="M224" i="45"/>
  <c r="L224" i="45"/>
  <c r="K224" i="45"/>
  <c r="J224" i="45"/>
  <c r="I224" i="45"/>
  <c r="H224" i="45"/>
  <c r="G224" i="45"/>
  <c r="F224" i="45"/>
  <c r="E224" i="45"/>
  <c r="D224" i="45"/>
  <c r="C224" i="45"/>
  <c r="B224" i="45"/>
  <c r="AI117" i="45"/>
  <c r="AH117" i="45"/>
  <c r="AI116" i="45"/>
  <c r="AH116" i="45"/>
  <c r="AI115" i="45"/>
  <c r="AH115" i="45"/>
  <c r="AI114" i="45"/>
  <c r="AH114" i="45"/>
  <c r="AI113" i="45"/>
  <c r="AH113" i="45"/>
  <c r="AI112" i="45"/>
  <c r="AH112" i="45"/>
  <c r="AI111" i="45"/>
  <c r="AH111" i="45"/>
  <c r="AI110" i="45"/>
  <c r="AH110" i="45"/>
  <c r="AI109" i="45"/>
  <c r="AH109" i="45"/>
  <c r="AF108" i="45"/>
  <c r="AE108" i="45"/>
  <c r="AD108" i="45"/>
  <c r="AC108" i="45"/>
  <c r="AB108" i="45"/>
  <c r="AA108" i="45"/>
  <c r="Y108" i="45"/>
  <c r="X108" i="45"/>
  <c r="W108" i="45"/>
  <c r="V108" i="45"/>
  <c r="U108" i="45"/>
  <c r="T108" i="45"/>
  <c r="S108" i="45"/>
  <c r="R108" i="45"/>
  <c r="Q108" i="45"/>
  <c r="C108" i="45"/>
  <c r="AI107" i="45"/>
  <c r="AH107" i="45"/>
  <c r="AI106" i="45"/>
  <c r="AH106" i="45"/>
  <c r="AI105" i="45"/>
  <c r="AH105" i="45"/>
  <c r="AI104" i="45"/>
  <c r="AH104" i="45"/>
  <c r="AI103" i="45"/>
  <c r="AH103" i="45"/>
  <c r="AI102" i="45"/>
  <c r="AH102" i="45"/>
  <c r="AI101" i="45"/>
  <c r="AH101" i="45"/>
  <c r="AI100" i="45"/>
  <c r="AH100" i="45"/>
  <c r="AI99" i="45"/>
  <c r="AH99" i="45"/>
  <c r="AI97" i="45"/>
  <c r="AH97" i="45"/>
  <c r="AI96" i="45"/>
  <c r="AH96" i="45"/>
  <c r="AI95" i="45"/>
  <c r="AH95" i="45"/>
  <c r="AI94" i="45"/>
  <c r="AH94" i="45"/>
  <c r="AI93" i="45"/>
  <c r="AH93" i="45"/>
  <c r="AI92" i="45"/>
  <c r="AH92" i="45"/>
  <c r="AI91" i="45"/>
  <c r="AH91" i="45"/>
  <c r="AI88" i="45"/>
  <c r="AH88" i="45"/>
  <c r="AI86" i="45"/>
  <c r="AH86" i="45"/>
  <c r="AG86" i="45"/>
  <c r="AI85" i="45"/>
  <c r="AH85" i="45"/>
  <c r="AI84" i="45"/>
  <c r="AH84" i="45"/>
  <c r="AI83" i="45"/>
  <c r="AH83" i="45"/>
  <c r="AN82" i="45"/>
  <c r="AG82" i="45"/>
  <c r="AF82" i="45"/>
  <c r="AE5" i="45" s="1"/>
  <c r="AE82" i="45"/>
  <c r="AD5" i="45" s="1"/>
  <c r="AD82" i="45"/>
  <c r="AD98" i="45" s="1"/>
  <c r="AC82" i="45"/>
  <c r="AB5" i="45" s="1"/>
  <c r="AB82" i="45"/>
  <c r="AA5" i="45" s="1"/>
  <c r="AA82" i="45"/>
  <c r="AA98" i="45" s="1"/>
  <c r="Z82" i="45"/>
  <c r="Z98" i="45" s="1"/>
  <c r="Y82" i="45"/>
  <c r="X82" i="45"/>
  <c r="W5" i="45" s="1"/>
  <c r="W82" i="45"/>
  <c r="V5" i="45" s="1"/>
  <c r="V82" i="45"/>
  <c r="V98" i="45" s="1"/>
  <c r="U82" i="45"/>
  <c r="T5" i="45" s="1"/>
  <c r="T82" i="45"/>
  <c r="T98" i="45" s="1"/>
  <c r="S82" i="45"/>
  <c r="S98" i="45" s="1"/>
  <c r="R82" i="45"/>
  <c r="R98" i="45" s="1"/>
  <c r="Q82" i="45"/>
  <c r="P82" i="45"/>
  <c r="O5" i="45" s="1"/>
  <c r="O82" i="45"/>
  <c r="N5" i="45" s="1"/>
  <c r="N82" i="45"/>
  <c r="N98" i="45" s="1"/>
  <c r="M82" i="45"/>
  <c r="M98" i="45" s="1"/>
  <c r="L82" i="45"/>
  <c r="L98" i="45" s="1"/>
  <c r="K82" i="45"/>
  <c r="K98" i="45" s="1"/>
  <c r="J82" i="45"/>
  <c r="J98" i="45" s="1"/>
  <c r="I82" i="45"/>
  <c r="H82" i="45"/>
  <c r="G5" i="45" s="1"/>
  <c r="G82" i="45"/>
  <c r="F5" i="45" s="1"/>
  <c r="F82" i="45"/>
  <c r="E5" i="45" s="1"/>
  <c r="E82" i="45"/>
  <c r="D5" i="45" s="1"/>
  <c r="D82" i="45"/>
  <c r="D98" i="45" s="1"/>
  <c r="C82" i="45"/>
  <c r="C98" i="45" s="1"/>
  <c r="AN81" i="45"/>
  <c r="AI81" i="45"/>
  <c r="AH81" i="45"/>
  <c r="AN80" i="45"/>
  <c r="AI80" i="45"/>
  <c r="AH80" i="45"/>
  <c r="AN79" i="45"/>
  <c r="AI79" i="45"/>
  <c r="AH79" i="45"/>
  <c r="AI78" i="45"/>
  <c r="AH78" i="45"/>
  <c r="AI77" i="45"/>
  <c r="AH77" i="45"/>
  <c r="AI76" i="45"/>
  <c r="AH76" i="45"/>
  <c r="AI75" i="45"/>
  <c r="AH75" i="45"/>
  <c r="AI74" i="45"/>
  <c r="AH74" i="45"/>
  <c r="AI73" i="45"/>
  <c r="AH73" i="45"/>
  <c r="AI72" i="45"/>
  <c r="AH72" i="45"/>
  <c r="AI71" i="45"/>
  <c r="AH71" i="45"/>
  <c r="AG70" i="45"/>
  <c r="AF70" i="45"/>
  <c r="AE70" i="45"/>
  <c r="AD70" i="45"/>
  <c r="AC70" i="45"/>
  <c r="AB70" i="45"/>
  <c r="AA70" i="45"/>
  <c r="Z70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AI69" i="45"/>
  <c r="AH69" i="45"/>
  <c r="AI68" i="45"/>
  <c r="AH68" i="45"/>
  <c r="AI67" i="45"/>
  <c r="AH67" i="45"/>
  <c r="AF66" i="45"/>
  <c r="AE66" i="45"/>
  <c r="AD66" i="45"/>
  <c r="AC66" i="45"/>
  <c r="AB66" i="45"/>
  <c r="AA66" i="45"/>
  <c r="Z66" i="45"/>
  <c r="Y66" i="45"/>
  <c r="X66" i="45"/>
  <c r="W66" i="45"/>
  <c r="V66" i="45"/>
  <c r="U66" i="45"/>
  <c r="T66" i="45"/>
  <c r="S66" i="45"/>
  <c r="R66" i="45"/>
  <c r="Q66" i="45"/>
  <c r="P66" i="45"/>
  <c r="O66" i="45"/>
  <c r="N66" i="45"/>
  <c r="N87" i="45" s="1"/>
  <c r="N89" i="45" s="1"/>
  <c r="M66" i="45"/>
  <c r="L66" i="45"/>
  <c r="K66" i="45"/>
  <c r="J66" i="45"/>
  <c r="I66" i="45"/>
  <c r="H66" i="45"/>
  <c r="G66" i="45"/>
  <c r="F66" i="45"/>
  <c r="E66" i="45"/>
  <c r="D66" i="45"/>
  <c r="C66" i="45"/>
  <c r="AI65" i="45"/>
  <c r="AH65" i="45"/>
  <c r="AI64" i="45"/>
  <c r="AH64" i="45"/>
  <c r="AI63" i="45"/>
  <c r="AH63" i="45"/>
  <c r="AI62" i="45"/>
  <c r="AH62" i="45"/>
  <c r="AI61" i="45"/>
  <c r="AH61" i="45"/>
  <c r="AI60" i="45"/>
  <c r="AH60" i="45"/>
  <c r="AI59" i="45"/>
  <c r="AH59" i="45"/>
  <c r="AI58" i="45"/>
  <c r="AH58" i="45"/>
  <c r="AI57" i="45"/>
  <c r="AH57" i="45"/>
  <c r="AI56" i="45"/>
  <c r="AH56" i="45"/>
  <c r="AI55" i="45"/>
  <c r="AH55" i="45"/>
  <c r="AI54" i="45"/>
  <c r="AH54" i="45"/>
  <c r="AI53" i="45"/>
  <c r="AH53" i="45"/>
  <c r="AG52" i="45"/>
  <c r="AF52" i="45"/>
  <c r="AE52" i="45"/>
  <c r="AD52" i="45"/>
  <c r="AC52" i="45"/>
  <c r="AB52" i="45"/>
  <c r="AA52" i="45"/>
  <c r="Z52" i="45"/>
  <c r="Y52" i="45"/>
  <c r="X52" i="45"/>
  <c r="W52" i="45"/>
  <c r="V52" i="45"/>
  <c r="U52" i="45"/>
  <c r="T52" i="45"/>
  <c r="S52" i="45"/>
  <c r="R52" i="45"/>
  <c r="Q52" i="45"/>
  <c r="P52" i="45"/>
  <c r="O52" i="45"/>
  <c r="M52" i="45"/>
  <c r="L52" i="45"/>
  <c r="K52" i="45"/>
  <c r="J52" i="45"/>
  <c r="I52" i="45"/>
  <c r="H52" i="45"/>
  <c r="G52" i="45"/>
  <c r="F52" i="45"/>
  <c r="E52" i="45"/>
  <c r="D52" i="45"/>
  <c r="C52" i="45"/>
  <c r="AI51" i="45"/>
  <c r="AH51" i="45"/>
  <c r="AI50" i="45"/>
  <c r="AH50" i="45"/>
  <c r="AI49" i="45"/>
  <c r="AH49" i="45"/>
  <c r="AG48" i="45"/>
  <c r="AG87" i="45" s="1"/>
  <c r="AF48" i="45"/>
  <c r="AE48" i="45"/>
  <c r="AD48" i="45"/>
  <c r="AC48" i="45"/>
  <c r="AB48" i="45"/>
  <c r="AA48" i="45"/>
  <c r="Z48" i="45"/>
  <c r="Y48" i="45"/>
  <c r="X48" i="45"/>
  <c r="W48" i="45"/>
  <c r="V48" i="45"/>
  <c r="U48" i="45"/>
  <c r="T48" i="45"/>
  <c r="S48" i="45"/>
  <c r="R48" i="45"/>
  <c r="Q48" i="45"/>
  <c r="P48" i="45"/>
  <c r="O48" i="45"/>
  <c r="M48" i="45"/>
  <c r="L48" i="45"/>
  <c r="K48" i="45"/>
  <c r="J48" i="45"/>
  <c r="I48" i="45"/>
  <c r="H48" i="45"/>
  <c r="G48" i="45"/>
  <c r="F48" i="45"/>
  <c r="E48" i="45"/>
  <c r="D48" i="45"/>
  <c r="AI47" i="45"/>
  <c r="AH47" i="45"/>
  <c r="AI46" i="45"/>
  <c r="AH46" i="45"/>
  <c r="AI45" i="45"/>
  <c r="AH45" i="45"/>
  <c r="AI44" i="45"/>
  <c r="AH44" i="45"/>
  <c r="AI43" i="45"/>
  <c r="AH43" i="45"/>
  <c r="AI42" i="45"/>
  <c r="AH42" i="45"/>
  <c r="AI41" i="45"/>
  <c r="AH41" i="45"/>
  <c r="AI40" i="45"/>
  <c r="AH40" i="45"/>
  <c r="AI39" i="45"/>
  <c r="AH39" i="45"/>
  <c r="AI38" i="45"/>
  <c r="AH38" i="45"/>
  <c r="AI37" i="45"/>
  <c r="AH37" i="45"/>
  <c r="AI36" i="45"/>
  <c r="AH36" i="45"/>
  <c r="AI35" i="45"/>
  <c r="AH35" i="45"/>
  <c r="AI34" i="45"/>
  <c r="AH34" i="45"/>
  <c r="AI33" i="45"/>
  <c r="AH33" i="45"/>
  <c r="AI32" i="45"/>
  <c r="AH32" i="45"/>
  <c r="AI31" i="45"/>
  <c r="AH31" i="45"/>
  <c r="AI30" i="45"/>
  <c r="AH30" i="45"/>
  <c r="AI29" i="45"/>
  <c r="AH29" i="45"/>
  <c r="AI28" i="45"/>
  <c r="AH28" i="45"/>
  <c r="AI27" i="45"/>
  <c r="AH27" i="45"/>
  <c r="AI26" i="45"/>
  <c r="AH26" i="45"/>
  <c r="AI25" i="45"/>
  <c r="AH25" i="45"/>
  <c r="AI24" i="45"/>
  <c r="AH24" i="45"/>
  <c r="AI23" i="45"/>
  <c r="AH23" i="45"/>
  <c r="AI22" i="45"/>
  <c r="AH22" i="45"/>
  <c r="AI21" i="45"/>
  <c r="AH21" i="45"/>
  <c r="AI20" i="45"/>
  <c r="AH20" i="45"/>
  <c r="AI19" i="45"/>
  <c r="AH19" i="45"/>
  <c r="AI18" i="45"/>
  <c r="AH18" i="45"/>
  <c r="AI17" i="45"/>
  <c r="AH17" i="45"/>
  <c r="AI16" i="45"/>
  <c r="AH16" i="45"/>
  <c r="AI15" i="45"/>
  <c r="AH15" i="45"/>
  <c r="AI14" i="45"/>
  <c r="AH14" i="45"/>
  <c r="AI13" i="45"/>
  <c r="AH13" i="45"/>
  <c r="AI12" i="45"/>
  <c r="AH12" i="45"/>
  <c r="AI11" i="45"/>
  <c r="AH11" i="45"/>
  <c r="AG4" i="45"/>
  <c r="K4" i="45"/>
  <c r="E4" i="45"/>
  <c r="H4" i="45" s="1"/>
  <c r="B4" i="45"/>
  <c r="S243" i="45" s="1"/>
  <c r="AG2" i="45"/>
  <c r="AG6" i="45" s="1"/>
  <c r="AF111" i="44"/>
  <c r="AF48" i="44"/>
  <c r="AF52" i="44"/>
  <c r="AF66" i="44"/>
  <c r="AF70" i="44"/>
  <c r="AF82" i="44"/>
  <c r="AE111" i="44"/>
  <c r="AE48" i="44"/>
  <c r="AE52" i="44"/>
  <c r="S47" i="44"/>
  <c r="L226" i="46" l="1"/>
  <c r="K108" i="46"/>
  <c r="J267" i="46"/>
  <c r="L231" i="46"/>
  <c r="AF98" i="45"/>
  <c r="AF87" i="45"/>
  <c r="AF89" i="45" s="1"/>
  <c r="AE98" i="45"/>
  <c r="AE87" i="45"/>
  <c r="AE89" i="45" s="1"/>
  <c r="AW246" i="45" s="1"/>
  <c r="AD87" i="45"/>
  <c r="AD89" i="45" s="1"/>
  <c r="AC5" i="45"/>
  <c r="AC98" i="45"/>
  <c r="AC87" i="45"/>
  <c r="AC89" i="45" s="1"/>
  <c r="AB98" i="45"/>
  <c r="AB87" i="45"/>
  <c r="AB89" i="45" s="1"/>
  <c r="Z5" i="45"/>
  <c r="Z87" i="45"/>
  <c r="Z89" i="45" s="1"/>
  <c r="Y87" i="45"/>
  <c r="Y89" i="45" s="1"/>
  <c r="X98" i="45"/>
  <c r="X87" i="45"/>
  <c r="X89" i="45" s="1"/>
  <c r="W87" i="45"/>
  <c r="W89" i="45" s="1"/>
  <c r="W98" i="45"/>
  <c r="U5" i="45"/>
  <c r="V87" i="45"/>
  <c r="V89" i="45" s="1"/>
  <c r="U98" i="45"/>
  <c r="S5" i="45"/>
  <c r="U87" i="45"/>
  <c r="U89" i="45" s="1"/>
  <c r="T87" i="45"/>
  <c r="T89" i="45" s="1"/>
  <c r="R5" i="45"/>
  <c r="R87" i="45"/>
  <c r="R89" i="45" s="1"/>
  <c r="Q87" i="45"/>
  <c r="Q89" i="45" s="1"/>
  <c r="O98" i="45"/>
  <c r="P98" i="45"/>
  <c r="O87" i="45"/>
  <c r="O89" i="45" s="1"/>
  <c r="P87" i="45"/>
  <c r="P89" i="45" s="1"/>
  <c r="M5" i="45"/>
  <c r="M87" i="45"/>
  <c r="M89" i="45" s="1"/>
  <c r="AE246" i="45" s="1"/>
  <c r="L5" i="45"/>
  <c r="K5" i="45"/>
  <c r="K87" i="45"/>
  <c r="K89" i="45" s="1"/>
  <c r="J5" i="45"/>
  <c r="L87" i="45"/>
  <c r="L89" i="45" s="1"/>
  <c r="L90" i="45" s="1"/>
  <c r="J87" i="45"/>
  <c r="J89" i="45" s="1"/>
  <c r="J90" i="45" s="1"/>
  <c r="I87" i="45"/>
  <c r="I89" i="45" s="1"/>
  <c r="H98" i="45"/>
  <c r="H87" i="45"/>
  <c r="H89" i="45" s="1"/>
  <c r="H90" i="45" s="1"/>
  <c r="G98" i="45"/>
  <c r="F87" i="45"/>
  <c r="F89" i="45" s="1"/>
  <c r="G87" i="45"/>
  <c r="G89" i="45" s="1"/>
  <c r="G90" i="45" s="1"/>
  <c r="E98" i="45"/>
  <c r="E87" i="45"/>
  <c r="E89" i="45" s="1"/>
  <c r="E90" i="45" s="1"/>
  <c r="C5" i="45"/>
  <c r="AI52" i="45"/>
  <c r="D87" i="45"/>
  <c r="D89" i="45" s="1"/>
  <c r="D90" i="45" s="1"/>
  <c r="C87" i="45"/>
  <c r="C89" i="45" s="1"/>
  <c r="B5" i="45"/>
  <c r="AH66" i="45"/>
  <c r="B87" i="45"/>
  <c r="B89" i="45" s="1"/>
  <c r="B90" i="45" s="1"/>
  <c r="AF5" i="45"/>
  <c r="Y90" i="45"/>
  <c r="AQ246" i="45"/>
  <c r="Y7" i="45"/>
  <c r="R7" i="45"/>
  <c r="R90" i="45"/>
  <c r="AJ246" i="45"/>
  <c r="H7" i="45"/>
  <c r="Z246" i="45"/>
  <c r="P90" i="45"/>
  <c r="P7" i="45"/>
  <c r="AH246" i="45"/>
  <c r="X90" i="45"/>
  <c r="X7" i="45"/>
  <c r="AP246" i="45"/>
  <c r="AF90" i="45"/>
  <c r="AF7" i="45"/>
  <c r="AX246" i="45"/>
  <c r="AI70" i="45"/>
  <c r="S87" i="45"/>
  <c r="S89" i="45" s="1"/>
  <c r="AA87" i="45"/>
  <c r="AA89" i="45" s="1"/>
  <c r="AC7" i="45"/>
  <c r="AU246" i="45"/>
  <c r="AC90" i="45"/>
  <c r="I90" i="45"/>
  <c r="AA246" i="45"/>
  <c r="Q90" i="45"/>
  <c r="AI246" i="45"/>
  <c r="AI66" i="45"/>
  <c r="T90" i="45"/>
  <c r="AL246" i="45"/>
  <c r="T7" i="45"/>
  <c r="AB90" i="45"/>
  <c r="AT246" i="45"/>
  <c r="AB7" i="45"/>
  <c r="AD7" i="45"/>
  <c r="AV246" i="45"/>
  <c r="AD90" i="45"/>
  <c r="Z90" i="45"/>
  <c r="Z7" i="45"/>
  <c r="AR246" i="45"/>
  <c r="E7" i="45"/>
  <c r="W246" i="45"/>
  <c r="J229" i="45"/>
  <c r="K229" i="45" s="1"/>
  <c r="L229" i="45" s="1"/>
  <c r="M229" i="45" s="1"/>
  <c r="N229" i="45" s="1"/>
  <c r="O229" i="45" s="1"/>
  <c r="P229" i="45" s="1"/>
  <c r="M7" i="45"/>
  <c r="M90" i="45"/>
  <c r="C90" i="45"/>
  <c r="C7" i="45"/>
  <c r="U246" i="45"/>
  <c r="V246" i="45"/>
  <c r="I7" i="45"/>
  <c r="N7" i="45"/>
  <c r="AF246" i="45"/>
  <c r="N90" i="45"/>
  <c r="J7" i="45"/>
  <c r="AB246" i="45"/>
  <c r="K90" i="45"/>
  <c r="K7" i="45"/>
  <c r="AC246" i="45"/>
  <c r="F7" i="45"/>
  <c r="X246" i="45"/>
  <c r="F90" i="45"/>
  <c r="Q7" i="45"/>
  <c r="U7" i="45"/>
  <c r="AM246" i="45"/>
  <c r="U90" i="45"/>
  <c r="AG246" i="45"/>
  <c r="O90" i="45"/>
  <c r="O7" i="45"/>
  <c r="AO246" i="45"/>
  <c r="W90" i="45"/>
  <c r="W7" i="45"/>
  <c r="AE7" i="45"/>
  <c r="H5" i="45"/>
  <c r="I98" i="45"/>
  <c r="P5" i="45"/>
  <c r="Q98" i="45"/>
  <c r="X5" i="45"/>
  <c r="Y98" i="45"/>
  <c r="AG89" i="45"/>
  <c r="V7" i="45"/>
  <c r="AN246" i="45"/>
  <c r="V90" i="45"/>
  <c r="I5" i="45"/>
  <c r="Q5" i="45"/>
  <c r="Y5" i="45"/>
  <c r="AH70" i="45"/>
  <c r="F98" i="45"/>
  <c r="D243" i="45"/>
  <c r="D108" i="45"/>
  <c r="E226" i="45"/>
  <c r="G231" i="45"/>
  <c r="AH48" i="45"/>
  <c r="AH52" i="45"/>
  <c r="AI48" i="45"/>
  <c r="B232" i="45"/>
  <c r="AH82" i="45"/>
  <c r="AI82" i="45"/>
  <c r="M111" i="44"/>
  <c r="L112" i="44"/>
  <c r="L111" i="44"/>
  <c r="K111" i="44"/>
  <c r="K48" i="44"/>
  <c r="L48" i="44"/>
  <c r="K52" i="44"/>
  <c r="L52" i="44"/>
  <c r="K66" i="44"/>
  <c r="L66" i="44"/>
  <c r="J111" i="44"/>
  <c r="J48" i="44"/>
  <c r="J52" i="44"/>
  <c r="J66" i="44"/>
  <c r="I111" i="44"/>
  <c r="H111" i="44"/>
  <c r="G111" i="44"/>
  <c r="AF271" i="44"/>
  <c r="AE271" i="44"/>
  <c r="AD271" i="44"/>
  <c r="AC271" i="44"/>
  <c r="AB271" i="44"/>
  <c r="AA271" i="44"/>
  <c r="Z271" i="44"/>
  <c r="Y271" i="44"/>
  <c r="X271" i="44"/>
  <c r="W271" i="44"/>
  <c r="V271" i="44"/>
  <c r="U271" i="44"/>
  <c r="T271" i="44"/>
  <c r="S271" i="44"/>
  <c r="R271" i="44"/>
  <c r="Q271" i="44"/>
  <c r="P271" i="44"/>
  <c r="O271" i="44"/>
  <c r="N271" i="44"/>
  <c r="M271" i="44"/>
  <c r="L271" i="44"/>
  <c r="K271" i="44"/>
  <c r="J271" i="44"/>
  <c r="I271" i="44"/>
  <c r="H271" i="44"/>
  <c r="G271" i="44"/>
  <c r="F271" i="44"/>
  <c r="E271" i="44"/>
  <c r="D271" i="44"/>
  <c r="C271" i="44"/>
  <c r="B271" i="44"/>
  <c r="A271" i="44"/>
  <c r="AF270" i="44"/>
  <c r="AE270" i="44"/>
  <c r="AD270" i="44"/>
  <c r="AC270" i="44"/>
  <c r="AB270" i="44"/>
  <c r="AA270" i="44"/>
  <c r="Z270" i="44"/>
  <c r="Y270" i="44"/>
  <c r="X270" i="44"/>
  <c r="W270" i="44"/>
  <c r="V270" i="44"/>
  <c r="U270" i="44"/>
  <c r="T270" i="44"/>
  <c r="S270" i="44"/>
  <c r="R270" i="44"/>
  <c r="Q270" i="44"/>
  <c r="P270" i="44"/>
  <c r="O270" i="44"/>
  <c r="N270" i="44"/>
  <c r="M270" i="44"/>
  <c r="L270" i="44"/>
  <c r="K270" i="44"/>
  <c r="J270" i="44"/>
  <c r="I270" i="44"/>
  <c r="H270" i="44"/>
  <c r="G270" i="44"/>
  <c r="F270" i="44"/>
  <c r="E270" i="44"/>
  <c r="D270" i="44"/>
  <c r="C270" i="44"/>
  <c r="B270" i="44"/>
  <c r="A270" i="44"/>
  <c r="AF269" i="44"/>
  <c r="AE269" i="44"/>
  <c r="AD269" i="44"/>
  <c r="AC269" i="44"/>
  <c r="AB269" i="44"/>
  <c r="AA269" i="44"/>
  <c r="Z269" i="44"/>
  <c r="Y269" i="44"/>
  <c r="X269" i="44"/>
  <c r="W269" i="44"/>
  <c r="V269" i="44"/>
  <c r="U269" i="44"/>
  <c r="T269" i="44"/>
  <c r="S269" i="44"/>
  <c r="R269" i="44"/>
  <c r="Q269" i="44"/>
  <c r="P269" i="44"/>
  <c r="O269" i="44"/>
  <c r="N269" i="44"/>
  <c r="M269" i="44"/>
  <c r="L269" i="44"/>
  <c r="K269" i="44"/>
  <c r="J269" i="44"/>
  <c r="I269" i="44"/>
  <c r="H269" i="44"/>
  <c r="G269" i="44"/>
  <c r="F269" i="44"/>
  <c r="E269" i="44"/>
  <c r="D269" i="44"/>
  <c r="C269" i="44"/>
  <c r="B269" i="44"/>
  <c r="A269" i="44"/>
  <c r="AF268" i="44"/>
  <c r="AE268" i="44"/>
  <c r="AD268" i="44"/>
  <c r="AC268" i="44"/>
  <c r="AB268" i="44"/>
  <c r="AA268" i="44"/>
  <c r="Z268" i="44"/>
  <c r="Y268" i="44"/>
  <c r="X268" i="44"/>
  <c r="W268" i="44"/>
  <c r="V268" i="44"/>
  <c r="U268" i="44"/>
  <c r="T268" i="44"/>
  <c r="S268" i="44"/>
  <c r="R268" i="44"/>
  <c r="Q268" i="44"/>
  <c r="P268" i="44"/>
  <c r="O268" i="44"/>
  <c r="N268" i="44"/>
  <c r="M268" i="44"/>
  <c r="L268" i="44"/>
  <c r="K268" i="44"/>
  <c r="J268" i="44"/>
  <c r="I268" i="44"/>
  <c r="H268" i="44"/>
  <c r="G268" i="44"/>
  <c r="F268" i="44"/>
  <c r="E268" i="44"/>
  <c r="D268" i="44"/>
  <c r="C268" i="44"/>
  <c r="B268" i="44"/>
  <c r="A268" i="44"/>
  <c r="AE267" i="44"/>
  <c r="AD267" i="44"/>
  <c r="AC267" i="44"/>
  <c r="AB267" i="44"/>
  <c r="AA267" i="44"/>
  <c r="Z267" i="44"/>
  <c r="Y267" i="44"/>
  <c r="X267" i="44"/>
  <c r="W267" i="44"/>
  <c r="V267" i="44"/>
  <c r="U267" i="44"/>
  <c r="T267" i="44"/>
  <c r="S267" i="44"/>
  <c r="R267" i="44"/>
  <c r="Q267" i="44"/>
  <c r="P267" i="44"/>
  <c r="E267" i="44"/>
  <c r="D267" i="44"/>
  <c r="C267" i="44"/>
  <c r="B267" i="44"/>
  <c r="S242" i="44"/>
  <c r="AG232" i="44"/>
  <c r="AF232" i="44"/>
  <c r="AE232" i="44"/>
  <c r="AD232" i="44"/>
  <c r="AC232" i="44"/>
  <c r="AB232" i="44"/>
  <c r="AA232" i="44"/>
  <c r="Z232" i="44"/>
  <c r="Y232" i="44"/>
  <c r="X232" i="44"/>
  <c r="W232" i="44"/>
  <c r="V232" i="44"/>
  <c r="U232" i="44"/>
  <c r="T232" i="44"/>
  <c r="S232" i="44"/>
  <c r="R232" i="44"/>
  <c r="Q232" i="44"/>
  <c r="C232" i="44"/>
  <c r="G231" i="44"/>
  <c r="F267" i="44" s="1"/>
  <c r="F231" i="44"/>
  <c r="E231" i="44"/>
  <c r="D231" i="44"/>
  <c r="B231" i="44"/>
  <c r="AF267" i="44" s="1"/>
  <c r="E230" i="44"/>
  <c r="F230" i="44" s="1"/>
  <c r="G230" i="44" s="1"/>
  <c r="H230" i="44" s="1"/>
  <c r="I230" i="44" s="1"/>
  <c r="J230" i="44" s="1"/>
  <c r="K230" i="44" s="1"/>
  <c r="L230" i="44" s="1"/>
  <c r="M230" i="44" s="1"/>
  <c r="N230" i="44" s="1"/>
  <c r="O230" i="44" s="1"/>
  <c r="P230" i="44" s="1"/>
  <c r="D230" i="44"/>
  <c r="B230" i="44"/>
  <c r="E229" i="44"/>
  <c r="F229" i="44" s="1"/>
  <c r="G229" i="44" s="1"/>
  <c r="H229" i="44" s="1"/>
  <c r="I229" i="44" s="1"/>
  <c r="D229" i="44"/>
  <c r="B229" i="44"/>
  <c r="H228" i="44"/>
  <c r="G228" i="44"/>
  <c r="F228" i="44"/>
  <c r="E228" i="44"/>
  <c r="D228" i="44"/>
  <c r="B228" i="44"/>
  <c r="B232" i="44" s="1"/>
  <c r="G227" i="44"/>
  <c r="H227" i="44" s="1"/>
  <c r="I227" i="44" s="1"/>
  <c r="J227" i="44" s="1"/>
  <c r="K227" i="44" s="1"/>
  <c r="L227" i="44" s="1"/>
  <c r="M227" i="44" s="1"/>
  <c r="N227" i="44" s="1"/>
  <c r="O227" i="44" s="1"/>
  <c r="P227" i="44" s="1"/>
  <c r="F227" i="44"/>
  <c r="E227" i="44"/>
  <c r="D227" i="44"/>
  <c r="B227" i="44"/>
  <c r="E226" i="44"/>
  <c r="F226" i="44" s="1"/>
  <c r="D226" i="44"/>
  <c r="D232" i="44" s="1"/>
  <c r="B226" i="44"/>
  <c r="AG224" i="44"/>
  <c r="AF224" i="44"/>
  <c r="AE224" i="44"/>
  <c r="AD224" i="44"/>
  <c r="AC224" i="44"/>
  <c r="AB224" i="44"/>
  <c r="AA224" i="44"/>
  <c r="Z224" i="44"/>
  <c r="Y224" i="44"/>
  <c r="X224" i="44"/>
  <c r="W224" i="44"/>
  <c r="V224" i="44"/>
  <c r="U224" i="44"/>
  <c r="T224" i="44"/>
  <c r="S224" i="44"/>
  <c r="R224" i="44"/>
  <c r="Q224" i="44"/>
  <c r="P224" i="44"/>
  <c r="O224" i="44"/>
  <c r="N224" i="44"/>
  <c r="M224" i="44"/>
  <c r="L224" i="44"/>
  <c r="K224" i="44"/>
  <c r="J224" i="44"/>
  <c r="I224" i="44"/>
  <c r="H224" i="44"/>
  <c r="G224" i="44"/>
  <c r="F224" i="44"/>
  <c r="E224" i="44"/>
  <c r="D224" i="44"/>
  <c r="C224" i="44"/>
  <c r="B224" i="44"/>
  <c r="AI117" i="44"/>
  <c r="AH117" i="44"/>
  <c r="AI116" i="44"/>
  <c r="AH116" i="44"/>
  <c r="AI115" i="44"/>
  <c r="AH115" i="44"/>
  <c r="AI114" i="44"/>
  <c r="AH114" i="44"/>
  <c r="AI113" i="44"/>
  <c r="AH113" i="44"/>
  <c r="AI112" i="44"/>
  <c r="AH112" i="44"/>
  <c r="AI111" i="44"/>
  <c r="AH111" i="44"/>
  <c r="AI110" i="44"/>
  <c r="AH110" i="44"/>
  <c r="AI109" i="44"/>
  <c r="AH109" i="44"/>
  <c r="AF108" i="44"/>
  <c r="AE108" i="44"/>
  <c r="AD108" i="44"/>
  <c r="AC108" i="44"/>
  <c r="AB108" i="44"/>
  <c r="AA108" i="44"/>
  <c r="Z108" i="44"/>
  <c r="Y108" i="44"/>
  <c r="X108" i="44"/>
  <c r="W108" i="44"/>
  <c r="V108" i="44"/>
  <c r="U108" i="44"/>
  <c r="T108" i="44"/>
  <c r="S108" i="44"/>
  <c r="R108" i="44"/>
  <c r="Q108" i="44"/>
  <c r="E108" i="44"/>
  <c r="D108" i="44"/>
  <c r="C108" i="44"/>
  <c r="B108" i="44"/>
  <c r="AI107" i="44"/>
  <c r="AH107" i="44"/>
  <c r="AI106" i="44"/>
  <c r="AH106" i="44"/>
  <c r="AI105" i="44"/>
  <c r="AH105" i="44"/>
  <c r="AI104" i="44"/>
  <c r="AH104" i="44"/>
  <c r="AI103" i="44"/>
  <c r="AH103" i="44"/>
  <c r="AI102" i="44"/>
  <c r="AH102" i="44"/>
  <c r="AI101" i="44"/>
  <c r="AH101" i="44"/>
  <c r="AI100" i="44"/>
  <c r="AH100" i="44"/>
  <c r="AI99" i="44"/>
  <c r="AH99" i="44"/>
  <c r="AI97" i="44"/>
  <c r="AH97" i="44"/>
  <c r="AI96" i="44"/>
  <c r="AH96" i="44"/>
  <c r="AI95" i="44"/>
  <c r="AH95" i="44"/>
  <c r="AI94" i="44"/>
  <c r="AH94" i="44"/>
  <c r="AI93" i="44"/>
  <c r="AH93" i="44"/>
  <c r="AI92" i="44"/>
  <c r="AH92" i="44"/>
  <c r="AI91" i="44"/>
  <c r="AH91" i="44"/>
  <c r="AI88" i="44"/>
  <c r="AH88" i="44"/>
  <c r="AI86" i="44"/>
  <c r="AH86" i="44"/>
  <c r="AG86" i="44"/>
  <c r="AG89" i="44" s="1"/>
  <c r="AI85" i="44"/>
  <c r="AH85" i="44"/>
  <c r="AI84" i="44"/>
  <c r="AH84" i="44"/>
  <c r="AI83" i="44"/>
  <c r="AH83" i="44"/>
  <c r="AN82" i="44"/>
  <c r="AG82" i="44"/>
  <c r="AF98" i="44"/>
  <c r="AE82" i="44"/>
  <c r="AE98" i="44" s="1"/>
  <c r="AD82" i="44"/>
  <c r="AD98" i="44" s="1"/>
  <c r="AC82" i="44"/>
  <c r="AC98" i="44" s="1"/>
  <c r="AB82" i="44"/>
  <c r="AB98" i="44" s="1"/>
  <c r="AA82" i="44"/>
  <c r="AA98" i="44" s="1"/>
  <c r="Z82" i="44"/>
  <c r="Z98" i="44" s="1"/>
  <c r="Y82" i="44"/>
  <c r="Y98" i="44" s="1"/>
  <c r="X82" i="44"/>
  <c r="X98" i="44" s="1"/>
  <c r="W82" i="44"/>
  <c r="W98" i="44" s="1"/>
  <c r="V82" i="44"/>
  <c r="V98" i="44" s="1"/>
  <c r="U82" i="44"/>
  <c r="U98" i="44" s="1"/>
  <c r="T82" i="44"/>
  <c r="T98" i="44" s="1"/>
  <c r="S82" i="44"/>
  <c r="S98" i="44" s="1"/>
  <c r="R82" i="44"/>
  <c r="R98" i="44" s="1"/>
  <c r="Q82" i="44"/>
  <c r="P5" i="44" s="1"/>
  <c r="P82" i="44"/>
  <c r="P98" i="44" s="1"/>
  <c r="O82" i="44"/>
  <c r="O98" i="44" s="1"/>
  <c r="N82" i="44"/>
  <c r="N98" i="44" s="1"/>
  <c r="M82" i="44"/>
  <c r="M98" i="44" s="1"/>
  <c r="L82" i="44"/>
  <c r="L98" i="44" s="1"/>
  <c r="K82" i="44"/>
  <c r="K98" i="44" s="1"/>
  <c r="J82" i="44"/>
  <c r="J98" i="44" s="1"/>
  <c r="I82" i="44"/>
  <c r="I98" i="44" s="1"/>
  <c r="H82" i="44"/>
  <c r="H98" i="44" s="1"/>
  <c r="G82" i="44"/>
  <c r="G98" i="44" s="1"/>
  <c r="F82" i="44"/>
  <c r="F98" i="44" s="1"/>
  <c r="E82" i="44"/>
  <c r="E98" i="44" s="1"/>
  <c r="D82" i="44"/>
  <c r="D98" i="44" s="1"/>
  <c r="C82" i="44"/>
  <c r="C98" i="44" s="1"/>
  <c r="B82" i="44"/>
  <c r="B98" i="44" s="1"/>
  <c r="AI81" i="44"/>
  <c r="AH81" i="44"/>
  <c r="AN80" i="44"/>
  <c r="AI80" i="44"/>
  <c r="AH80" i="44"/>
  <c r="AN79" i="44"/>
  <c r="AN81" i="44" s="1"/>
  <c r="AI79" i="44"/>
  <c r="AH79" i="44"/>
  <c r="AI78" i="44"/>
  <c r="AH78" i="44"/>
  <c r="AI77" i="44"/>
  <c r="AH77" i="44"/>
  <c r="AI76" i="44"/>
  <c r="AH76" i="44"/>
  <c r="AI75" i="44"/>
  <c r="AH75" i="44"/>
  <c r="AI74" i="44"/>
  <c r="AH74" i="44"/>
  <c r="AI73" i="44"/>
  <c r="AH73" i="44"/>
  <c r="AI72" i="44"/>
  <c r="AH72" i="44"/>
  <c r="AI71" i="44"/>
  <c r="AH71" i="44"/>
  <c r="AG70" i="44"/>
  <c r="AE70" i="44"/>
  <c r="AD70" i="44"/>
  <c r="AC70" i="44"/>
  <c r="AB70" i="44"/>
  <c r="AA70" i="44"/>
  <c r="Z70" i="44"/>
  <c r="Y70" i="44"/>
  <c r="X70" i="44"/>
  <c r="W70" i="44"/>
  <c r="V70" i="44"/>
  <c r="U70" i="44"/>
  <c r="T70" i="44"/>
  <c r="S70" i="44"/>
  <c r="R70" i="44"/>
  <c r="Q70" i="44"/>
  <c r="P70" i="44"/>
  <c r="O70" i="44"/>
  <c r="N70" i="44"/>
  <c r="M70" i="44"/>
  <c r="L70" i="44"/>
  <c r="B70" i="44"/>
  <c r="AI69" i="44"/>
  <c r="AH69" i="44"/>
  <c r="AI68" i="44"/>
  <c r="AH68" i="44"/>
  <c r="AI67" i="44"/>
  <c r="AH67" i="44"/>
  <c r="AG66" i="44"/>
  <c r="AE66" i="44"/>
  <c r="AD66" i="44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I66" i="44"/>
  <c r="H66" i="44"/>
  <c r="G66" i="44"/>
  <c r="F66" i="44"/>
  <c r="E66" i="44"/>
  <c r="D66" i="44"/>
  <c r="C66" i="44"/>
  <c r="B66" i="44"/>
  <c r="AI65" i="44"/>
  <c r="AH65" i="44"/>
  <c r="AG65" i="44"/>
  <c r="AI64" i="44"/>
  <c r="AH64" i="44"/>
  <c r="AI63" i="44"/>
  <c r="AH63" i="44"/>
  <c r="AI62" i="44"/>
  <c r="AH62" i="44"/>
  <c r="AI61" i="44"/>
  <c r="AH61" i="44"/>
  <c r="AI60" i="44"/>
  <c r="AH60" i="44"/>
  <c r="AI59" i="44"/>
  <c r="AH59" i="44"/>
  <c r="AI58" i="44"/>
  <c r="AH58" i="44"/>
  <c r="AI57" i="44"/>
  <c r="AH57" i="44"/>
  <c r="AI56" i="44"/>
  <c r="AH56" i="44"/>
  <c r="AI55" i="44"/>
  <c r="AH55" i="44"/>
  <c r="AI54" i="44"/>
  <c r="AH54" i="44"/>
  <c r="AI53" i="44"/>
  <c r="AH53" i="44"/>
  <c r="AG52" i="44"/>
  <c r="AD52" i="44"/>
  <c r="AC52" i="44"/>
  <c r="AB52" i="44"/>
  <c r="AA52" i="44"/>
  <c r="Z52" i="44"/>
  <c r="Y52" i="44"/>
  <c r="X52" i="44"/>
  <c r="W52" i="44"/>
  <c r="V52" i="44"/>
  <c r="U52" i="44"/>
  <c r="T52" i="44"/>
  <c r="S52" i="44"/>
  <c r="R52" i="44"/>
  <c r="Q52" i="44"/>
  <c r="P52" i="44"/>
  <c r="O52" i="44"/>
  <c r="N52" i="44"/>
  <c r="M52" i="44"/>
  <c r="I52" i="44"/>
  <c r="H52" i="44"/>
  <c r="G52" i="44"/>
  <c r="F52" i="44"/>
  <c r="E52" i="44"/>
  <c r="D52" i="44"/>
  <c r="C52" i="44"/>
  <c r="B52" i="44"/>
  <c r="AI51" i="44"/>
  <c r="AH51" i="44"/>
  <c r="AI50" i="44"/>
  <c r="AH50" i="44"/>
  <c r="AI49" i="44"/>
  <c r="AH49" i="44"/>
  <c r="AG48" i="44"/>
  <c r="AG87" i="44" s="1"/>
  <c r="AF87" i="44"/>
  <c r="AF89" i="44" s="1"/>
  <c r="AD48" i="44"/>
  <c r="AC48" i="44"/>
  <c r="AB48" i="44"/>
  <c r="AA48" i="44"/>
  <c r="Z48" i="44"/>
  <c r="Y48" i="44"/>
  <c r="X48" i="44"/>
  <c r="W48" i="44"/>
  <c r="V48" i="44"/>
  <c r="U48" i="44"/>
  <c r="T48" i="44"/>
  <c r="S48" i="44"/>
  <c r="R48" i="44"/>
  <c r="Q48" i="44"/>
  <c r="P48" i="44"/>
  <c r="O48" i="44"/>
  <c r="N48" i="44"/>
  <c r="M48" i="44"/>
  <c r="I48" i="44"/>
  <c r="H48" i="44"/>
  <c r="G48" i="44"/>
  <c r="F48" i="44"/>
  <c r="E48" i="44"/>
  <c r="D48" i="44"/>
  <c r="C48" i="44"/>
  <c r="B48" i="44"/>
  <c r="AI47" i="44"/>
  <c r="AH47" i="44"/>
  <c r="AI46" i="44"/>
  <c r="AH46" i="44"/>
  <c r="AI45" i="44"/>
  <c r="AH45" i="44"/>
  <c r="AI44" i="44"/>
  <c r="AH44" i="44"/>
  <c r="AI43" i="44"/>
  <c r="AH43" i="44"/>
  <c r="AI42" i="44"/>
  <c r="AH42" i="44"/>
  <c r="AI41" i="44"/>
  <c r="AH41" i="44"/>
  <c r="AI40" i="44"/>
  <c r="AH40" i="44"/>
  <c r="AI39" i="44"/>
  <c r="AH39" i="44"/>
  <c r="AI38" i="44"/>
  <c r="AH38" i="44"/>
  <c r="AI37" i="44"/>
  <c r="AH37" i="44"/>
  <c r="AI36" i="44"/>
  <c r="AH36" i="44"/>
  <c r="AI35" i="44"/>
  <c r="AH35" i="44"/>
  <c r="AI34" i="44"/>
  <c r="AH34" i="44"/>
  <c r="AI33" i="44"/>
  <c r="AH33" i="44"/>
  <c r="AI32" i="44"/>
  <c r="AH32" i="44"/>
  <c r="AI31" i="44"/>
  <c r="AH31" i="44"/>
  <c r="AI30" i="44"/>
  <c r="AH30" i="44"/>
  <c r="AI29" i="44"/>
  <c r="AH29" i="44"/>
  <c r="AI28" i="44"/>
  <c r="AH28" i="44"/>
  <c r="AI27" i="44"/>
  <c r="AH27" i="44"/>
  <c r="AI26" i="44"/>
  <c r="AH26" i="44"/>
  <c r="AI25" i="44"/>
  <c r="AH25" i="44"/>
  <c r="AI24" i="44"/>
  <c r="AH24" i="44"/>
  <c r="AI23" i="44"/>
  <c r="AH23" i="44"/>
  <c r="AI22" i="44"/>
  <c r="AH22" i="44"/>
  <c r="AI21" i="44"/>
  <c r="AH21" i="44"/>
  <c r="AI20" i="44"/>
  <c r="AH20" i="44"/>
  <c r="AI19" i="44"/>
  <c r="AH19" i="44"/>
  <c r="AI18" i="44"/>
  <c r="AH18" i="44"/>
  <c r="AI17" i="44"/>
  <c r="AH17" i="44"/>
  <c r="AI16" i="44"/>
  <c r="AH16" i="44"/>
  <c r="AI15" i="44"/>
  <c r="AH15" i="44"/>
  <c r="AI14" i="44"/>
  <c r="AH14" i="44"/>
  <c r="AI13" i="44"/>
  <c r="AH13" i="44"/>
  <c r="AI12" i="44"/>
  <c r="AH12" i="44"/>
  <c r="AI11" i="44"/>
  <c r="AH11" i="44"/>
  <c r="AE5" i="44"/>
  <c r="AC5" i="44"/>
  <c r="V5" i="44"/>
  <c r="U5" i="44"/>
  <c r="O5" i="44"/>
  <c r="AG4" i="44"/>
  <c r="K4" i="44"/>
  <c r="E4" i="44"/>
  <c r="H4" i="44" s="1"/>
  <c r="B4" i="44"/>
  <c r="S243" i="44" s="1"/>
  <c r="AG3" i="44"/>
  <c r="AG2" i="44"/>
  <c r="AG6" i="44" s="1"/>
  <c r="AB66" i="42"/>
  <c r="AB70" i="42"/>
  <c r="AB82" i="42"/>
  <c r="AC111" i="42"/>
  <c r="AC48" i="42"/>
  <c r="AC52" i="42"/>
  <c r="AC66" i="42"/>
  <c r="AC70" i="42"/>
  <c r="AC82" i="42"/>
  <c r="AB111" i="42"/>
  <c r="AB48" i="42"/>
  <c r="AB52" i="42"/>
  <c r="P111" i="42"/>
  <c r="AD111" i="43"/>
  <c r="AC111" i="43"/>
  <c r="AE90" i="45" l="1"/>
  <c r="K267" i="46"/>
  <c r="M231" i="46"/>
  <c r="M226" i="46"/>
  <c r="L108" i="46"/>
  <c r="L7" i="45"/>
  <c r="AD246" i="45"/>
  <c r="G7" i="45"/>
  <c r="C241" i="45"/>
  <c r="B241" i="45"/>
  <c r="Y246" i="45"/>
  <c r="D7" i="45"/>
  <c r="E108" i="45"/>
  <c r="F226" i="45"/>
  <c r="E232" i="45"/>
  <c r="AA90" i="45"/>
  <c r="AA7" i="45"/>
  <c r="AS246" i="45"/>
  <c r="AH98" i="45"/>
  <c r="AI98" i="45"/>
  <c r="AI87" i="45"/>
  <c r="S90" i="45"/>
  <c r="S7" i="45"/>
  <c r="AK246" i="45"/>
  <c r="AI89" i="45"/>
  <c r="T246" i="45"/>
  <c r="AH89" i="45"/>
  <c r="B7" i="45"/>
  <c r="AH87" i="45"/>
  <c r="H231" i="45"/>
  <c r="F267" i="45"/>
  <c r="AE87" i="44"/>
  <c r="AE89" i="44" s="1"/>
  <c r="AD5" i="44"/>
  <c r="AD87" i="44"/>
  <c r="AD89" i="44" s="1"/>
  <c r="AB5" i="44"/>
  <c r="AC87" i="44"/>
  <c r="AC89" i="44" s="1"/>
  <c r="AB87" i="44"/>
  <c r="AB89" i="44" s="1"/>
  <c r="AA5" i="44"/>
  <c r="Z5" i="44"/>
  <c r="AA87" i="44"/>
  <c r="AA89" i="44" s="1"/>
  <c r="Z87" i="44"/>
  <c r="Z89" i="44" s="1"/>
  <c r="Y5" i="44"/>
  <c r="X5" i="44"/>
  <c r="Y87" i="44"/>
  <c r="Y89" i="44" s="1"/>
  <c r="W5" i="44"/>
  <c r="X87" i="44"/>
  <c r="X89" i="44" s="1"/>
  <c r="X90" i="44" s="1"/>
  <c r="W87" i="44"/>
  <c r="W89" i="44" s="1"/>
  <c r="V87" i="44"/>
  <c r="V89" i="44" s="1"/>
  <c r="U87" i="44"/>
  <c r="U89" i="44" s="1"/>
  <c r="T5" i="44"/>
  <c r="S5" i="44"/>
  <c r="T87" i="44"/>
  <c r="T89" i="44" s="1"/>
  <c r="R5" i="44"/>
  <c r="S87" i="44"/>
  <c r="S89" i="44" s="1"/>
  <c r="S90" i="44" s="1"/>
  <c r="Q5" i="44"/>
  <c r="R87" i="44"/>
  <c r="R89" i="44" s="1"/>
  <c r="Q98" i="44"/>
  <c r="P87" i="44"/>
  <c r="P89" i="44" s="1"/>
  <c r="Q87" i="44"/>
  <c r="Q89" i="44" s="1"/>
  <c r="N5" i="44"/>
  <c r="O87" i="44"/>
  <c r="O89" i="44" s="1"/>
  <c r="N87" i="44"/>
  <c r="N89" i="44" s="1"/>
  <c r="M5" i="44"/>
  <c r="AI70" i="44"/>
  <c r="L5" i="44"/>
  <c r="M87" i="44"/>
  <c r="M89" i="44" s="1"/>
  <c r="M90" i="44" s="1"/>
  <c r="J5" i="44"/>
  <c r="K5" i="44"/>
  <c r="L87" i="44"/>
  <c r="L89" i="44" s="1"/>
  <c r="L90" i="44" s="1"/>
  <c r="K87" i="44"/>
  <c r="K89" i="44" s="1"/>
  <c r="AC246" i="44" s="1"/>
  <c r="I5" i="44"/>
  <c r="J87" i="44"/>
  <c r="J89" i="44" s="1"/>
  <c r="H5" i="44"/>
  <c r="I87" i="44"/>
  <c r="I89" i="44" s="1"/>
  <c r="I90" i="44" s="1"/>
  <c r="H87" i="44"/>
  <c r="H89" i="44" s="1"/>
  <c r="G5" i="44"/>
  <c r="E87" i="44"/>
  <c r="E89" i="44" s="1"/>
  <c r="E7" i="44" s="1"/>
  <c r="D5" i="44"/>
  <c r="E5" i="44"/>
  <c r="F5" i="44"/>
  <c r="F87" i="44"/>
  <c r="F89" i="44" s="1"/>
  <c r="F90" i="44" s="1"/>
  <c r="G87" i="44"/>
  <c r="G89" i="44" s="1"/>
  <c r="AI52" i="44"/>
  <c r="C5" i="44"/>
  <c r="AI66" i="44"/>
  <c r="D87" i="44"/>
  <c r="D89" i="44" s="1"/>
  <c r="D90" i="44" s="1"/>
  <c r="B5" i="44"/>
  <c r="C87" i="44"/>
  <c r="C89" i="44" s="1"/>
  <c r="AF5" i="44"/>
  <c r="B87" i="44"/>
  <c r="U7" i="44"/>
  <c r="AM246" i="44"/>
  <c r="U90" i="44"/>
  <c r="AC7" i="44"/>
  <c r="AU246" i="44"/>
  <c r="AC90" i="44"/>
  <c r="J229" i="44"/>
  <c r="K229" i="44" s="1"/>
  <c r="L229" i="44" s="1"/>
  <c r="M229" i="44" s="1"/>
  <c r="N229" i="44" s="1"/>
  <c r="O229" i="44" s="1"/>
  <c r="P229" i="44" s="1"/>
  <c r="N7" i="44"/>
  <c r="AF246" i="44"/>
  <c r="N90" i="44"/>
  <c r="V7" i="44"/>
  <c r="AN246" i="44"/>
  <c r="V90" i="44"/>
  <c r="AD7" i="44"/>
  <c r="AV246" i="44"/>
  <c r="AD90" i="44"/>
  <c r="AW246" i="44"/>
  <c r="AE90" i="44"/>
  <c r="AE7" i="44"/>
  <c r="H90" i="44"/>
  <c r="H7" i="44"/>
  <c r="Z246" i="44"/>
  <c r="P90" i="44"/>
  <c r="P7" i="44"/>
  <c r="AH246" i="44"/>
  <c r="AF90" i="44"/>
  <c r="AF7" i="44"/>
  <c r="AX246" i="44"/>
  <c r="AI98" i="44"/>
  <c r="AH98" i="44"/>
  <c r="AG246" i="44"/>
  <c r="O90" i="44"/>
  <c r="O7" i="44"/>
  <c r="Q90" i="44"/>
  <c r="Q7" i="44"/>
  <c r="AI246" i="44"/>
  <c r="Y90" i="44"/>
  <c r="Y7" i="44"/>
  <c r="AQ246" i="44"/>
  <c r="J90" i="44"/>
  <c r="J7" i="44"/>
  <c r="AB246" i="44"/>
  <c r="R90" i="44"/>
  <c r="R7" i="44"/>
  <c r="AJ246" i="44"/>
  <c r="Z90" i="44"/>
  <c r="Z7" i="44"/>
  <c r="AR246" i="44"/>
  <c r="G226" i="44"/>
  <c r="F108" i="44"/>
  <c r="F232" i="44"/>
  <c r="C90" i="44"/>
  <c r="C7" i="44"/>
  <c r="U246" i="44"/>
  <c r="AA90" i="44"/>
  <c r="AA7" i="44"/>
  <c r="AS246" i="44"/>
  <c r="AO246" i="44"/>
  <c r="W90" i="44"/>
  <c r="W7" i="44"/>
  <c r="L7" i="44"/>
  <c r="T90" i="44"/>
  <c r="T7" i="44"/>
  <c r="AL246" i="44"/>
  <c r="AB90" i="44"/>
  <c r="AB7" i="44"/>
  <c r="AT246" i="44"/>
  <c r="AH70" i="44"/>
  <c r="E232" i="44"/>
  <c r="D243" i="44"/>
  <c r="AH66" i="44"/>
  <c r="AH82" i="44"/>
  <c r="AH48" i="44"/>
  <c r="AH52" i="44"/>
  <c r="AI82" i="44"/>
  <c r="H231" i="44"/>
  <c r="AI48" i="44"/>
  <c r="AC87" i="42"/>
  <c r="AC89" i="42" s="1"/>
  <c r="AC90" i="42" s="1"/>
  <c r="N226" i="46" l="1"/>
  <c r="M108" i="46"/>
  <c r="L267" i="46"/>
  <c r="N231" i="46"/>
  <c r="K6" i="45"/>
  <c r="AH90" i="45"/>
  <c r="AI90" i="45"/>
  <c r="G267" i="45"/>
  <c r="I231" i="45"/>
  <c r="A7" i="45"/>
  <c r="F108" i="45"/>
  <c r="G226" i="45"/>
  <c r="F232" i="45"/>
  <c r="AP246" i="44"/>
  <c r="X7" i="44"/>
  <c r="K90" i="44"/>
  <c r="AK246" i="44"/>
  <c r="S7" i="44"/>
  <c r="I7" i="44"/>
  <c r="K7" i="44"/>
  <c r="V246" i="44"/>
  <c r="E90" i="44"/>
  <c r="D7" i="44"/>
  <c r="AE246" i="44"/>
  <c r="M7" i="44"/>
  <c r="AD246" i="44"/>
  <c r="B241" i="44"/>
  <c r="AA246" i="44"/>
  <c r="Y246" i="44"/>
  <c r="W246" i="44"/>
  <c r="X246" i="44"/>
  <c r="C241" i="44"/>
  <c r="F7" i="44"/>
  <c r="AH87" i="44"/>
  <c r="G7" i="44"/>
  <c r="G90" i="44"/>
  <c r="B89" i="44"/>
  <c r="B7" i="44" s="1"/>
  <c r="AI87" i="44"/>
  <c r="B90" i="44"/>
  <c r="AI89" i="44"/>
  <c r="AH89" i="44"/>
  <c r="H226" i="44"/>
  <c r="G108" i="44"/>
  <c r="G232" i="44"/>
  <c r="G267" i="44"/>
  <c r="I231" i="44"/>
  <c r="M267" i="46" l="1"/>
  <c r="O231" i="46"/>
  <c r="O226" i="46"/>
  <c r="N108" i="46"/>
  <c r="H226" i="45"/>
  <c r="G108" i="45"/>
  <c r="G232" i="45"/>
  <c r="H267" i="45"/>
  <c r="J231" i="45"/>
  <c r="T246" i="44"/>
  <c r="K6" i="44"/>
  <c r="A7" i="44"/>
  <c r="I226" i="44"/>
  <c r="H108" i="44"/>
  <c r="H232" i="44"/>
  <c r="H267" i="44"/>
  <c r="J231" i="44"/>
  <c r="AI90" i="44"/>
  <c r="AH90" i="44"/>
  <c r="P226" i="46" l="1"/>
  <c r="O108" i="46"/>
  <c r="N267" i="46"/>
  <c r="P231" i="46"/>
  <c r="O267" i="46" s="1"/>
  <c r="K231" i="45"/>
  <c r="I267" i="45"/>
  <c r="I226" i="45"/>
  <c r="H108" i="45"/>
  <c r="H232" i="45"/>
  <c r="K231" i="44"/>
  <c r="I267" i="44"/>
  <c r="I108" i="44"/>
  <c r="J226" i="44"/>
  <c r="AI108" i="46" l="1"/>
  <c r="AH108" i="46"/>
  <c r="I108" i="45"/>
  <c r="J226" i="45"/>
  <c r="J267" i="45"/>
  <c r="L231" i="45"/>
  <c r="J108" i="44"/>
  <c r="K226" i="44"/>
  <c r="J267" i="44"/>
  <c r="L231" i="44"/>
  <c r="K267" i="45" l="1"/>
  <c r="M231" i="45"/>
  <c r="J108" i="45"/>
  <c r="K226" i="45"/>
  <c r="K267" i="44"/>
  <c r="M231" i="44"/>
  <c r="L226" i="44"/>
  <c r="K108" i="44"/>
  <c r="L226" i="45" l="1"/>
  <c r="K108" i="45"/>
  <c r="L267" i="45"/>
  <c r="N231" i="45"/>
  <c r="M226" i="44"/>
  <c r="L108" i="44"/>
  <c r="L267" i="44"/>
  <c r="N231" i="44"/>
  <c r="M267" i="45" l="1"/>
  <c r="O231" i="45"/>
  <c r="M226" i="45"/>
  <c r="L108" i="45"/>
  <c r="M267" i="44"/>
  <c r="O231" i="44"/>
  <c r="N226" i="44"/>
  <c r="M108" i="44"/>
  <c r="N226" i="45" l="1"/>
  <c r="M108" i="45"/>
  <c r="P231" i="45"/>
  <c r="O267" i="45" s="1"/>
  <c r="N267" i="45"/>
  <c r="O226" i="44"/>
  <c r="N108" i="44"/>
  <c r="N267" i="44"/>
  <c r="P231" i="44"/>
  <c r="O267" i="44" s="1"/>
  <c r="O226" i="45" l="1"/>
  <c r="N108" i="45"/>
  <c r="P226" i="44"/>
  <c r="O108" i="44"/>
  <c r="R111" i="43"/>
  <c r="Q48" i="43"/>
  <c r="Q52" i="43"/>
  <c r="P111" i="43"/>
  <c r="O111" i="43"/>
  <c r="O48" i="43"/>
  <c r="O52" i="43"/>
  <c r="O66" i="43"/>
  <c r="O70" i="43"/>
  <c r="O82" i="43"/>
  <c r="O98" i="43" s="1"/>
  <c r="O108" i="43"/>
  <c r="N111" i="43"/>
  <c r="N48" i="43"/>
  <c r="N52" i="43"/>
  <c r="N66" i="43"/>
  <c r="N70" i="43"/>
  <c r="N82" i="43"/>
  <c r="N98" i="43" s="1"/>
  <c r="N108" i="43"/>
  <c r="M111" i="43"/>
  <c r="B108" i="43"/>
  <c r="B82" i="43"/>
  <c r="B98" i="43" s="1"/>
  <c r="B70" i="43"/>
  <c r="B66" i="43"/>
  <c r="B52" i="43"/>
  <c r="B48" i="43"/>
  <c r="AF271" i="43"/>
  <c r="AE271" i="43"/>
  <c r="AD271" i="43"/>
  <c r="AC271" i="43"/>
  <c r="AB271" i="43"/>
  <c r="AA271" i="43"/>
  <c r="Z271" i="43"/>
  <c r="Y271" i="43"/>
  <c r="X271" i="43"/>
  <c r="W271" i="43"/>
  <c r="V271" i="43"/>
  <c r="U271" i="43"/>
  <c r="T271" i="43"/>
  <c r="S271" i="43"/>
  <c r="R271" i="43"/>
  <c r="Q271" i="43"/>
  <c r="P271" i="43"/>
  <c r="O271" i="43"/>
  <c r="N271" i="43"/>
  <c r="M271" i="43"/>
  <c r="L271" i="43"/>
  <c r="K271" i="43"/>
  <c r="J271" i="43"/>
  <c r="I271" i="43"/>
  <c r="H271" i="43"/>
  <c r="G271" i="43"/>
  <c r="F271" i="43"/>
  <c r="E271" i="43"/>
  <c r="D271" i="43"/>
  <c r="C271" i="43"/>
  <c r="B271" i="43"/>
  <c r="A271" i="43"/>
  <c r="AF270" i="43"/>
  <c r="AE270" i="43"/>
  <c r="AD270" i="43"/>
  <c r="AC270" i="43"/>
  <c r="AB270" i="43"/>
  <c r="AA270" i="43"/>
  <c r="Z270" i="43"/>
  <c r="Y270" i="43"/>
  <c r="X270" i="43"/>
  <c r="W270" i="43"/>
  <c r="V270" i="43"/>
  <c r="U270" i="43"/>
  <c r="T270" i="43"/>
  <c r="S270" i="43"/>
  <c r="R270" i="43"/>
  <c r="Q270" i="43"/>
  <c r="P270" i="43"/>
  <c r="O270" i="43"/>
  <c r="N270" i="43"/>
  <c r="M270" i="43"/>
  <c r="L270" i="43"/>
  <c r="K270" i="43"/>
  <c r="J270" i="43"/>
  <c r="I270" i="43"/>
  <c r="H270" i="43"/>
  <c r="G270" i="43"/>
  <c r="F270" i="43"/>
  <c r="E270" i="43"/>
  <c r="D270" i="43"/>
  <c r="C270" i="43"/>
  <c r="B270" i="43"/>
  <c r="A270" i="43"/>
  <c r="AF269" i="43"/>
  <c r="AE269" i="43"/>
  <c r="AD269" i="43"/>
  <c r="AC269" i="43"/>
  <c r="AB269" i="43"/>
  <c r="AA269" i="43"/>
  <c r="Z269" i="43"/>
  <c r="Y269" i="43"/>
  <c r="X269" i="43"/>
  <c r="W269" i="43"/>
  <c r="V269" i="43"/>
  <c r="U269" i="43"/>
  <c r="T269" i="43"/>
  <c r="S269" i="43"/>
  <c r="R269" i="43"/>
  <c r="Q269" i="43"/>
  <c r="P269" i="43"/>
  <c r="O269" i="43"/>
  <c r="N269" i="43"/>
  <c r="M269" i="43"/>
  <c r="L269" i="43"/>
  <c r="K269" i="43"/>
  <c r="J269" i="43"/>
  <c r="I269" i="43"/>
  <c r="H269" i="43"/>
  <c r="G269" i="43"/>
  <c r="F269" i="43"/>
  <c r="E269" i="43"/>
  <c r="D269" i="43"/>
  <c r="C269" i="43"/>
  <c r="B269" i="43"/>
  <c r="A269" i="43"/>
  <c r="AF268" i="43"/>
  <c r="AE268" i="43"/>
  <c r="AD268" i="43"/>
  <c r="AC268" i="43"/>
  <c r="AB268" i="43"/>
  <c r="AA268" i="43"/>
  <c r="Z268" i="43"/>
  <c r="Y268" i="43"/>
  <c r="X268" i="43"/>
  <c r="W268" i="43"/>
  <c r="V268" i="43"/>
  <c r="U268" i="43"/>
  <c r="T268" i="43"/>
  <c r="S268" i="43"/>
  <c r="R268" i="43"/>
  <c r="Q268" i="43"/>
  <c r="P268" i="43"/>
  <c r="O268" i="43"/>
  <c r="N268" i="43"/>
  <c r="M268" i="43"/>
  <c r="L268" i="43"/>
  <c r="K268" i="43"/>
  <c r="J268" i="43"/>
  <c r="I268" i="43"/>
  <c r="H268" i="43"/>
  <c r="G268" i="43"/>
  <c r="F268" i="43"/>
  <c r="E268" i="43"/>
  <c r="D268" i="43"/>
  <c r="C268" i="43"/>
  <c r="B268" i="43"/>
  <c r="A268" i="43"/>
  <c r="AE267" i="43"/>
  <c r="AD267" i="43"/>
  <c r="AC267" i="43"/>
  <c r="AB267" i="43"/>
  <c r="AA267" i="43"/>
  <c r="Z267" i="43"/>
  <c r="Y267" i="43"/>
  <c r="X267" i="43"/>
  <c r="W267" i="43"/>
  <c r="V267" i="43"/>
  <c r="U267" i="43"/>
  <c r="T267" i="43"/>
  <c r="S267" i="43"/>
  <c r="R267" i="43"/>
  <c r="Q267" i="43"/>
  <c r="P267" i="43"/>
  <c r="C267" i="43"/>
  <c r="B267" i="43"/>
  <c r="S242" i="43"/>
  <c r="AG232" i="43"/>
  <c r="AF232" i="43"/>
  <c r="AE232" i="43"/>
  <c r="AD232" i="43"/>
  <c r="AC232" i="43"/>
  <c r="AB232" i="43"/>
  <c r="AA232" i="43"/>
  <c r="Z232" i="43"/>
  <c r="Y232" i="43"/>
  <c r="X232" i="43"/>
  <c r="W232" i="43"/>
  <c r="V232" i="43"/>
  <c r="U232" i="43"/>
  <c r="T232" i="43"/>
  <c r="S232" i="43"/>
  <c r="R232" i="43"/>
  <c r="Q232" i="43"/>
  <c r="C232" i="43"/>
  <c r="F231" i="43"/>
  <c r="E267" i="43" s="1"/>
  <c r="E231" i="43"/>
  <c r="D267" i="43" s="1"/>
  <c r="D231" i="43"/>
  <c r="B231" i="43"/>
  <c r="AF267" i="43" s="1"/>
  <c r="D230" i="43"/>
  <c r="E230" i="43" s="1"/>
  <c r="F230" i="43" s="1"/>
  <c r="G230" i="43" s="1"/>
  <c r="H230" i="43" s="1"/>
  <c r="I230" i="43" s="1"/>
  <c r="J230" i="43" s="1"/>
  <c r="K230" i="43" s="1"/>
  <c r="L230" i="43" s="1"/>
  <c r="M230" i="43" s="1"/>
  <c r="N230" i="43" s="1"/>
  <c r="O230" i="43" s="1"/>
  <c r="P230" i="43" s="1"/>
  <c r="B230" i="43"/>
  <c r="D229" i="43"/>
  <c r="E229" i="43" s="1"/>
  <c r="F229" i="43" s="1"/>
  <c r="G229" i="43" s="1"/>
  <c r="H229" i="43" s="1"/>
  <c r="I229" i="43" s="1"/>
  <c r="B229" i="43"/>
  <c r="D228" i="43"/>
  <c r="E228" i="43" s="1"/>
  <c r="F228" i="43" s="1"/>
  <c r="G228" i="43" s="1"/>
  <c r="H228" i="43" s="1"/>
  <c r="B228" i="43"/>
  <c r="F227" i="43"/>
  <c r="G227" i="43" s="1"/>
  <c r="H227" i="43" s="1"/>
  <c r="I227" i="43" s="1"/>
  <c r="J227" i="43" s="1"/>
  <c r="K227" i="43" s="1"/>
  <c r="L227" i="43" s="1"/>
  <c r="M227" i="43" s="1"/>
  <c r="N227" i="43" s="1"/>
  <c r="O227" i="43" s="1"/>
  <c r="P227" i="43" s="1"/>
  <c r="E227" i="43"/>
  <c r="D227" i="43"/>
  <c r="B227" i="43"/>
  <c r="D226" i="43"/>
  <c r="D232" i="43" s="1"/>
  <c r="B226" i="43"/>
  <c r="B232" i="43" s="1"/>
  <c r="AG224" i="43"/>
  <c r="AF224" i="43"/>
  <c r="AE224" i="43"/>
  <c r="AD224" i="43"/>
  <c r="AC224" i="43"/>
  <c r="AB224" i="43"/>
  <c r="AA224" i="43"/>
  <c r="Z224" i="43"/>
  <c r="Y224" i="43"/>
  <c r="X224" i="43"/>
  <c r="W224" i="43"/>
  <c r="V224" i="43"/>
  <c r="U224" i="43"/>
  <c r="T224" i="43"/>
  <c r="S224" i="43"/>
  <c r="R224" i="43"/>
  <c r="Q224" i="43"/>
  <c r="P224" i="43"/>
  <c r="O224" i="43"/>
  <c r="N224" i="43"/>
  <c r="M224" i="43"/>
  <c r="L224" i="43"/>
  <c r="K224" i="43"/>
  <c r="J224" i="43"/>
  <c r="I224" i="43"/>
  <c r="H224" i="43"/>
  <c r="G224" i="43"/>
  <c r="F224" i="43"/>
  <c r="E224" i="43"/>
  <c r="D224" i="43"/>
  <c r="C224" i="43"/>
  <c r="B224" i="43"/>
  <c r="AI117" i="43"/>
  <c r="AH117" i="43"/>
  <c r="AI116" i="43"/>
  <c r="AH116" i="43"/>
  <c r="AI115" i="43"/>
  <c r="AH115" i="43"/>
  <c r="AI114" i="43"/>
  <c r="AH114" i="43"/>
  <c r="AI113" i="43"/>
  <c r="AH113" i="43"/>
  <c r="AI112" i="43"/>
  <c r="AH112" i="43"/>
  <c r="AI111" i="43"/>
  <c r="AH111" i="43"/>
  <c r="AI110" i="43"/>
  <c r="AH110" i="43"/>
  <c r="AI109" i="43"/>
  <c r="AH109" i="43"/>
  <c r="AF108" i="43"/>
  <c r="AE108" i="43"/>
  <c r="AD108" i="43"/>
  <c r="AC108" i="43"/>
  <c r="AB108" i="43"/>
  <c r="AA108" i="43"/>
  <c r="Z108" i="43"/>
  <c r="Y108" i="43"/>
  <c r="X108" i="43"/>
  <c r="W108" i="43"/>
  <c r="V108" i="43"/>
  <c r="U108" i="43"/>
  <c r="T108" i="43"/>
  <c r="S108" i="43"/>
  <c r="R108" i="43"/>
  <c r="Q108" i="43"/>
  <c r="D108" i="43"/>
  <c r="C108" i="43"/>
  <c r="AI107" i="43"/>
  <c r="AH107" i="43"/>
  <c r="AI106" i="43"/>
  <c r="AH106" i="43"/>
  <c r="AI105" i="43"/>
  <c r="AH105" i="43"/>
  <c r="AI104" i="43"/>
  <c r="AH104" i="43"/>
  <c r="AI103" i="43"/>
  <c r="AH103" i="43"/>
  <c r="AI102" i="43"/>
  <c r="AH102" i="43"/>
  <c r="AI101" i="43"/>
  <c r="AH101" i="43"/>
  <c r="AI100" i="43"/>
  <c r="AH100" i="43"/>
  <c r="AI99" i="43"/>
  <c r="AH99" i="43"/>
  <c r="AI97" i="43"/>
  <c r="AH97" i="43"/>
  <c r="AI96" i="43"/>
  <c r="AH96" i="43"/>
  <c r="AI95" i="43"/>
  <c r="AH95" i="43"/>
  <c r="AI94" i="43"/>
  <c r="AH94" i="43"/>
  <c r="AI93" i="43"/>
  <c r="AH93" i="43"/>
  <c r="AI92" i="43"/>
  <c r="AH92" i="43"/>
  <c r="AI91" i="43"/>
  <c r="AH91" i="43"/>
  <c r="AI88" i="43"/>
  <c r="AH88" i="43"/>
  <c r="AI86" i="43"/>
  <c r="AH86" i="43"/>
  <c r="AG86" i="43"/>
  <c r="AG89" i="43" s="1"/>
  <c r="AI85" i="43"/>
  <c r="AH85" i="43"/>
  <c r="AI84" i="43"/>
  <c r="AH84" i="43"/>
  <c r="AI83" i="43"/>
  <c r="AH83" i="43"/>
  <c r="AN82" i="43"/>
  <c r="AG82" i="43"/>
  <c r="AF82" i="43"/>
  <c r="AF98" i="43" s="1"/>
  <c r="AE82" i="43"/>
  <c r="AE98" i="43" s="1"/>
  <c r="AD82" i="43"/>
  <c r="AD98" i="43" s="1"/>
  <c r="AC82" i="43"/>
  <c r="AC98" i="43" s="1"/>
  <c r="AB82" i="43"/>
  <c r="AB98" i="43" s="1"/>
  <c r="AA82" i="43"/>
  <c r="AA98" i="43" s="1"/>
  <c r="Z82" i="43"/>
  <c r="Z98" i="43" s="1"/>
  <c r="Y82" i="43"/>
  <c r="Y98" i="43" s="1"/>
  <c r="X82" i="43"/>
  <c r="X98" i="43" s="1"/>
  <c r="W82" i="43"/>
  <c r="W98" i="43" s="1"/>
  <c r="V82" i="43"/>
  <c r="V98" i="43" s="1"/>
  <c r="U82" i="43"/>
  <c r="U98" i="43" s="1"/>
  <c r="T82" i="43"/>
  <c r="T98" i="43" s="1"/>
  <c r="S82" i="43"/>
  <c r="S98" i="43" s="1"/>
  <c r="R82" i="43"/>
  <c r="R98" i="43" s="1"/>
  <c r="Q82" i="43"/>
  <c r="Q98" i="43" s="1"/>
  <c r="P82" i="43"/>
  <c r="P98" i="43" s="1"/>
  <c r="M82" i="43"/>
  <c r="M98" i="43" s="1"/>
  <c r="L82" i="43"/>
  <c r="L98" i="43" s="1"/>
  <c r="K82" i="43"/>
  <c r="K98" i="43" s="1"/>
  <c r="J82" i="43"/>
  <c r="J98" i="43" s="1"/>
  <c r="I82" i="43"/>
  <c r="I98" i="43" s="1"/>
  <c r="H82" i="43"/>
  <c r="H98" i="43" s="1"/>
  <c r="G82" i="43"/>
  <c r="G98" i="43" s="1"/>
  <c r="F82" i="43"/>
  <c r="F98" i="43" s="1"/>
  <c r="E82" i="43"/>
  <c r="E98" i="43" s="1"/>
  <c r="D82" i="43"/>
  <c r="D98" i="43" s="1"/>
  <c r="C82" i="43"/>
  <c r="C98" i="43" s="1"/>
  <c r="AI81" i="43"/>
  <c r="AH81" i="43"/>
  <c r="AN80" i="43"/>
  <c r="AI80" i="43"/>
  <c r="AH80" i="43"/>
  <c r="AN79" i="43"/>
  <c r="AN81" i="43" s="1"/>
  <c r="AI79" i="43"/>
  <c r="AH79" i="43"/>
  <c r="AI78" i="43"/>
  <c r="AH78" i="43"/>
  <c r="AI77" i="43"/>
  <c r="AH77" i="43"/>
  <c r="AI76" i="43"/>
  <c r="AH76" i="43"/>
  <c r="AI75" i="43"/>
  <c r="AH75" i="43"/>
  <c r="AI74" i="43"/>
  <c r="AH74" i="43"/>
  <c r="AI73" i="43"/>
  <c r="AH73" i="43"/>
  <c r="AI72" i="43"/>
  <c r="AH72" i="43"/>
  <c r="AI71" i="43"/>
  <c r="AH71" i="43"/>
  <c r="AG70" i="43"/>
  <c r="AF70" i="43"/>
  <c r="AE70" i="43"/>
  <c r="AD70" i="43"/>
  <c r="AC70" i="43"/>
  <c r="AB70" i="43"/>
  <c r="AA70" i="43"/>
  <c r="Z70" i="43"/>
  <c r="Y70" i="43"/>
  <c r="X70" i="43"/>
  <c r="W70" i="43"/>
  <c r="V70" i="43"/>
  <c r="U70" i="43"/>
  <c r="T70" i="43"/>
  <c r="S70" i="43"/>
  <c r="R70" i="43"/>
  <c r="Q70" i="43"/>
  <c r="P70" i="43"/>
  <c r="M70" i="43"/>
  <c r="L70" i="43"/>
  <c r="AI69" i="43"/>
  <c r="AH69" i="43"/>
  <c r="AI68" i="43"/>
  <c r="AH68" i="43"/>
  <c r="AI67" i="43"/>
  <c r="AH67" i="43"/>
  <c r="AF66" i="43"/>
  <c r="AE66" i="43"/>
  <c r="AD66" i="43"/>
  <c r="AC66" i="43"/>
  <c r="AB66" i="43"/>
  <c r="AA66" i="43"/>
  <c r="Z66" i="43"/>
  <c r="Y66" i="43"/>
  <c r="X66" i="43"/>
  <c r="W66" i="43"/>
  <c r="V66" i="43"/>
  <c r="U66" i="43"/>
  <c r="T66" i="43"/>
  <c r="S66" i="43"/>
  <c r="R66" i="43"/>
  <c r="Q66" i="43"/>
  <c r="P66" i="43"/>
  <c r="M66" i="43"/>
  <c r="L66" i="43"/>
  <c r="K66" i="43"/>
  <c r="J66" i="43"/>
  <c r="I66" i="43"/>
  <c r="H66" i="43"/>
  <c r="G66" i="43"/>
  <c r="F66" i="43"/>
  <c r="E66" i="43"/>
  <c r="D66" i="43"/>
  <c r="C66" i="43"/>
  <c r="AI65" i="43"/>
  <c r="AH65" i="43"/>
  <c r="AG65" i="43"/>
  <c r="AG66" i="43" s="1"/>
  <c r="AG3" i="43" s="1"/>
  <c r="AG6" i="43" s="1"/>
  <c r="AI64" i="43"/>
  <c r="AH64" i="43"/>
  <c r="AI63" i="43"/>
  <c r="AH63" i="43"/>
  <c r="AI62" i="43"/>
  <c r="AH62" i="43"/>
  <c r="AI61" i="43"/>
  <c r="AH61" i="43"/>
  <c r="AI60" i="43"/>
  <c r="AH60" i="43"/>
  <c r="AI59" i="43"/>
  <c r="AH59" i="43"/>
  <c r="AI58" i="43"/>
  <c r="AH58" i="43"/>
  <c r="AI57" i="43"/>
  <c r="AH57" i="43"/>
  <c r="AI56" i="43"/>
  <c r="AH56" i="43"/>
  <c r="AI55" i="43"/>
  <c r="AH55" i="43"/>
  <c r="AI54" i="43"/>
  <c r="AH54" i="43"/>
  <c r="AI53" i="43"/>
  <c r="AH53" i="43"/>
  <c r="AG52" i="43"/>
  <c r="AF52" i="43"/>
  <c r="AE52" i="43"/>
  <c r="AD52" i="43"/>
  <c r="AC52" i="43"/>
  <c r="AB52" i="43"/>
  <c r="AA52" i="43"/>
  <c r="Z52" i="43"/>
  <c r="Y52" i="43"/>
  <c r="X52" i="43"/>
  <c r="W52" i="43"/>
  <c r="V52" i="43"/>
  <c r="U52" i="43"/>
  <c r="T52" i="43"/>
  <c r="S52" i="43"/>
  <c r="R52" i="43"/>
  <c r="P52" i="43"/>
  <c r="M52" i="43"/>
  <c r="L52" i="43"/>
  <c r="K52" i="43"/>
  <c r="J52" i="43"/>
  <c r="I52" i="43"/>
  <c r="H52" i="43"/>
  <c r="G52" i="43"/>
  <c r="F52" i="43"/>
  <c r="E52" i="43"/>
  <c r="D52" i="43"/>
  <c r="C52" i="43"/>
  <c r="AI51" i="43"/>
  <c r="AH51" i="43"/>
  <c r="AI50" i="43"/>
  <c r="AH50" i="43"/>
  <c r="AI49" i="43"/>
  <c r="AH49" i="43"/>
  <c r="AG48" i="43"/>
  <c r="AF48" i="43"/>
  <c r="AE48" i="43"/>
  <c r="AD48" i="43"/>
  <c r="AC48" i="43"/>
  <c r="AB48" i="43"/>
  <c r="AA48" i="43"/>
  <c r="Z48" i="43"/>
  <c r="Y48" i="43"/>
  <c r="X48" i="43"/>
  <c r="W48" i="43"/>
  <c r="V48" i="43"/>
  <c r="U48" i="43"/>
  <c r="T48" i="43"/>
  <c r="S48" i="43"/>
  <c r="R48" i="43"/>
  <c r="P48" i="43"/>
  <c r="M48" i="43"/>
  <c r="L48" i="43"/>
  <c r="K48" i="43"/>
  <c r="J48" i="43"/>
  <c r="I48" i="43"/>
  <c r="H48" i="43"/>
  <c r="G48" i="43"/>
  <c r="F48" i="43"/>
  <c r="E48" i="43"/>
  <c r="D48" i="43"/>
  <c r="C48" i="43"/>
  <c r="AI47" i="43"/>
  <c r="AH47" i="43"/>
  <c r="AI46" i="43"/>
  <c r="AH46" i="43"/>
  <c r="AI45" i="43"/>
  <c r="AH45" i="43"/>
  <c r="AI44" i="43"/>
  <c r="AH44" i="43"/>
  <c r="AI43" i="43"/>
  <c r="AH43" i="43"/>
  <c r="AI42" i="43"/>
  <c r="AH42" i="43"/>
  <c r="AI41" i="43"/>
  <c r="AH41" i="43"/>
  <c r="AI40" i="43"/>
  <c r="AH40" i="43"/>
  <c r="AI39" i="43"/>
  <c r="AH39" i="43"/>
  <c r="AI38" i="43"/>
  <c r="AH38" i="43"/>
  <c r="AI37" i="43"/>
  <c r="AH37" i="43"/>
  <c r="AI36" i="43"/>
  <c r="AH36" i="43"/>
  <c r="AI35" i="43"/>
  <c r="AH35" i="43"/>
  <c r="AI34" i="43"/>
  <c r="AH34" i="43"/>
  <c r="AI33" i="43"/>
  <c r="AH33" i="43"/>
  <c r="AI32" i="43"/>
  <c r="AH32" i="43"/>
  <c r="AI31" i="43"/>
  <c r="AH31" i="43"/>
  <c r="AI30" i="43"/>
  <c r="AH30" i="43"/>
  <c r="AI29" i="43"/>
  <c r="AH29" i="43"/>
  <c r="AI28" i="43"/>
  <c r="AH28" i="43"/>
  <c r="AI27" i="43"/>
  <c r="AH27" i="43"/>
  <c r="AI26" i="43"/>
  <c r="AH26" i="43"/>
  <c r="AI25" i="43"/>
  <c r="AH25" i="43"/>
  <c r="AI24" i="43"/>
  <c r="AH24" i="43"/>
  <c r="AI23" i="43"/>
  <c r="AH23" i="43"/>
  <c r="AI22" i="43"/>
  <c r="AH22" i="43"/>
  <c r="AI21" i="43"/>
  <c r="AH21" i="43"/>
  <c r="AI20" i="43"/>
  <c r="AH20" i="43"/>
  <c r="AI19" i="43"/>
  <c r="AH19" i="43"/>
  <c r="AI18" i="43"/>
  <c r="AH18" i="43"/>
  <c r="AI17" i="43"/>
  <c r="AH17" i="43"/>
  <c r="AI16" i="43"/>
  <c r="AH16" i="43"/>
  <c r="AI15" i="43"/>
  <c r="AH15" i="43"/>
  <c r="AI14" i="43"/>
  <c r="AH14" i="43"/>
  <c r="AI13" i="43"/>
  <c r="AH13" i="43"/>
  <c r="AI12" i="43"/>
  <c r="AH12" i="43"/>
  <c r="AI11" i="43"/>
  <c r="AH11" i="43"/>
  <c r="Z5" i="43"/>
  <c r="N5" i="43"/>
  <c r="M5" i="43"/>
  <c r="AG4" i="43"/>
  <c r="K4" i="43"/>
  <c r="E4" i="43"/>
  <c r="H4" i="43" s="1"/>
  <c r="B4" i="43"/>
  <c r="S243" i="43" s="1"/>
  <c r="AG2" i="43"/>
  <c r="AB111" i="41"/>
  <c r="AA111" i="41"/>
  <c r="P226" i="45" l="1"/>
  <c r="O108" i="45"/>
  <c r="AH108" i="44"/>
  <c r="AI108" i="44"/>
  <c r="AF87" i="43"/>
  <c r="AF89" i="43" s="1"/>
  <c r="AD5" i="43"/>
  <c r="AD87" i="43"/>
  <c r="AD89" i="43" s="1"/>
  <c r="AC5" i="43"/>
  <c r="AE5" i="43"/>
  <c r="AE87" i="43"/>
  <c r="AE89" i="43" s="1"/>
  <c r="AC87" i="43"/>
  <c r="AC89" i="43" s="1"/>
  <c r="AB5" i="43"/>
  <c r="AA5" i="43"/>
  <c r="AB87" i="43"/>
  <c r="AB89" i="43" s="1"/>
  <c r="AA87" i="43"/>
  <c r="AA89" i="43" s="1"/>
  <c r="Y5" i="43"/>
  <c r="Z87" i="43"/>
  <c r="Z89" i="43" s="1"/>
  <c r="X5" i="43"/>
  <c r="Y87" i="43"/>
  <c r="Y89" i="43" s="1"/>
  <c r="W5" i="43"/>
  <c r="X87" i="43"/>
  <c r="X89" i="43" s="1"/>
  <c r="V5" i="43"/>
  <c r="U87" i="43"/>
  <c r="U89" i="43" s="1"/>
  <c r="V87" i="43"/>
  <c r="V89" i="43" s="1"/>
  <c r="T5" i="43"/>
  <c r="U5" i="43"/>
  <c r="W87" i="43"/>
  <c r="W89" i="43" s="1"/>
  <c r="W90" i="43" s="1"/>
  <c r="S5" i="43"/>
  <c r="T87" i="43"/>
  <c r="T89" i="43" s="1"/>
  <c r="R5" i="43"/>
  <c r="S87" i="43"/>
  <c r="S89" i="43" s="1"/>
  <c r="Q5" i="43"/>
  <c r="R87" i="43"/>
  <c r="R89" i="43" s="1"/>
  <c r="P5" i="43"/>
  <c r="Q87" i="43"/>
  <c r="Q89" i="43" s="1"/>
  <c r="AI70" i="43"/>
  <c r="O5" i="43"/>
  <c r="P87" i="43"/>
  <c r="P89" i="43" s="1"/>
  <c r="O87" i="43"/>
  <c r="O89" i="43" s="1"/>
  <c r="O90" i="43" s="1"/>
  <c r="N87" i="43"/>
  <c r="N89" i="43" s="1"/>
  <c r="N90" i="43" s="1"/>
  <c r="L5" i="43"/>
  <c r="M87" i="43"/>
  <c r="M89" i="43" s="1"/>
  <c r="AE246" i="43" s="1"/>
  <c r="K5" i="43"/>
  <c r="AI52" i="43"/>
  <c r="I5" i="43"/>
  <c r="J87" i="43"/>
  <c r="J89" i="43" s="1"/>
  <c r="J90" i="43" s="1"/>
  <c r="H5" i="43"/>
  <c r="I87" i="43"/>
  <c r="I89" i="43" s="1"/>
  <c r="I7" i="43" s="1"/>
  <c r="G5" i="43"/>
  <c r="L87" i="43"/>
  <c r="L89" i="43" s="1"/>
  <c r="L7" i="43" s="1"/>
  <c r="H87" i="43"/>
  <c r="H89" i="43" s="1"/>
  <c r="H90" i="43" s="1"/>
  <c r="AI66" i="43"/>
  <c r="J5" i="43"/>
  <c r="K87" i="43"/>
  <c r="K89" i="43" s="1"/>
  <c r="K7" i="43" s="1"/>
  <c r="F5" i="43"/>
  <c r="G87" i="43"/>
  <c r="G89" i="43" s="1"/>
  <c r="G7" i="43" s="1"/>
  <c r="D5" i="43"/>
  <c r="E87" i="43"/>
  <c r="E89" i="43" s="1"/>
  <c r="E7" i="43" s="1"/>
  <c r="E5" i="43"/>
  <c r="F87" i="43"/>
  <c r="F89" i="43" s="1"/>
  <c r="F7" i="43" s="1"/>
  <c r="C5" i="43"/>
  <c r="D87" i="43"/>
  <c r="D89" i="43" s="1"/>
  <c r="D90" i="43" s="1"/>
  <c r="B5" i="43"/>
  <c r="C87" i="43"/>
  <c r="C89" i="43" s="1"/>
  <c r="C90" i="43" s="1"/>
  <c r="B87" i="43"/>
  <c r="B89" i="43" s="1"/>
  <c r="B90" i="43" s="1"/>
  <c r="AF5" i="43"/>
  <c r="N7" i="43"/>
  <c r="AF246" i="43"/>
  <c r="V7" i="43"/>
  <c r="AN246" i="43"/>
  <c r="V90" i="43"/>
  <c r="AD7" i="43"/>
  <c r="AV246" i="43"/>
  <c r="AD90" i="43"/>
  <c r="AW246" i="43"/>
  <c r="AE90" i="43"/>
  <c r="AE7" i="43"/>
  <c r="AI98" i="43"/>
  <c r="AH98" i="43"/>
  <c r="X90" i="43"/>
  <c r="X7" i="43"/>
  <c r="AP246" i="43"/>
  <c r="AC7" i="43"/>
  <c r="AU246" i="43"/>
  <c r="AC90" i="43"/>
  <c r="AG246" i="43"/>
  <c r="O7" i="43"/>
  <c r="AF90" i="43"/>
  <c r="AF7" i="43"/>
  <c r="AX246" i="43"/>
  <c r="Q90" i="43"/>
  <c r="Q7" i="43"/>
  <c r="AI246" i="43"/>
  <c r="Y90" i="43"/>
  <c r="Y7" i="43"/>
  <c r="AQ246" i="43"/>
  <c r="AG87" i="43"/>
  <c r="J229" i="43"/>
  <c r="K229" i="43" s="1"/>
  <c r="L229" i="43" s="1"/>
  <c r="M229" i="43" s="1"/>
  <c r="N229" i="43" s="1"/>
  <c r="O229" i="43" s="1"/>
  <c r="P229" i="43" s="1"/>
  <c r="R90" i="43"/>
  <c r="R7" i="43"/>
  <c r="AJ246" i="43"/>
  <c r="Z90" i="43"/>
  <c r="Z7" i="43"/>
  <c r="AR246" i="43"/>
  <c r="U246" i="43"/>
  <c r="S90" i="43"/>
  <c r="S7" i="43"/>
  <c r="AK246" i="43"/>
  <c r="U7" i="43"/>
  <c r="AM246" i="43"/>
  <c r="U90" i="43"/>
  <c r="AO246" i="43"/>
  <c r="W7" i="43"/>
  <c r="P90" i="43"/>
  <c r="P7" i="43"/>
  <c r="AH246" i="43"/>
  <c r="AA90" i="43"/>
  <c r="AA7" i="43"/>
  <c r="AS246" i="43"/>
  <c r="T90" i="43"/>
  <c r="T7" i="43"/>
  <c r="AL246" i="43"/>
  <c r="AB90" i="43"/>
  <c r="AB7" i="43"/>
  <c r="AT246" i="43"/>
  <c r="AH70" i="43"/>
  <c r="D243" i="43"/>
  <c r="AH66" i="43"/>
  <c r="AH82" i="43"/>
  <c r="E226" i="43"/>
  <c r="G231" i="43"/>
  <c r="AH48" i="43"/>
  <c r="AH52" i="43"/>
  <c r="AI82" i="43"/>
  <c r="AI48" i="43"/>
  <c r="X111" i="41"/>
  <c r="W111" i="41"/>
  <c r="V48" i="41"/>
  <c r="V87" i="41" s="1"/>
  <c r="V89" i="41" s="1"/>
  <c r="V90" i="41" s="1"/>
  <c r="W48" i="41"/>
  <c r="V52" i="41"/>
  <c r="W52" i="41"/>
  <c r="V66" i="41"/>
  <c r="W66" i="41"/>
  <c r="V70" i="41"/>
  <c r="W70" i="41"/>
  <c r="V82" i="41"/>
  <c r="W82" i="41"/>
  <c r="W98" i="41" s="1"/>
  <c r="V98" i="41"/>
  <c r="V108" i="41"/>
  <c r="W108" i="41"/>
  <c r="T111" i="41"/>
  <c r="S111" i="41"/>
  <c r="P108" i="41"/>
  <c r="Q108" i="41"/>
  <c r="R108" i="41"/>
  <c r="P70" i="41"/>
  <c r="P66" i="41"/>
  <c r="AH108" i="45" l="1"/>
  <c r="AI108" i="45"/>
  <c r="V246" i="43"/>
  <c r="J7" i="43"/>
  <c r="AB246" i="43"/>
  <c r="M90" i="43"/>
  <c r="M7" i="43"/>
  <c r="K90" i="43"/>
  <c r="AC246" i="43"/>
  <c r="I90" i="43"/>
  <c r="AA246" i="43"/>
  <c r="AD246" i="43"/>
  <c r="L90" i="43"/>
  <c r="Z246" i="43"/>
  <c r="H7" i="43"/>
  <c r="C7" i="43"/>
  <c r="D7" i="43"/>
  <c r="B241" i="43"/>
  <c r="G90" i="43"/>
  <c r="Y246" i="43"/>
  <c r="C241" i="43"/>
  <c r="K6" i="43" s="1"/>
  <c r="F90" i="43"/>
  <c r="X246" i="43"/>
  <c r="E90" i="43"/>
  <c r="W246" i="43"/>
  <c r="AI87" i="43"/>
  <c r="AH87" i="43"/>
  <c r="F267" i="43"/>
  <c r="H231" i="43"/>
  <c r="F226" i="43"/>
  <c r="E108" i="43"/>
  <c r="E232" i="43"/>
  <c r="AI89" i="43"/>
  <c r="AH89" i="43"/>
  <c r="B7" i="43"/>
  <c r="T246" i="43"/>
  <c r="W87" i="41"/>
  <c r="W89" i="41" s="1"/>
  <c r="W90" i="41" s="1"/>
  <c r="A7" i="43" l="1"/>
  <c r="AI90" i="43"/>
  <c r="AH90" i="43"/>
  <c r="G226" i="43"/>
  <c r="F108" i="43"/>
  <c r="F232" i="43"/>
  <c r="G267" i="43"/>
  <c r="I231" i="43"/>
  <c r="AF271" i="42"/>
  <c r="AE271" i="42"/>
  <c r="AD271" i="42"/>
  <c r="AC271" i="42"/>
  <c r="AB271" i="42"/>
  <c r="AA271" i="42"/>
  <c r="Z271" i="42"/>
  <c r="Y271" i="42"/>
  <c r="X271" i="42"/>
  <c r="W271" i="42"/>
  <c r="V271" i="42"/>
  <c r="U271" i="42"/>
  <c r="T271" i="42"/>
  <c r="S271" i="42"/>
  <c r="R271" i="42"/>
  <c r="Q271" i="42"/>
  <c r="P271" i="42"/>
  <c r="O271" i="42"/>
  <c r="N271" i="42"/>
  <c r="M271" i="42"/>
  <c r="L271" i="42"/>
  <c r="K271" i="42"/>
  <c r="J271" i="42"/>
  <c r="I271" i="42"/>
  <c r="H271" i="42"/>
  <c r="G271" i="42"/>
  <c r="F271" i="42"/>
  <c r="E271" i="42"/>
  <c r="D271" i="42"/>
  <c r="C271" i="42"/>
  <c r="B271" i="42"/>
  <c r="A271" i="42"/>
  <c r="AF270" i="42"/>
  <c r="AE270" i="42"/>
  <c r="AD270" i="42"/>
  <c r="AC270" i="42"/>
  <c r="AB270" i="42"/>
  <c r="AA270" i="42"/>
  <c r="Z270" i="42"/>
  <c r="Y270" i="42"/>
  <c r="X270" i="42"/>
  <c r="W270" i="42"/>
  <c r="V270" i="42"/>
  <c r="U270" i="42"/>
  <c r="T270" i="42"/>
  <c r="S270" i="42"/>
  <c r="R270" i="42"/>
  <c r="Q270" i="42"/>
  <c r="P270" i="42"/>
  <c r="O270" i="42"/>
  <c r="N270" i="42"/>
  <c r="M270" i="42"/>
  <c r="L270" i="42"/>
  <c r="K270" i="42"/>
  <c r="J270" i="42"/>
  <c r="I270" i="42"/>
  <c r="H270" i="42"/>
  <c r="G270" i="42"/>
  <c r="F270" i="42"/>
  <c r="E270" i="42"/>
  <c r="D270" i="42"/>
  <c r="C270" i="42"/>
  <c r="B270" i="42"/>
  <c r="A270" i="42"/>
  <c r="AF269" i="42"/>
  <c r="AE269" i="42"/>
  <c r="AD269" i="42"/>
  <c r="AC269" i="42"/>
  <c r="AB269" i="42"/>
  <c r="AA269" i="42"/>
  <c r="Z269" i="42"/>
  <c r="Y269" i="42"/>
  <c r="X269" i="42"/>
  <c r="W269" i="42"/>
  <c r="V269" i="42"/>
  <c r="U269" i="42"/>
  <c r="T269" i="42"/>
  <c r="S269" i="42"/>
  <c r="R269" i="42"/>
  <c r="Q269" i="42"/>
  <c r="P269" i="42"/>
  <c r="O269" i="42"/>
  <c r="N269" i="42"/>
  <c r="M269" i="42"/>
  <c r="L269" i="42"/>
  <c r="K269" i="42"/>
  <c r="J269" i="42"/>
  <c r="I269" i="42"/>
  <c r="H269" i="42"/>
  <c r="G269" i="42"/>
  <c r="F269" i="42"/>
  <c r="E269" i="42"/>
  <c r="D269" i="42"/>
  <c r="C269" i="42"/>
  <c r="B269" i="42"/>
  <c r="A269" i="42"/>
  <c r="AF268" i="42"/>
  <c r="AE268" i="42"/>
  <c r="AD268" i="42"/>
  <c r="AC268" i="42"/>
  <c r="AB268" i="42"/>
  <c r="AA268" i="42"/>
  <c r="Z268" i="42"/>
  <c r="Y268" i="42"/>
  <c r="X268" i="42"/>
  <c r="W268" i="42"/>
  <c r="V268" i="42"/>
  <c r="U268" i="42"/>
  <c r="T268" i="42"/>
  <c r="S268" i="42"/>
  <c r="R268" i="42"/>
  <c r="Q268" i="42"/>
  <c r="P268" i="42"/>
  <c r="O268" i="42"/>
  <c r="N268" i="42"/>
  <c r="M268" i="42"/>
  <c r="L268" i="42"/>
  <c r="K268" i="42"/>
  <c r="J268" i="42"/>
  <c r="I268" i="42"/>
  <c r="H268" i="42"/>
  <c r="G268" i="42"/>
  <c r="F268" i="42"/>
  <c r="E268" i="42"/>
  <c r="D268" i="42"/>
  <c r="C268" i="42"/>
  <c r="B268" i="42"/>
  <c r="A268" i="42"/>
  <c r="AE267" i="42"/>
  <c r="AD267" i="42"/>
  <c r="AC267" i="42"/>
  <c r="AB267" i="42"/>
  <c r="AA267" i="42"/>
  <c r="Z267" i="42"/>
  <c r="Y267" i="42"/>
  <c r="X267" i="42"/>
  <c r="W267" i="42"/>
  <c r="V267" i="42"/>
  <c r="U267" i="42"/>
  <c r="T267" i="42"/>
  <c r="S267" i="42"/>
  <c r="R267" i="42"/>
  <c r="Q267" i="42"/>
  <c r="P267" i="42"/>
  <c r="C267" i="42"/>
  <c r="B267" i="42"/>
  <c r="S242" i="42"/>
  <c r="AG232" i="42"/>
  <c r="AF232" i="42"/>
  <c r="AE232" i="42"/>
  <c r="AD232" i="42"/>
  <c r="AC232" i="42"/>
  <c r="AB232" i="42"/>
  <c r="AA232" i="42"/>
  <c r="Z232" i="42"/>
  <c r="Y232" i="42"/>
  <c r="X232" i="42"/>
  <c r="W232" i="42"/>
  <c r="V232" i="42"/>
  <c r="U232" i="42"/>
  <c r="T232" i="42"/>
  <c r="S232" i="42"/>
  <c r="R232" i="42"/>
  <c r="Q232" i="42"/>
  <c r="C232" i="42"/>
  <c r="E231" i="42"/>
  <c r="D267" i="42" s="1"/>
  <c r="D231" i="42"/>
  <c r="B231" i="42"/>
  <c r="AF267" i="42" s="1"/>
  <c r="D230" i="42"/>
  <c r="E230" i="42" s="1"/>
  <c r="F230" i="42" s="1"/>
  <c r="G230" i="42" s="1"/>
  <c r="H230" i="42" s="1"/>
  <c r="I230" i="42" s="1"/>
  <c r="J230" i="42" s="1"/>
  <c r="K230" i="42" s="1"/>
  <c r="L230" i="42" s="1"/>
  <c r="M230" i="42" s="1"/>
  <c r="N230" i="42" s="1"/>
  <c r="O230" i="42" s="1"/>
  <c r="P230" i="42" s="1"/>
  <c r="B230" i="42"/>
  <c r="E229" i="42"/>
  <c r="F229" i="42" s="1"/>
  <c r="G229" i="42" s="1"/>
  <c r="H229" i="42" s="1"/>
  <c r="I229" i="42" s="1"/>
  <c r="D229" i="42"/>
  <c r="B229" i="42"/>
  <c r="D228" i="42"/>
  <c r="E228" i="42" s="1"/>
  <c r="F228" i="42" s="1"/>
  <c r="G228" i="42" s="1"/>
  <c r="H228" i="42" s="1"/>
  <c r="B228" i="42"/>
  <c r="E227" i="42"/>
  <c r="F227" i="42" s="1"/>
  <c r="G227" i="42" s="1"/>
  <c r="H227" i="42" s="1"/>
  <c r="I227" i="42" s="1"/>
  <c r="J227" i="42" s="1"/>
  <c r="K227" i="42" s="1"/>
  <c r="L227" i="42" s="1"/>
  <c r="M227" i="42" s="1"/>
  <c r="N227" i="42" s="1"/>
  <c r="O227" i="42" s="1"/>
  <c r="P227" i="42" s="1"/>
  <c r="D227" i="42"/>
  <c r="B227" i="42"/>
  <c r="D226" i="42"/>
  <c r="D232" i="42" s="1"/>
  <c r="B226" i="42"/>
  <c r="B232" i="42" s="1"/>
  <c r="AG224" i="42"/>
  <c r="AF224" i="42"/>
  <c r="AE224" i="42"/>
  <c r="AD224" i="42"/>
  <c r="AC224" i="42"/>
  <c r="AB224" i="42"/>
  <c r="AA224" i="42"/>
  <c r="Z224" i="42"/>
  <c r="Y224" i="42"/>
  <c r="X224" i="42"/>
  <c r="W224" i="42"/>
  <c r="V224" i="42"/>
  <c r="U224" i="42"/>
  <c r="T224" i="42"/>
  <c r="S224" i="42"/>
  <c r="R224" i="42"/>
  <c r="Q224" i="42"/>
  <c r="P224" i="42"/>
  <c r="O224" i="42"/>
  <c r="N224" i="42"/>
  <c r="M224" i="42"/>
  <c r="L224" i="42"/>
  <c r="K224" i="42"/>
  <c r="J224" i="42"/>
  <c r="I224" i="42"/>
  <c r="H224" i="42"/>
  <c r="G224" i="42"/>
  <c r="F224" i="42"/>
  <c r="E224" i="42"/>
  <c r="D224" i="42"/>
  <c r="C224" i="42"/>
  <c r="B224" i="42"/>
  <c r="AI117" i="42"/>
  <c r="AH117" i="42"/>
  <c r="AI116" i="42"/>
  <c r="AH116" i="42"/>
  <c r="AI115" i="42"/>
  <c r="AH115" i="42"/>
  <c r="AI114" i="42"/>
  <c r="AH114" i="42"/>
  <c r="AI113" i="42"/>
  <c r="AH113" i="42"/>
  <c r="AI112" i="42"/>
  <c r="AH112" i="42"/>
  <c r="AI111" i="42"/>
  <c r="AH111" i="42"/>
  <c r="AI110" i="42"/>
  <c r="AH110" i="42"/>
  <c r="AI109" i="42"/>
  <c r="AH109" i="42"/>
  <c r="AF108" i="42"/>
  <c r="AE108" i="42"/>
  <c r="AD108" i="42"/>
  <c r="AC108" i="42"/>
  <c r="AB108" i="42"/>
  <c r="AA108" i="42"/>
  <c r="Z108" i="42"/>
  <c r="Y108" i="42"/>
  <c r="X108" i="42"/>
  <c r="W108" i="42"/>
  <c r="V108" i="42"/>
  <c r="U108" i="42"/>
  <c r="T108" i="42"/>
  <c r="S108" i="42"/>
  <c r="R108" i="42"/>
  <c r="Q108" i="42"/>
  <c r="D108" i="42"/>
  <c r="C108" i="42"/>
  <c r="B108" i="42"/>
  <c r="AI107" i="42"/>
  <c r="AH107" i="42"/>
  <c r="AI106" i="42"/>
  <c r="AH106" i="42"/>
  <c r="AI105" i="42"/>
  <c r="AH105" i="42"/>
  <c r="AI104" i="42"/>
  <c r="AH104" i="42"/>
  <c r="AI103" i="42"/>
  <c r="AH103" i="42"/>
  <c r="AI102" i="42"/>
  <c r="AH102" i="42"/>
  <c r="AI101" i="42"/>
  <c r="AH101" i="42"/>
  <c r="AI100" i="42"/>
  <c r="AH100" i="42"/>
  <c r="AI99" i="42"/>
  <c r="AH99" i="42"/>
  <c r="AI97" i="42"/>
  <c r="AH97" i="42"/>
  <c r="AI96" i="42"/>
  <c r="AH96" i="42"/>
  <c r="AI95" i="42"/>
  <c r="AH95" i="42"/>
  <c r="AI94" i="42"/>
  <c r="AH94" i="42"/>
  <c r="AI93" i="42"/>
  <c r="AH93" i="42"/>
  <c r="AI92" i="42"/>
  <c r="AH92" i="42"/>
  <c r="AI91" i="42"/>
  <c r="AH91" i="42"/>
  <c r="AI88" i="42"/>
  <c r="AH88" i="42"/>
  <c r="AI86" i="42"/>
  <c r="AH86" i="42"/>
  <c r="AG86" i="42"/>
  <c r="AN82" i="42"/>
  <c r="AG82" i="42"/>
  <c r="AG89" i="42" s="1"/>
  <c r="AF82" i="42"/>
  <c r="AF98" i="42" s="1"/>
  <c r="AE82" i="42"/>
  <c r="AE98" i="42" s="1"/>
  <c r="AD82" i="42"/>
  <c r="AD98" i="42" s="1"/>
  <c r="AC98" i="42"/>
  <c r="AA82" i="42"/>
  <c r="AA98" i="42" s="1"/>
  <c r="Z82" i="42"/>
  <c r="Z98" i="42" s="1"/>
  <c r="Y82" i="42"/>
  <c r="Y98" i="42" s="1"/>
  <c r="X82" i="42"/>
  <c r="X98" i="42" s="1"/>
  <c r="W82" i="42"/>
  <c r="W98" i="42" s="1"/>
  <c r="V82" i="42"/>
  <c r="V98" i="42" s="1"/>
  <c r="U82" i="42"/>
  <c r="U98" i="42" s="1"/>
  <c r="T82" i="42"/>
  <c r="T98" i="42" s="1"/>
  <c r="S82" i="42"/>
  <c r="S98" i="42" s="1"/>
  <c r="R82" i="42"/>
  <c r="R98" i="42" s="1"/>
  <c r="Q82" i="42"/>
  <c r="Q98" i="42" s="1"/>
  <c r="P82" i="42"/>
  <c r="P98" i="42" s="1"/>
  <c r="O82" i="42"/>
  <c r="O98" i="42" s="1"/>
  <c r="N82" i="42"/>
  <c r="N98" i="42" s="1"/>
  <c r="M82" i="42"/>
  <c r="M98" i="42" s="1"/>
  <c r="L82" i="42"/>
  <c r="L98" i="42" s="1"/>
  <c r="K82" i="42"/>
  <c r="K98" i="42" s="1"/>
  <c r="J82" i="42"/>
  <c r="J98" i="42" s="1"/>
  <c r="I82" i="42"/>
  <c r="I98" i="42" s="1"/>
  <c r="H82" i="42"/>
  <c r="H98" i="42" s="1"/>
  <c r="G82" i="42"/>
  <c r="G98" i="42" s="1"/>
  <c r="F82" i="42"/>
  <c r="F98" i="42" s="1"/>
  <c r="E82" i="42"/>
  <c r="E98" i="42" s="1"/>
  <c r="D82" i="42"/>
  <c r="D98" i="42" s="1"/>
  <c r="C82" i="42"/>
  <c r="C98" i="42" s="1"/>
  <c r="B82" i="42"/>
  <c r="B98" i="42" s="1"/>
  <c r="AN80" i="42"/>
  <c r="AN79" i="42"/>
  <c r="AN81" i="42" s="1"/>
  <c r="AI73" i="42"/>
  <c r="AH73" i="42"/>
  <c r="AI72" i="42"/>
  <c r="AH72" i="42"/>
  <c r="AI71" i="42"/>
  <c r="AH71" i="42"/>
  <c r="AG70" i="42"/>
  <c r="AF70" i="42"/>
  <c r="AE70" i="42"/>
  <c r="AD70" i="42"/>
  <c r="AA70" i="42"/>
  <c r="Z70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B70" i="42"/>
  <c r="AI69" i="42"/>
  <c r="AH69" i="42"/>
  <c r="AI68" i="42"/>
  <c r="AH68" i="42"/>
  <c r="AI67" i="42"/>
  <c r="AH67" i="42"/>
  <c r="AF66" i="42"/>
  <c r="AE66" i="42"/>
  <c r="AD66" i="42"/>
  <c r="AA66" i="42"/>
  <c r="Z66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AI65" i="42"/>
  <c r="AH65" i="42"/>
  <c r="AG65" i="42"/>
  <c r="AG66" i="42" s="1"/>
  <c r="AG3" i="42" s="1"/>
  <c r="AI64" i="42"/>
  <c r="AH64" i="42"/>
  <c r="AI63" i="42"/>
  <c r="AH63" i="42"/>
  <c r="AI62" i="42"/>
  <c r="AH62" i="42"/>
  <c r="AI61" i="42"/>
  <c r="AH61" i="42"/>
  <c r="AI60" i="42"/>
  <c r="AH60" i="42"/>
  <c r="AI59" i="42"/>
  <c r="AH59" i="42"/>
  <c r="AI58" i="42"/>
  <c r="AH58" i="42"/>
  <c r="AI57" i="42"/>
  <c r="AH57" i="42"/>
  <c r="AI56" i="42"/>
  <c r="AH56" i="42"/>
  <c r="AI55" i="42"/>
  <c r="AH55" i="42"/>
  <c r="AI54" i="42"/>
  <c r="AH54" i="42"/>
  <c r="AI53" i="42"/>
  <c r="AH53" i="42"/>
  <c r="AG52" i="42"/>
  <c r="AF52" i="42"/>
  <c r="AE52" i="42"/>
  <c r="AD52" i="42"/>
  <c r="AA52" i="42"/>
  <c r="Z52" i="42"/>
  <c r="Y52" i="42"/>
  <c r="X52" i="42"/>
  <c r="W52" i="42"/>
  <c r="V52" i="42"/>
  <c r="U52" i="42"/>
  <c r="T52" i="42"/>
  <c r="S52" i="42"/>
  <c r="R52" i="42"/>
  <c r="Q52" i="42"/>
  <c r="P52" i="42"/>
  <c r="O52" i="42"/>
  <c r="N52" i="42"/>
  <c r="M52" i="42"/>
  <c r="L52" i="42"/>
  <c r="K52" i="42"/>
  <c r="J52" i="42"/>
  <c r="I52" i="42"/>
  <c r="H52" i="42"/>
  <c r="G52" i="42"/>
  <c r="F52" i="42"/>
  <c r="E52" i="42"/>
  <c r="D52" i="42"/>
  <c r="C52" i="42"/>
  <c r="B52" i="42"/>
  <c r="AI51" i="42"/>
  <c r="AH51" i="42"/>
  <c r="AI50" i="42"/>
  <c r="AH50" i="42"/>
  <c r="AI49" i="42"/>
  <c r="AH49" i="42"/>
  <c r="AG48" i="42"/>
  <c r="AG87" i="42" s="1"/>
  <c r="AF48" i="42"/>
  <c r="AE48" i="42"/>
  <c r="AE87" i="42" s="1"/>
  <c r="AE89" i="42" s="1"/>
  <c r="AD48" i="42"/>
  <c r="AA48" i="42"/>
  <c r="Z48" i="42"/>
  <c r="Y48" i="42"/>
  <c r="X48" i="42"/>
  <c r="W48" i="42"/>
  <c r="V48" i="42"/>
  <c r="U48" i="42"/>
  <c r="T48" i="42"/>
  <c r="S48" i="42"/>
  <c r="R48" i="42"/>
  <c r="Q48" i="42"/>
  <c r="P48" i="42"/>
  <c r="O48" i="42"/>
  <c r="N48" i="42"/>
  <c r="M48" i="42"/>
  <c r="L48" i="42"/>
  <c r="K48" i="42"/>
  <c r="J48" i="42"/>
  <c r="I48" i="42"/>
  <c r="H48" i="42"/>
  <c r="G48" i="42"/>
  <c r="F48" i="42"/>
  <c r="E48" i="42"/>
  <c r="D48" i="42"/>
  <c r="C48" i="42"/>
  <c r="B48" i="42"/>
  <c r="AI47" i="42"/>
  <c r="AH47" i="42"/>
  <c r="AI46" i="42"/>
  <c r="AH46" i="42"/>
  <c r="AI45" i="42"/>
  <c r="AH45" i="42"/>
  <c r="AI44" i="42"/>
  <c r="AH44" i="42"/>
  <c r="AI43" i="42"/>
  <c r="AH43" i="42"/>
  <c r="AI42" i="42"/>
  <c r="AH42" i="42"/>
  <c r="AI41" i="42"/>
  <c r="AH41" i="42"/>
  <c r="AI40" i="42"/>
  <c r="AH40" i="42"/>
  <c r="AI39" i="42"/>
  <c r="AH39" i="42"/>
  <c r="AI38" i="42"/>
  <c r="AH38" i="42"/>
  <c r="AI37" i="42"/>
  <c r="AH37" i="42"/>
  <c r="AI36" i="42"/>
  <c r="AH36" i="42"/>
  <c r="AI35" i="42"/>
  <c r="AH35" i="42"/>
  <c r="AI34" i="42"/>
  <c r="AH34" i="42"/>
  <c r="AI33" i="42"/>
  <c r="AH33" i="42"/>
  <c r="AI32" i="42"/>
  <c r="AH32" i="42"/>
  <c r="AI31" i="42"/>
  <c r="AH31" i="42"/>
  <c r="AI30" i="42"/>
  <c r="AH30" i="42"/>
  <c r="AI29" i="42"/>
  <c r="AH29" i="42"/>
  <c r="AI28" i="42"/>
  <c r="AH28" i="42"/>
  <c r="AI27" i="42"/>
  <c r="AH27" i="42"/>
  <c r="AI26" i="42"/>
  <c r="AH26" i="42"/>
  <c r="AI25" i="42"/>
  <c r="AH25" i="42"/>
  <c r="AI24" i="42"/>
  <c r="AH24" i="42"/>
  <c r="AI23" i="42"/>
  <c r="AH23" i="42"/>
  <c r="AI22" i="42"/>
  <c r="AH22" i="42"/>
  <c r="AI21" i="42"/>
  <c r="AH21" i="42"/>
  <c r="AI20" i="42"/>
  <c r="AH20" i="42"/>
  <c r="AI19" i="42"/>
  <c r="AH19" i="42"/>
  <c r="AI18" i="42"/>
  <c r="AH18" i="42"/>
  <c r="AI17" i="42"/>
  <c r="AH17" i="42"/>
  <c r="AI16" i="42"/>
  <c r="AH16" i="42"/>
  <c r="AI15" i="42"/>
  <c r="AH15" i="42"/>
  <c r="AI14" i="42"/>
  <c r="AH14" i="42"/>
  <c r="AI13" i="42"/>
  <c r="AH13" i="42"/>
  <c r="AI12" i="42"/>
  <c r="AH12" i="42"/>
  <c r="AI11" i="42"/>
  <c r="AH11" i="42"/>
  <c r="AE5" i="42"/>
  <c r="AB5" i="42"/>
  <c r="L5" i="42"/>
  <c r="D5" i="42"/>
  <c r="AG4" i="42"/>
  <c r="K4" i="42"/>
  <c r="E4" i="42"/>
  <c r="H4" i="42" s="1"/>
  <c r="B4" i="42"/>
  <c r="S243" i="42" s="1"/>
  <c r="AG2" i="42"/>
  <c r="AG6" i="42" s="1"/>
  <c r="AF87" i="42" l="1"/>
  <c r="AF89" i="42" s="1"/>
  <c r="AD5" i="42"/>
  <c r="AC5" i="42"/>
  <c r="AD87" i="42"/>
  <c r="AD89" i="42" s="1"/>
  <c r="AD7" i="42" s="1"/>
  <c r="Z5" i="42"/>
  <c r="AA87" i="42"/>
  <c r="AA89" i="42" s="1"/>
  <c r="AA90" i="42" s="1"/>
  <c r="Y5" i="42"/>
  <c r="Z87" i="42"/>
  <c r="Z89" i="42" s="1"/>
  <c r="Z90" i="42" s="1"/>
  <c r="X5" i="42"/>
  <c r="Y87" i="42"/>
  <c r="Y89" i="42" s="1"/>
  <c r="W5" i="42"/>
  <c r="X87" i="42"/>
  <c r="X89" i="42" s="1"/>
  <c r="X7" i="42" s="1"/>
  <c r="V5" i="42"/>
  <c r="W87" i="42"/>
  <c r="W89" i="42" s="1"/>
  <c r="AO246" i="42" s="1"/>
  <c r="U5" i="42"/>
  <c r="V87" i="42"/>
  <c r="V89" i="42" s="1"/>
  <c r="AN246" i="42" s="1"/>
  <c r="T5" i="42"/>
  <c r="U87" i="42"/>
  <c r="U89" i="42" s="1"/>
  <c r="U90" i="42" s="1"/>
  <c r="T87" i="42"/>
  <c r="T89" i="42" s="1"/>
  <c r="T90" i="42" s="1"/>
  <c r="S5" i="42"/>
  <c r="R5" i="42"/>
  <c r="S87" i="42"/>
  <c r="S89" i="42" s="1"/>
  <c r="S7" i="42" s="1"/>
  <c r="Q5" i="42"/>
  <c r="R87" i="42"/>
  <c r="R89" i="42" s="1"/>
  <c r="P5" i="42"/>
  <c r="Q87" i="42"/>
  <c r="Q89" i="42" s="1"/>
  <c r="AI246" i="42" s="1"/>
  <c r="O5" i="42"/>
  <c r="P87" i="42"/>
  <c r="P89" i="42" s="1"/>
  <c r="P7" i="42" s="1"/>
  <c r="N5" i="42"/>
  <c r="O87" i="42"/>
  <c r="O89" i="42" s="1"/>
  <c r="O90" i="42" s="1"/>
  <c r="M5" i="42"/>
  <c r="N87" i="42"/>
  <c r="N89" i="42" s="1"/>
  <c r="N7" i="42" s="1"/>
  <c r="M87" i="42"/>
  <c r="M89" i="42" s="1"/>
  <c r="M90" i="42" s="1"/>
  <c r="K5" i="42"/>
  <c r="L87" i="42"/>
  <c r="L89" i="42" s="1"/>
  <c r="AD246" i="42" s="1"/>
  <c r="AI70" i="42"/>
  <c r="J5" i="42"/>
  <c r="K87" i="42"/>
  <c r="K89" i="42" s="1"/>
  <c r="K90" i="42" s="1"/>
  <c r="I5" i="42"/>
  <c r="J87" i="42"/>
  <c r="J89" i="42" s="1"/>
  <c r="H5" i="42"/>
  <c r="I87" i="42"/>
  <c r="I89" i="42" s="1"/>
  <c r="G5" i="42"/>
  <c r="H87" i="42"/>
  <c r="H89" i="42" s="1"/>
  <c r="F5" i="42"/>
  <c r="G87" i="42"/>
  <c r="G89" i="42" s="1"/>
  <c r="E5" i="42"/>
  <c r="F87" i="42"/>
  <c r="F89" i="42" s="1"/>
  <c r="X246" i="42" s="1"/>
  <c r="E87" i="42"/>
  <c r="E89" i="42" s="1"/>
  <c r="E7" i="42" s="1"/>
  <c r="D87" i="42"/>
  <c r="D89" i="42" s="1"/>
  <c r="C5" i="42"/>
  <c r="B5" i="42"/>
  <c r="AI66" i="42"/>
  <c r="AI52" i="42"/>
  <c r="C87" i="42"/>
  <c r="C89" i="42" s="1"/>
  <c r="U246" i="42" s="1"/>
  <c r="AF5" i="42"/>
  <c r="B87" i="42"/>
  <c r="B89" i="42" s="1"/>
  <c r="H226" i="43"/>
  <c r="G108" i="43"/>
  <c r="G232" i="43"/>
  <c r="H267" i="43"/>
  <c r="J231" i="43"/>
  <c r="W246" i="42"/>
  <c r="E90" i="42"/>
  <c r="M7" i="42"/>
  <c r="AE246" i="42"/>
  <c r="AC7" i="42"/>
  <c r="AU246" i="42"/>
  <c r="Y246" i="42"/>
  <c r="AW246" i="42"/>
  <c r="AE90" i="42"/>
  <c r="AE7" i="42"/>
  <c r="D90" i="42"/>
  <c r="D7" i="42"/>
  <c r="V246" i="42"/>
  <c r="H90" i="42"/>
  <c r="H7" i="42"/>
  <c r="Z246" i="42"/>
  <c r="P90" i="42"/>
  <c r="X90" i="42"/>
  <c r="AF90" i="42"/>
  <c r="AF7" i="42"/>
  <c r="AX246" i="42"/>
  <c r="L90" i="42"/>
  <c r="L7" i="42"/>
  <c r="I90" i="42"/>
  <c r="I7" i="42"/>
  <c r="AA246" i="42"/>
  <c r="Y90" i="42"/>
  <c r="Y7" i="42"/>
  <c r="AQ246" i="42"/>
  <c r="J229" i="42"/>
  <c r="K229" i="42" s="1"/>
  <c r="L229" i="42" s="1"/>
  <c r="M229" i="42" s="1"/>
  <c r="N229" i="42" s="1"/>
  <c r="O229" i="42" s="1"/>
  <c r="P229" i="42" s="1"/>
  <c r="J90" i="42"/>
  <c r="J7" i="42"/>
  <c r="AB246" i="42"/>
  <c r="R90" i="42"/>
  <c r="R7" i="42"/>
  <c r="AJ246" i="42"/>
  <c r="K7" i="42"/>
  <c r="AC246" i="42"/>
  <c r="S90" i="42"/>
  <c r="AH70" i="42"/>
  <c r="D243" i="42"/>
  <c r="AH66" i="42"/>
  <c r="F231" i="42"/>
  <c r="E226" i="42"/>
  <c r="AH48" i="42"/>
  <c r="AH52" i="42"/>
  <c r="AI48" i="42"/>
  <c r="AF271" i="41"/>
  <c r="AE271" i="41"/>
  <c r="AD271" i="41"/>
  <c r="AC271" i="41"/>
  <c r="AB271" i="41"/>
  <c r="AA271" i="41"/>
  <c r="Z271" i="41"/>
  <c r="Y271" i="41"/>
  <c r="X271" i="41"/>
  <c r="W271" i="41"/>
  <c r="V271" i="41"/>
  <c r="U271" i="41"/>
  <c r="T271" i="41"/>
  <c r="S271" i="41"/>
  <c r="R271" i="41"/>
  <c r="Q271" i="41"/>
  <c r="P271" i="41"/>
  <c r="O271" i="41"/>
  <c r="N271" i="41"/>
  <c r="M271" i="41"/>
  <c r="L271" i="41"/>
  <c r="K271" i="41"/>
  <c r="J271" i="41"/>
  <c r="I271" i="41"/>
  <c r="H271" i="41"/>
  <c r="G271" i="41"/>
  <c r="F271" i="41"/>
  <c r="E271" i="41"/>
  <c r="D271" i="41"/>
  <c r="C271" i="41"/>
  <c r="B271" i="41"/>
  <c r="A271" i="41"/>
  <c r="AF270" i="41"/>
  <c r="AE270" i="41"/>
  <c r="AD270" i="41"/>
  <c r="AC270" i="41"/>
  <c r="AB270" i="41"/>
  <c r="AA270" i="41"/>
  <c r="Z270" i="41"/>
  <c r="Y270" i="41"/>
  <c r="X270" i="41"/>
  <c r="W270" i="41"/>
  <c r="V270" i="41"/>
  <c r="U270" i="41"/>
  <c r="T270" i="41"/>
  <c r="S270" i="41"/>
  <c r="R270" i="41"/>
  <c r="Q270" i="41"/>
  <c r="P270" i="41"/>
  <c r="O270" i="41"/>
  <c r="N270" i="41"/>
  <c r="M270" i="41"/>
  <c r="L270" i="41"/>
  <c r="K270" i="41"/>
  <c r="J270" i="41"/>
  <c r="I270" i="41"/>
  <c r="H270" i="41"/>
  <c r="G270" i="41"/>
  <c r="F270" i="41"/>
  <c r="E270" i="41"/>
  <c r="D270" i="41"/>
  <c r="C270" i="41"/>
  <c r="B270" i="41"/>
  <c r="A270" i="41"/>
  <c r="AF269" i="41"/>
  <c r="AE269" i="41"/>
  <c r="AD269" i="41"/>
  <c r="AC269" i="41"/>
  <c r="AB269" i="41"/>
  <c r="AA269" i="41"/>
  <c r="Z269" i="41"/>
  <c r="Y269" i="41"/>
  <c r="X269" i="41"/>
  <c r="W269" i="41"/>
  <c r="V269" i="41"/>
  <c r="U269" i="41"/>
  <c r="T269" i="41"/>
  <c r="S269" i="41"/>
  <c r="R269" i="41"/>
  <c r="Q269" i="41"/>
  <c r="P269" i="41"/>
  <c r="O269" i="41"/>
  <c r="N269" i="41"/>
  <c r="M269" i="41"/>
  <c r="L269" i="41"/>
  <c r="K269" i="41"/>
  <c r="J269" i="41"/>
  <c r="I269" i="41"/>
  <c r="H269" i="41"/>
  <c r="G269" i="41"/>
  <c r="F269" i="41"/>
  <c r="E269" i="41"/>
  <c r="D269" i="41"/>
  <c r="C269" i="41"/>
  <c r="B269" i="41"/>
  <c r="A269" i="41"/>
  <c r="AF268" i="41"/>
  <c r="AE268" i="41"/>
  <c r="AD268" i="41"/>
  <c r="AC268" i="41"/>
  <c r="AB268" i="41"/>
  <c r="AA268" i="41"/>
  <c r="Z268" i="41"/>
  <c r="Y268" i="41"/>
  <c r="X268" i="41"/>
  <c r="W268" i="41"/>
  <c r="V268" i="41"/>
  <c r="U268" i="41"/>
  <c r="T268" i="41"/>
  <c r="S268" i="41"/>
  <c r="R268" i="41"/>
  <c r="Q268" i="41"/>
  <c r="P268" i="41"/>
  <c r="O268" i="41"/>
  <c r="N268" i="41"/>
  <c r="M268" i="41"/>
  <c r="L268" i="41"/>
  <c r="K268" i="41"/>
  <c r="J268" i="41"/>
  <c r="I268" i="41"/>
  <c r="H268" i="41"/>
  <c r="G268" i="41"/>
  <c r="F268" i="41"/>
  <c r="E268" i="41"/>
  <c r="D268" i="41"/>
  <c r="C268" i="41"/>
  <c r="B268" i="41"/>
  <c r="A268" i="41"/>
  <c r="AE267" i="41"/>
  <c r="AD267" i="41"/>
  <c r="AC267" i="41"/>
  <c r="AB267" i="41"/>
  <c r="AA267" i="41"/>
  <c r="Z267" i="41"/>
  <c r="Y267" i="41"/>
  <c r="X267" i="41"/>
  <c r="W267" i="41"/>
  <c r="V267" i="41"/>
  <c r="U267" i="41"/>
  <c r="T267" i="41"/>
  <c r="S267" i="41"/>
  <c r="R267" i="41"/>
  <c r="Q267" i="41"/>
  <c r="P267" i="41"/>
  <c r="C267" i="41"/>
  <c r="B267" i="41"/>
  <c r="S242" i="41"/>
  <c r="AG232" i="41"/>
  <c r="AF232" i="41"/>
  <c r="AE232" i="41"/>
  <c r="AD232" i="41"/>
  <c r="AC232" i="41"/>
  <c r="AB232" i="41"/>
  <c r="AA232" i="41"/>
  <c r="Z232" i="41"/>
  <c r="Y232" i="41"/>
  <c r="X232" i="41"/>
  <c r="W232" i="41"/>
  <c r="V232" i="41"/>
  <c r="U232" i="41"/>
  <c r="T232" i="41"/>
  <c r="S232" i="41"/>
  <c r="R232" i="41"/>
  <c r="Q232" i="41"/>
  <c r="D232" i="41"/>
  <c r="C232" i="41"/>
  <c r="E231" i="41"/>
  <c r="D267" i="41" s="1"/>
  <c r="D231" i="41"/>
  <c r="B231" i="41"/>
  <c r="AF267" i="41" s="1"/>
  <c r="D230" i="41"/>
  <c r="E230" i="41" s="1"/>
  <c r="F230" i="41" s="1"/>
  <c r="G230" i="41" s="1"/>
  <c r="H230" i="41" s="1"/>
  <c r="I230" i="41" s="1"/>
  <c r="J230" i="41" s="1"/>
  <c r="K230" i="41" s="1"/>
  <c r="L230" i="41" s="1"/>
  <c r="M230" i="41" s="1"/>
  <c r="N230" i="41" s="1"/>
  <c r="O230" i="41" s="1"/>
  <c r="P230" i="41" s="1"/>
  <c r="B230" i="41"/>
  <c r="E229" i="41"/>
  <c r="F229" i="41" s="1"/>
  <c r="G229" i="41" s="1"/>
  <c r="H229" i="41" s="1"/>
  <c r="I229" i="41" s="1"/>
  <c r="D229" i="41"/>
  <c r="B229" i="41"/>
  <c r="E228" i="41"/>
  <c r="F228" i="41" s="1"/>
  <c r="G228" i="41" s="1"/>
  <c r="H228" i="41" s="1"/>
  <c r="D228" i="41"/>
  <c r="B228" i="41"/>
  <c r="G227" i="41"/>
  <c r="H227" i="41" s="1"/>
  <c r="I227" i="41" s="1"/>
  <c r="J227" i="41" s="1"/>
  <c r="K227" i="41" s="1"/>
  <c r="L227" i="41" s="1"/>
  <c r="M227" i="41" s="1"/>
  <c r="N227" i="41" s="1"/>
  <c r="O227" i="41" s="1"/>
  <c r="P227" i="41" s="1"/>
  <c r="F227" i="41"/>
  <c r="E227" i="41"/>
  <c r="D227" i="41"/>
  <c r="B227" i="41"/>
  <c r="E226" i="41"/>
  <c r="F226" i="41" s="1"/>
  <c r="D226" i="41"/>
  <c r="B226" i="41"/>
  <c r="B232" i="41" s="1"/>
  <c r="AG224" i="41"/>
  <c r="AF224" i="41"/>
  <c r="AE224" i="41"/>
  <c r="AD224" i="41"/>
  <c r="AC224" i="41"/>
  <c r="AB224" i="41"/>
  <c r="AA224" i="41"/>
  <c r="Z224" i="41"/>
  <c r="Y224" i="41"/>
  <c r="X224" i="41"/>
  <c r="W224" i="41"/>
  <c r="V224" i="41"/>
  <c r="U224" i="41"/>
  <c r="T224" i="41"/>
  <c r="S224" i="41"/>
  <c r="R224" i="41"/>
  <c r="Q224" i="41"/>
  <c r="P224" i="41"/>
  <c r="O224" i="41"/>
  <c r="N224" i="41"/>
  <c r="M224" i="41"/>
  <c r="L224" i="41"/>
  <c r="K224" i="41"/>
  <c r="J224" i="41"/>
  <c r="I224" i="41"/>
  <c r="H224" i="41"/>
  <c r="G224" i="41"/>
  <c r="F224" i="41"/>
  <c r="E224" i="41"/>
  <c r="D224" i="41"/>
  <c r="C224" i="41"/>
  <c r="B224" i="41"/>
  <c r="AI117" i="41"/>
  <c r="AH117" i="41"/>
  <c r="AI116" i="41"/>
  <c r="AH116" i="41"/>
  <c r="AI115" i="41"/>
  <c r="AH115" i="41"/>
  <c r="AI114" i="41"/>
  <c r="AH114" i="41"/>
  <c r="AI113" i="41"/>
  <c r="AH113" i="41"/>
  <c r="AI112" i="41"/>
  <c r="AH112" i="41"/>
  <c r="AI111" i="41"/>
  <c r="AH111" i="41"/>
  <c r="AI110" i="41"/>
  <c r="AH110" i="41"/>
  <c r="AI109" i="41"/>
  <c r="AH109" i="41"/>
  <c r="AF108" i="41"/>
  <c r="AE108" i="41"/>
  <c r="AD108" i="41"/>
  <c r="AC108" i="41"/>
  <c r="AB108" i="41"/>
  <c r="AA108" i="41"/>
  <c r="X108" i="41"/>
  <c r="U108" i="41"/>
  <c r="T108" i="41"/>
  <c r="S108" i="41"/>
  <c r="E108" i="41"/>
  <c r="D108" i="41"/>
  <c r="C108" i="41"/>
  <c r="B108" i="41"/>
  <c r="AI107" i="41"/>
  <c r="AH107" i="41"/>
  <c r="AI106" i="41"/>
  <c r="AH106" i="41"/>
  <c r="AI105" i="41"/>
  <c r="AH105" i="41"/>
  <c r="AI104" i="41"/>
  <c r="AH104" i="41"/>
  <c r="AI103" i="41"/>
  <c r="AH103" i="41"/>
  <c r="AI102" i="41"/>
  <c r="AH102" i="41"/>
  <c r="AI101" i="41"/>
  <c r="AH101" i="41"/>
  <c r="AI100" i="41"/>
  <c r="AH100" i="41"/>
  <c r="AI99" i="41"/>
  <c r="AH99" i="41"/>
  <c r="AI97" i="41"/>
  <c r="AH97" i="41"/>
  <c r="AI96" i="41"/>
  <c r="AH96" i="41"/>
  <c r="AI95" i="41"/>
  <c r="AH95" i="41"/>
  <c r="AI94" i="41"/>
  <c r="AH94" i="41"/>
  <c r="AI93" i="41"/>
  <c r="AH93" i="41"/>
  <c r="AI92" i="41"/>
  <c r="AH92" i="41"/>
  <c r="AI91" i="41"/>
  <c r="AH91" i="41"/>
  <c r="AI88" i="41"/>
  <c r="AH88" i="41"/>
  <c r="AI86" i="41"/>
  <c r="AH86" i="41"/>
  <c r="AG86" i="41"/>
  <c r="AI85" i="41"/>
  <c r="AH85" i="41"/>
  <c r="AI84" i="41"/>
  <c r="AH84" i="41"/>
  <c r="AI83" i="41"/>
  <c r="AH83" i="41"/>
  <c r="AN82" i="41"/>
  <c r="AG82" i="41"/>
  <c r="AF82" i="41"/>
  <c r="AF98" i="41" s="1"/>
  <c r="AE82" i="41"/>
  <c r="AE98" i="41" s="1"/>
  <c r="AD82" i="41"/>
  <c r="AD98" i="41" s="1"/>
  <c r="AC82" i="41"/>
  <c r="AC98" i="41" s="1"/>
  <c r="AB82" i="41"/>
  <c r="AB98" i="41" s="1"/>
  <c r="AA82" i="41"/>
  <c r="AA98" i="41" s="1"/>
  <c r="X82" i="41"/>
  <c r="X98" i="41" s="1"/>
  <c r="U82" i="41"/>
  <c r="U98" i="41" s="1"/>
  <c r="T82" i="41"/>
  <c r="T98" i="41" s="1"/>
  <c r="S82" i="41"/>
  <c r="S98" i="41" s="1"/>
  <c r="R82" i="41"/>
  <c r="R98" i="41" s="1"/>
  <c r="Q82" i="41"/>
  <c r="Q98" i="41" s="1"/>
  <c r="P82" i="41"/>
  <c r="P98" i="41" s="1"/>
  <c r="O82" i="41"/>
  <c r="O98" i="41" s="1"/>
  <c r="N82" i="41"/>
  <c r="N98" i="41" s="1"/>
  <c r="M82" i="41"/>
  <c r="M98" i="41" s="1"/>
  <c r="L82" i="41"/>
  <c r="L98" i="41" s="1"/>
  <c r="K82" i="41"/>
  <c r="K98" i="41" s="1"/>
  <c r="J82" i="41"/>
  <c r="J98" i="41" s="1"/>
  <c r="I82" i="41"/>
  <c r="I98" i="41" s="1"/>
  <c r="H82" i="41"/>
  <c r="H98" i="41" s="1"/>
  <c r="G82" i="41"/>
  <c r="G98" i="41" s="1"/>
  <c r="F82" i="41"/>
  <c r="F98" i="41" s="1"/>
  <c r="E82" i="41"/>
  <c r="E98" i="41" s="1"/>
  <c r="D82" i="41"/>
  <c r="D98" i="41" s="1"/>
  <c r="C82" i="41"/>
  <c r="C98" i="41" s="1"/>
  <c r="B82" i="41"/>
  <c r="B98" i="41" s="1"/>
  <c r="AI81" i="41"/>
  <c r="AH81" i="41"/>
  <c r="AN80" i="41"/>
  <c r="AI80" i="41"/>
  <c r="AH80" i="41"/>
  <c r="AN79" i="41"/>
  <c r="AN81" i="41" s="1"/>
  <c r="AI79" i="41"/>
  <c r="AH79" i="41"/>
  <c r="AI78" i="41"/>
  <c r="AH78" i="41"/>
  <c r="AI77" i="41"/>
  <c r="AH77" i="41"/>
  <c r="AI76" i="41"/>
  <c r="AH76" i="41"/>
  <c r="AI75" i="41"/>
  <c r="AH75" i="41"/>
  <c r="AI74" i="41"/>
  <c r="AH74" i="41"/>
  <c r="AI73" i="41"/>
  <c r="AH73" i="41"/>
  <c r="AI72" i="41"/>
  <c r="AH72" i="41"/>
  <c r="AI71" i="41"/>
  <c r="AH71" i="41"/>
  <c r="AG70" i="41"/>
  <c r="AF70" i="41"/>
  <c r="AE70" i="41"/>
  <c r="AD70" i="41"/>
  <c r="AC70" i="41"/>
  <c r="AB70" i="41"/>
  <c r="AA70" i="41"/>
  <c r="X70" i="41"/>
  <c r="U70" i="41"/>
  <c r="T70" i="41"/>
  <c r="S70" i="41"/>
  <c r="R70" i="41"/>
  <c r="Q70" i="41"/>
  <c r="O70" i="41"/>
  <c r="N70" i="41"/>
  <c r="M70" i="41"/>
  <c r="L70" i="41"/>
  <c r="B70" i="41"/>
  <c r="AI69" i="41"/>
  <c r="AH69" i="41"/>
  <c r="AI68" i="41"/>
  <c r="AH68" i="41"/>
  <c r="AI67" i="41"/>
  <c r="AH67" i="41"/>
  <c r="AF66" i="41"/>
  <c r="AE66" i="41"/>
  <c r="AD66" i="41"/>
  <c r="AC66" i="41"/>
  <c r="AB66" i="41"/>
  <c r="AA66" i="41"/>
  <c r="X66" i="41"/>
  <c r="U66" i="41"/>
  <c r="T66" i="41"/>
  <c r="S66" i="41"/>
  <c r="R66" i="41"/>
  <c r="Q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AI65" i="41"/>
  <c r="AH65" i="41"/>
  <c r="AG65" i="41"/>
  <c r="AG66" i="41" s="1"/>
  <c r="AG3" i="41" s="1"/>
  <c r="AI64" i="41"/>
  <c r="AH64" i="41"/>
  <c r="AI63" i="41"/>
  <c r="AH63" i="41"/>
  <c r="AI62" i="41"/>
  <c r="AH62" i="41"/>
  <c r="AI61" i="41"/>
  <c r="AH61" i="41"/>
  <c r="AI60" i="41"/>
  <c r="AH60" i="41"/>
  <c r="AI59" i="41"/>
  <c r="AH59" i="41"/>
  <c r="AI58" i="41"/>
  <c r="AH58" i="41"/>
  <c r="AI57" i="41"/>
  <c r="AH57" i="41"/>
  <c r="AI56" i="41"/>
  <c r="AH56" i="41"/>
  <c r="AI55" i="41"/>
  <c r="AH55" i="41"/>
  <c r="AI54" i="41"/>
  <c r="AH54" i="41"/>
  <c r="AI53" i="41"/>
  <c r="AH53" i="41"/>
  <c r="AG52" i="41"/>
  <c r="AF52" i="41"/>
  <c r="AE52" i="41"/>
  <c r="AD52" i="41"/>
  <c r="AC52" i="41"/>
  <c r="AB52" i="41"/>
  <c r="AA52" i="41"/>
  <c r="X52" i="41"/>
  <c r="U52" i="41"/>
  <c r="T52" i="41"/>
  <c r="S52" i="41"/>
  <c r="R52" i="41"/>
  <c r="Q52" i="41"/>
  <c r="P52" i="41"/>
  <c r="O52" i="41"/>
  <c r="N52" i="41"/>
  <c r="M52" i="41"/>
  <c r="L52" i="41"/>
  <c r="K52" i="41"/>
  <c r="J52" i="41"/>
  <c r="I52" i="41"/>
  <c r="H52" i="41"/>
  <c r="G52" i="41"/>
  <c r="F52" i="41"/>
  <c r="E52" i="41"/>
  <c r="D52" i="41"/>
  <c r="C52" i="41"/>
  <c r="B52" i="41"/>
  <c r="AI51" i="41"/>
  <c r="AH51" i="41"/>
  <c r="AI50" i="41"/>
  <c r="AH50" i="41"/>
  <c r="AI49" i="41"/>
  <c r="AH49" i="41"/>
  <c r="AG48" i="41"/>
  <c r="AF48" i="41"/>
  <c r="AE48" i="41"/>
  <c r="AD48" i="41"/>
  <c r="AC48" i="41"/>
  <c r="AB48" i="41"/>
  <c r="AA48" i="41"/>
  <c r="X48" i="41"/>
  <c r="U48" i="41"/>
  <c r="T48" i="41"/>
  <c r="S48" i="41"/>
  <c r="R48" i="41"/>
  <c r="R87" i="41" s="1"/>
  <c r="R89" i="41" s="1"/>
  <c r="Q48" i="41"/>
  <c r="P48" i="41"/>
  <c r="O48" i="41"/>
  <c r="N48" i="41"/>
  <c r="M48" i="41"/>
  <c r="L48" i="41"/>
  <c r="K48" i="41"/>
  <c r="J48" i="41"/>
  <c r="I48" i="41"/>
  <c r="H48" i="41"/>
  <c r="G48" i="41"/>
  <c r="F48" i="41"/>
  <c r="E48" i="41"/>
  <c r="D48" i="41"/>
  <c r="C48" i="41"/>
  <c r="B48" i="41"/>
  <c r="AI47" i="41"/>
  <c r="AH47" i="41"/>
  <c r="AI46" i="41"/>
  <c r="AH46" i="41"/>
  <c r="AI45" i="41"/>
  <c r="AH45" i="41"/>
  <c r="AI44" i="41"/>
  <c r="AH44" i="41"/>
  <c r="AI43" i="41"/>
  <c r="AH43" i="41"/>
  <c r="AI42" i="41"/>
  <c r="AH42" i="41"/>
  <c r="AI41" i="41"/>
  <c r="AH41" i="41"/>
  <c r="AI40" i="41"/>
  <c r="AH40" i="41"/>
  <c r="AI39" i="41"/>
  <c r="AH39" i="41"/>
  <c r="AI38" i="41"/>
  <c r="AH38" i="41"/>
  <c r="AI37" i="41"/>
  <c r="AH37" i="41"/>
  <c r="AI36" i="41"/>
  <c r="AH36" i="41"/>
  <c r="AI35" i="41"/>
  <c r="AH35" i="41"/>
  <c r="AI34" i="41"/>
  <c r="AH34" i="41"/>
  <c r="AI33" i="41"/>
  <c r="AH33" i="41"/>
  <c r="AI32" i="41"/>
  <c r="AH32" i="41"/>
  <c r="AI31" i="41"/>
  <c r="AH31" i="41"/>
  <c r="AI30" i="41"/>
  <c r="AH30" i="41"/>
  <c r="AI29" i="41"/>
  <c r="AH29" i="41"/>
  <c r="AI28" i="41"/>
  <c r="AH28" i="41"/>
  <c r="AI27" i="41"/>
  <c r="AH27" i="41"/>
  <c r="AI26" i="41"/>
  <c r="AH26" i="41"/>
  <c r="AI25" i="41"/>
  <c r="AH25" i="41"/>
  <c r="AI24" i="41"/>
  <c r="AH24" i="41"/>
  <c r="AI23" i="41"/>
  <c r="AH23" i="41"/>
  <c r="AI22" i="41"/>
  <c r="AH22" i="41"/>
  <c r="AI21" i="41"/>
  <c r="AH21" i="41"/>
  <c r="AI20" i="41"/>
  <c r="AH20" i="41"/>
  <c r="AI19" i="41"/>
  <c r="AH19" i="41"/>
  <c r="AI18" i="41"/>
  <c r="AH18" i="41"/>
  <c r="AI17" i="41"/>
  <c r="AH17" i="41"/>
  <c r="AI16" i="41"/>
  <c r="AH16" i="41"/>
  <c r="AI15" i="41"/>
  <c r="AH15" i="41"/>
  <c r="AI14" i="41"/>
  <c r="AH14" i="41"/>
  <c r="AI13" i="41"/>
  <c r="AH13" i="41"/>
  <c r="AI12" i="41"/>
  <c r="AH12" i="41"/>
  <c r="AI11" i="41"/>
  <c r="AH11" i="41"/>
  <c r="Y5" i="41"/>
  <c r="X5" i="41"/>
  <c r="W5" i="41"/>
  <c r="V5" i="41"/>
  <c r="U5" i="41"/>
  <c r="S5" i="41"/>
  <c r="AG4" i="41"/>
  <c r="K4" i="41"/>
  <c r="E4" i="41"/>
  <c r="H4" i="41" s="1"/>
  <c r="B4" i="41"/>
  <c r="S243" i="41" s="1"/>
  <c r="AG2" i="41"/>
  <c r="AG6" i="41" s="1"/>
  <c r="W7" i="42" l="1"/>
  <c r="W90" i="42"/>
  <c r="Q7" i="42"/>
  <c r="Q90" i="42"/>
  <c r="AH246" i="42"/>
  <c r="AG246" i="42"/>
  <c r="AD90" i="42"/>
  <c r="AV246" i="42"/>
  <c r="AI74" i="42"/>
  <c r="AH74" i="42"/>
  <c r="AS246" i="42"/>
  <c r="AA7" i="42"/>
  <c r="Z7" i="42"/>
  <c r="AR246" i="42"/>
  <c r="AP246" i="42"/>
  <c r="V7" i="42"/>
  <c r="V90" i="42"/>
  <c r="AM246" i="42"/>
  <c r="U7" i="42"/>
  <c r="AL246" i="42"/>
  <c r="T7" i="42"/>
  <c r="AK246" i="42"/>
  <c r="O7" i="42"/>
  <c r="B241" i="42"/>
  <c r="N90" i="42"/>
  <c r="AF246" i="42"/>
  <c r="G7" i="42"/>
  <c r="C241" i="42"/>
  <c r="K6" i="42" s="1"/>
  <c r="G90" i="42"/>
  <c r="F7" i="42"/>
  <c r="F90" i="42"/>
  <c r="C7" i="42"/>
  <c r="C90" i="42"/>
  <c r="K231" i="43"/>
  <c r="I267" i="43"/>
  <c r="I226" i="43"/>
  <c r="H108" i="43"/>
  <c r="H232" i="43"/>
  <c r="AE5" i="41"/>
  <c r="AD5" i="41"/>
  <c r="AC5" i="41"/>
  <c r="AB5" i="41"/>
  <c r="AE87" i="41"/>
  <c r="AE89" i="41" s="1"/>
  <c r="AW246" i="41" s="1"/>
  <c r="AF87" i="41"/>
  <c r="AF89" i="41" s="1"/>
  <c r="AF90" i="41" s="1"/>
  <c r="AA5" i="41"/>
  <c r="AB87" i="41"/>
  <c r="AB89" i="41" s="1"/>
  <c r="AT246" i="41" s="1"/>
  <c r="Z5" i="41"/>
  <c r="AA87" i="41"/>
  <c r="AA89" i="41" s="1"/>
  <c r="AS246" i="41" s="1"/>
  <c r="X87" i="41"/>
  <c r="X89" i="41" s="1"/>
  <c r="X90" i="41" s="1"/>
  <c r="T5" i="41"/>
  <c r="U87" i="41"/>
  <c r="U89" i="41" s="1"/>
  <c r="T87" i="41"/>
  <c r="T89" i="41" s="1"/>
  <c r="AL246" i="41" s="1"/>
  <c r="R5" i="41"/>
  <c r="S87" i="41"/>
  <c r="S89" i="41" s="1"/>
  <c r="S90" i="41" s="1"/>
  <c r="Q5" i="41"/>
  <c r="P5" i="41"/>
  <c r="N5" i="41"/>
  <c r="O5" i="41"/>
  <c r="O87" i="41"/>
  <c r="O89" i="41" s="1"/>
  <c r="O90" i="41" s="1"/>
  <c r="P87" i="41"/>
  <c r="P89" i="41" s="1"/>
  <c r="P7" i="41" s="1"/>
  <c r="M5" i="41"/>
  <c r="N87" i="41"/>
  <c r="N89" i="41" s="1"/>
  <c r="AF246" i="41" s="1"/>
  <c r="AD87" i="41"/>
  <c r="AD89" i="41" s="1"/>
  <c r="AD7" i="41" s="1"/>
  <c r="Q87" i="41"/>
  <c r="Q89" i="41" s="1"/>
  <c r="Q90" i="41" s="1"/>
  <c r="AC87" i="41"/>
  <c r="AC89" i="41" s="1"/>
  <c r="AC90" i="41" s="1"/>
  <c r="B90" i="42"/>
  <c r="B7" i="42"/>
  <c r="T246" i="42"/>
  <c r="E267" i="42"/>
  <c r="G231" i="42"/>
  <c r="F226" i="42"/>
  <c r="E108" i="42"/>
  <c r="E232" i="42"/>
  <c r="L5" i="41"/>
  <c r="AI70" i="41"/>
  <c r="M87" i="41"/>
  <c r="M89" i="41" s="1"/>
  <c r="M7" i="41" s="1"/>
  <c r="K5" i="41"/>
  <c r="L87" i="41"/>
  <c r="L89" i="41" s="1"/>
  <c r="AD246" i="41" s="1"/>
  <c r="J5" i="41"/>
  <c r="K87" i="41"/>
  <c r="K89" i="41" s="1"/>
  <c r="K90" i="41" s="1"/>
  <c r="I5" i="41"/>
  <c r="J87" i="41"/>
  <c r="J89" i="41" s="1"/>
  <c r="J90" i="41" s="1"/>
  <c r="H5" i="41"/>
  <c r="I87" i="41"/>
  <c r="I89" i="41" s="1"/>
  <c r="I90" i="41" s="1"/>
  <c r="G5" i="41"/>
  <c r="H87" i="41"/>
  <c r="H89" i="41" s="1"/>
  <c r="H90" i="41" s="1"/>
  <c r="F5" i="41"/>
  <c r="G87" i="41"/>
  <c r="G89" i="41" s="1"/>
  <c r="G7" i="41" s="1"/>
  <c r="E5" i="41"/>
  <c r="F87" i="41"/>
  <c r="F89" i="41" s="1"/>
  <c r="X246" i="41" s="1"/>
  <c r="D5" i="41"/>
  <c r="E87" i="41"/>
  <c r="E89" i="41" s="1"/>
  <c r="E7" i="41" s="1"/>
  <c r="C5" i="41"/>
  <c r="D87" i="41"/>
  <c r="D89" i="41" s="1"/>
  <c r="D7" i="41" s="1"/>
  <c r="AI52" i="41"/>
  <c r="B5" i="41"/>
  <c r="C87" i="41"/>
  <c r="C89" i="41" s="1"/>
  <c r="U246" i="41" s="1"/>
  <c r="AI66" i="41"/>
  <c r="B87" i="41"/>
  <c r="AF5" i="41"/>
  <c r="G226" i="41"/>
  <c r="R90" i="41"/>
  <c r="R7" i="41"/>
  <c r="AJ246" i="41"/>
  <c r="U7" i="41"/>
  <c r="AM246" i="41"/>
  <c r="U90" i="41"/>
  <c r="V7" i="41"/>
  <c r="AN246" i="41"/>
  <c r="AG89" i="41"/>
  <c r="J229" i="41"/>
  <c r="K229" i="41" s="1"/>
  <c r="L229" i="41" s="1"/>
  <c r="M229" i="41" s="1"/>
  <c r="N229" i="41" s="1"/>
  <c r="O229" i="41" s="1"/>
  <c r="P229" i="41" s="1"/>
  <c r="AG246" i="41"/>
  <c r="O7" i="41"/>
  <c r="AO246" i="41"/>
  <c r="W7" i="41"/>
  <c r="AI98" i="41"/>
  <c r="AH98" i="41"/>
  <c r="Z7" i="41"/>
  <c r="AR246" i="41"/>
  <c r="Y7" i="41"/>
  <c r="AQ246" i="41"/>
  <c r="AG87" i="41"/>
  <c r="AH70" i="41"/>
  <c r="E232" i="41"/>
  <c r="D243" i="41"/>
  <c r="AH66" i="41"/>
  <c r="F231" i="41"/>
  <c r="AH82" i="41"/>
  <c r="AH48" i="41"/>
  <c r="AH52" i="41"/>
  <c r="AI82" i="41"/>
  <c r="AI48" i="41"/>
  <c r="AH76" i="42" l="1"/>
  <c r="AI76" i="42"/>
  <c r="AI75" i="42"/>
  <c r="AH75" i="42"/>
  <c r="L7" i="41"/>
  <c r="L90" i="41"/>
  <c r="F90" i="41"/>
  <c r="E90" i="41"/>
  <c r="W246" i="41"/>
  <c r="N90" i="41"/>
  <c r="J267" i="43"/>
  <c r="L231" i="43"/>
  <c r="I108" i="43"/>
  <c r="J226" i="43"/>
  <c r="AX246" i="41"/>
  <c r="AF7" i="41"/>
  <c r="AE7" i="41"/>
  <c r="AE90" i="41"/>
  <c r="AV246" i="41"/>
  <c r="AD90" i="41"/>
  <c r="AC7" i="41"/>
  <c r="AU246" i="41"/>
  <c r="AB7" i="41"/>
  <c r="AB90" i="41"/>
  <c r="AA90" i="41"/>
  <c r="AA7" i="41"/>
  <c r="AP246" i="41"/>
  <c r="X7" i="41"/>
  <c r="T90" i="41"/>
  <c r="T7" i="41"/>
  <c r="S7" i="41"/>
  <c r="AK246" i="41"/>
  <c r="Q7" i="41"/>
  <c r="AI246" i="41"/>
  <c r="AH246" i="41"/>
  <c r="P90" i="41"/>
  <c r="N7" i="41"/>
  <c r="G226" i="42"/>
  <c r="F108" i="42"/>
  <c r="F232" i="42"/>
  <c r="F267" i="42"/>
  <c r="H231" i="42"/>
  <c r="M90" i="41"/>
  <c r="AE246" i="41"/>
  <c r="AC246" i="41"/>
  <c r="K7" i="41"/>
  <c r="AA246" i="41"/>
  <c r="AB246" i="41"/>
  <c r="J7" i="41"/>
  <c r="I7" i="41"/>
  <c r="Z246" i="41"/>
  <c r="H7" i="41"/>
  <c r="G90" i="41"/>
  <c r="C241" i="41"/>
  <c r="K6" i="41" s="1"/>
  <c r="B241" i="41"/>
  <c r="Y246" i="41"/>
  <c r="F7" i="41"/>
  <c r="C90" i="41"/>
  <c r="D90" i="41"/>
  <c r="V246" i="41"/>
  <c r="C7" i="41"/>
  <c r="AH87" i="41"/>
  <c r="AI87" i="41"/>
  <c r="B89" i="41"/>
  <c r="AH89" i="41" s="1"/>
  <c r="H226" i="41"/>
  <c r="E267" i="41"/>
  <c r="G231" i="41"/>
  <c r="F232" i="41"/>
  <c r="F108" i="41"/>
  <c r="AI77" i="42" l="1"/>
  <c r="AH77" i="42"/>
  <c r="J108" i="43"/>
  <c r="K226" i="43"/>
  <c r="K267" i="43"/>
  <c r="M231" i="43"/>
  <c r="G267" i="42"/>
  <c r="I231" i="42"/>
  <c r="H226" i="42"/>
  <c r="G108" i="42"/>
  <c r="G232" i="42"/>
  <c r="AI89" i="41"/>
  <c r="B90" i="41"/>
  <c r="AH90" i="41" s="1"/>
  <c r="T246" i="41"/>
  <c r="B7" i="41"/>
  <c r="A7" i="41" s="1"/>
  <c r="F267" i="41"/>
  <c r="H231" i="41"/>
  <c r="G232" i="41"/>
  <c r="G108" i="41"/>
  <c r="I226" i="41"/>
  <c r="AI79" i="42" l="1"/>
  <c r="AH79" i="42"/>
  <c r="AI78" i="42"/>
  <c r="AH78" i="42"/>
  <c r="L267" i="43"/>
  <c r="N231" i="43"/>
  <c r="L226" i="43"/>
  <c r="K108" i="43"/>
  <c r="AI90" i="41"/>
  <c r="I226" i="42"/>
  <c r="H108" i="42"/>
  <c r="H232" i="42"/>
  <c r="H267" i="42"/>
  <c r="J231" i="42"/>
  <c r="G267" i="41"/>
  <c r="I231" i="41"/>
  <c r="H232" i="41"/>
  <c r="H108" i="41"/>
  <c r="I108" i="41"/>
  <c r="J226" i="41"/>
  <c r="AI80" i="42" l="1"/>
  <c r="AH80" i="42"/>
  <c r="M226" i="43"/>
  <c r="L108" i="43"/>
  <c r="M267" i="43"/>
  <c r="O231" i="43"/>
  <c r="I108" i="42"/>
  <c r="J226" i="42"/>
  <c r="K231" i="42"/>
  <c r="I267" i="42"/>
  <c r="H267" i="41"/>
  <c r="J231" i="41"/>
  <c r="J108" i="41"/>
  <c r="K226" i="41"/>
  <c r="AI81" i="42" l="1"/>
  <c r="AH81" i="42"/>
  <c r="AB87" i="42"/>
  <c r="AA5" i="42"/>
  <c r="AB98" i="42"/>
  <c r="AI82" i="42"/>
  <c r="AH82" i="42"/>
  <c r="N267" i="43"/>
  <c r="P231" i="43"/>
  <c r="O267" i="43" s="1"/>
  <c r="N226" i="43"/>
  <c r="M108" i="43"/>
  <c r="J267" i="42"/>
  <c r="L231" i="42"/>
  <c r="J108" i="42"/>
  <c r="K226" i="42"/>
  <c r="L226" i="41"/>
  <c r="K231" i="41"/>
  <c r="I267" i="41"/>
  <c r="AI98" i="42" l="1"/>
  <c r="AH98" i="42"/>
  <c r="AI83" i="42"/>
  <c r="AH83" i="42"/>
  <c r="AB89" i="42"/>
  <c r="AI87" i="42"/>
  <c r="AH87" i="42"/>
  <c r="O226" i="43"/>
  <c r="L226" i="42"/>
  <c r="K108" i="42"/>
  <c r="K267" i="42"/>
  <c r="M231" i="42"/>
  <c r="J267" i="41"/>
  <c r="L231" i="41"/>
  <c r="K108" i="41"/>
  <c r="M226" i="41"/>
  <c r="L108" i="41"/>
  <c r="AI84" i="42" l="1"/>
  <c r="AH84" i="42"/>
  <c r="AB90" i="42"/>
  <c r="AB7" i="42"/>
  <c r="A7" i="42" s="1"/>
  <c r="AT246" i="42"/>
  <c r="AI89" i="42"/>
  <c r="AH89" i="42"/>
  <c r="P226" i="43"/>
  <c r="L267" i="42"/>
  <c r="N231" i="42"/>
  <c r="M226" i="42"/>
  <c r="L108" i="42"/>
  <c r="N226" i="41"/>
  <c r="K267" i="41"/>
  <c r="M231" i="41"/>
  <c r="AI90" i="42" l="1"/>
  <c r="AH90" i="42"/>
  <c r="AI85" i="42"/>
  <c r="AH85" i="42"/>
  <c r="AI108" i="43"/>
  <c r="AH108" i="43"/>
  <c r="N226" i="42"/>
  <c r="M108" i="42"/>
  <c r="M267" i="42"/>
  <c r="O231" i="42"/>
  <c r="L267" i="41"/>
  <c r="N231" i="41"/>
  <c r="M108" i="41"/>
  <c r="O226" i="41"/>
  <c r="N108" i="41"/>
  <c r="N267" i="42" l="1"/>
  <c r="P231" i="42"/>
  <c r="O267" i="42" s="1"/>
  <c r="O226" i="42"/>
  <c r="N108" i="42"/>
  <c r="P226" i="41"/>
  <c r="O108" i="41"/>
  <c r="M267" i="41"/>
  <c r="O231" i="41"/>
  <c r="P226" i="42" l="1"/>
  <c r="O108" i="42"/>
  <c r="N267" i="41"/>
  <c r="P231" i="41"/>
  <c r="O267" i="41" s="1"/>
  <c r="AH108" i="41"/>
  <c r="AI108" i="41"/>
  <c r="AI108" i="42" l="1"/>
  <c r="AH108" i="42"/>
  <c r="O111" i="40"/>
  <c r="N111" i="40"/>
  <c r="D111" i="40"/>
  <c r="C111" i="40"/>
  <c r="C108" i="40" s="1"/>
  <c r="C48" i="40"/>
  <c r="C52" i="40"/>
  <c r="C66" i="40"/>
  <c r="B111" i="40"/>
  <c r="B88" i="40"/>
  <c r="B82" i="40"/>
  <c r="B98" i="40" s="1"/>
  <c r="B70" i="40"/>
  <c r="B66" i="40"/>
  <c r="B52" i="40"/>
  <c r="B48" i="40"/>
  <c r="AF271" i="40"/>
  <c r="AE271" i="40"/>
  <c r="AD271" i="40"/>
  <c r="AC271" i="40"/>
  <c r="AB271" i="40"/>
  <c r="AA271" i="40"/>
  <c r="Z271" i="40"/>
  <c r="Y271" i="40"/>
  <c r="X271" i="40"/>
  <c r="W271" i="40"/>
  <c r="V271" i="40"/>
  <c r="U271" i="40"/>
  <c r="T271" i="40"/>
  <c r="S271" i="40"/>
  <c r="R271" i="40"/>
  <c r="Q271" i="40"/>
  <c r="P271" i="40"/>
  <c r="O271" i="40"/>
  <c r="N271" i="40"/>
  <c r="M271" i="40"/>
  <c r="L271" i="40"/>
  <c r="K271" i="40"/>
  <c r="J271" i="40"/>
  <c r="I271" i="40"/>
  <c r="H271" i="40"/>
  <c r="G271" i="40"/>
  <c r="F271" i="40"/>
  <c r="E271" i="40"/>
  <c r="D271" i="40"/>
  <c r="C271" i="40"/>
  <c r="B271" i="40"/>
  <c r="A271" i="40"/>
  <c r="AF270" i="40"/>
  <c r="AE270" i="40"/>
  <c r="AD270" i="40"/>
  <c r="AC270" i="40"/>
  <c r="AB270" i="40"/>
  <c r="AA270" i="40"/>
  <c r="Z270" i="40"/>
  <c r="Y270" i="40"/>
  <c r="X270" i="40"/>
  <c r="W270" i="40"/>
  <c r="V270" i="40"/>
  <c r="U270" i="40"/>
  <c r="T270" i="40"/>
  <c r="S270" i="40"/>
  <c r="R270" i="40"/>
  <c r="Q270" i="40"/>
  <c r="P270" i="40"/>
  <c r="O270" i="40"/>
  <c r="N270" i="40"/>
  <c r="M270" i="40"/>
  <c r="L270" i="40"/>
  <c r="K270" i="40"/>
  <c r="J270" i="40"/>
  <c r="I270" i="40"/>
  <c r="H270" i="40"/>
  <c r="G270" i="40"/>
  <c r="F270" i="40"/>
  <c r="E270" i="40"/>
  <c r="D270" i="40"/>
  <c r="C270" i="40"/>
  <c r="B270" i="40"/>
  <c r="A270" i="40"/>
  <c r="AF269" i="40"/>
  <c r="AE269" i="40"/>
  <c r="AD269" i="40"/>
  <c r="AC269" i="40"/>
  <c r="AB269" i="40"/>
  <c r="AA269" i="40"/>
  <c r="Z269" i="40"/>
  <c r="Y269" i="40"/>
  <c r="X269" i="40"/>
  <c r="W269" i="40"/>
  <c r="V269" i="40"/>
  <c r="U269" i="40"/>
  <c r="T269" i="40"/>
  <c r="S269" i="40"/>
  <c r="R269" i="40"/>
  <c r="Q269" i="40"/>
  <c r="P269" i="40"/>
  <c r="O269" i="40"/>
  <c r="N269" i="40"/>
  <c r="M269" i="40"/>
  <c r="L269" i="40"/>
  <c r="K269" i="40"/>
  <c r="J269" i="40"/>
  <c r="I269" i="40"/>
  <c r="H269" i="40"/>
  <c r="G269" i="40"/>
  <c r="F269" i="40"/>
  <c r="E269" i="40"/>
  <c r="D269" i="40"/>
  <c r="C269" i="40"/>
  <c r="B269" i="40"/>
  <c r="A269" i="40"/>
  <c r="AF268" i="40"/>
  <c r="AE268" i="40"/>
  <c r="AD268" i="40"/>
  <c r="AC268" i="40"/>
  <c r="AB268" i="40"/>
  <c r="AA268" i="40"/>
  <c r="Z268" i="40"/>
  <c r="Y268" i="40"/>
  <c r="X268" i="40"/>
  <c r="W268" i="40"/>
  <c r="V268" i="40"/>
  <c r="U268" i="40"/>
  <c r="T268" i="40"/>
  <c r="S268" i="40"/>
  <c r="R268" i="40"/>
  <c r="Q268" i="40"/>
  <c r="P268" i="40"/>
  <c r="O268" i="40"/>
  <c r="N268" i="40"/>
  <c r="M268" i="40"/>
  <c r="L268" i="40"/>
  <c r="K268" i="40"/>
  <c r="J268" i="40"/>
  <c r="I268" i="40"/>
  <c r="H268" i="40"/>
  <c r="G268" i="40"/>
  <c r="F268" i="40"/>
  <c r="E268" i="40"/>
  <c r="D268" i="40"/>
  <c r="C268" i="40"/>
  <c r="B268" i="40"/>
  <c r="A268" i="40"/>
  <c r="AE267" i="40"/>
  <c r="AD267" i="40"/>
  <c r="AC267" i="40"/>
  <c r="AB267" i="40"/>
  <c r="AA267" i="40"/>
  <c r="Z267" i="40"/>
  <c r="Y267" i="40"/>
  <c r="X267" i="40"/>
  <c r="W267" i="40"/>
  <c r="V267" i="40"/>
  <c r="U267" i="40"/>
  <c r="T267" i="40"/>
  <c r="S267" i="40"/>
  <c r="R267" i="40"/>
  <c r="Q267" i="40"/>
  <c r="P267" i="40"/>
  <c r="D267" i="40"/>
  <c r="B267" i="40"/>
  <c r="S242" i="40"/>
  <c r="AG232" i="40"/>
  <c r="AF232" i="40"/>
  <c r="AE232" i="40"/>
  <c r="AD232" i="40"/>
  <c r="AC232" i="40"/>
  <c r="AB232" i="40"/>
  <c r="AA232" i="40"/>
  <c r="Z232" i="40"/>
  <c r="Y232" i="40"/>
  <c r="X232" i="40"/>
  <c r="W232" i="40"/>
  <c r="V232" i="40"/>
  <c r="U232" i="40"/>
  <c r="T232" i="40"/>
  <c r="S232" i="40"/>
  <c r="R232" i="40"/>
  <c r="Q232" i="40"/>
  <c r="D232" i="40"/>
  <c r="C232" i="40"/>
  <c r="E231" i="40"/>
  <c r="F231" i="40" s="1"/>
  <c r="D231" i="40"/>
  <c r="C267" i="40" s="1"/>
  <c r="B231" i="40"/>
  <c r="AF267" i="40" s="1"/>
  <c r="F230" i="40"/>
  <c r="G230" i="40" s="1"/>
  <c r="H230" i="40" s="1"/>
  <c r="I230" i="40" s="1"/>
  <c r="J230" i="40" s="1"/>
  <c r="K230" i="40" s="1"/>
  <c r="L230" i="40" s="1"/>
  <c r="M230" i="40" s="1"/>
  <c r="N230" i="40" s="1"/>
  <c r="O230" i="40" s="1"/>
  <c r="P230" i="40" s="1"/>
  <c r="E230" i="40"/>
  <c r="D230" i="40"/>
  <c r="B230" i="40"/>
  <c r="D229" i="40"/>
  <c r="E229" i="40" s="1"/>
  <c r="F229" i="40" s="1"/>
  <c r="G229" i="40" s="1"/>
  <c r="H229" i="40" s="1"/>
  <c r="I229" i="40" s="1"/>
  <c r="B229" i="40"/>
  <c r="E228" i="40"/>
  <c r="F228" i="40" s="1"/>
  <c r="G228" i="40" s="1"/>
  <c r="H228" i="40" s="1"/>
  <c r="D228" i="40"/>
  <c r="B228" i="40"/>
  <c r="E227" i="40"/>
  <c r="F227" i="40" s="1"/>
  <c r="G227" i="40" s="1"/>
  <c r="H227" i="40" s="1"/>
  <c r="I227" i="40" s="1"/>
  <c r="J227" i="40" s="1"/>
  <c r="K227" i="40" s="1"/>
  <c r="L227" i="40" s="1"/>
  <c r="M227" i="40" s="1"/>
  <c r="N227" i="40" s="1"/>
  <c r="O227" i="40" s="1"/>
  <c r="P227" i="40" s="1"/>
  <c r="D227" i="40"/>
  <c r="B227" i="40"/>
  <c r="E226" i="40"/>
  <c r="F226" i="40" s="1"/>
  <c r="D226" i="40"/>
  <c r="B226" i="40"/>
  <c r="B232" i="40" s="1"/>
  <c r="AG224" i="40"/>
  <c r="AF224" i="40"/>
  <c r="AE224" i="40"/>
  <c r="AD224" i="40"/>
  <c r="AC224" i="40"/>
  <c r="AB224" i="40"/>
  <c r="AA224" i="40"/>
  <c r="Z224" i="40"/>
  <c r="Y224" i="40"/>
  <c r="X224" i="40"/>
  <c r="W224" i="40"/>
  <c r="V224" i="40"/>
  <c r="U224" i="40"/>
  <c r="T224" i="40"/>
  <c r="S224" i="40"/>
  <c r="R224" i="40"/>
  <c r="Q224" i="40"/>
  <c r="P224" i="40"/>
  <c r="O224" i="40"/>
  <c r="N224" i="40"/>
  <c r="M224" i="40"/>
  <c r="L224" i="40"/>
  <c r="K224" i="40"/>
  <c r="J224" i="40"/>
  <c r="I224" i="40"/>
  <c r="H224" i="40"/>
  <c r="G224" i="40"/>
  <c r="F224" i="40"/>
  <c r="E224" i="40"/>
  <c r="D224" i="40"/>
  <c r="C224" i="40"/>
  <c r="B224" i="40"/>
  <c r="AI117" i="40"/>
  <c r="AH117" i="40"/>
  <c r="AI116" i="40"/>
  <c r="AH116" i="40"/>
  <c r="AI115" i="40"/>
  <c r="AH115" i="40"/>
  <c r="AI114" i="40"/>
  <c r="AH114" i="40"/>
  <c r="AI113" i="40"/>
  <c r="AH113" i="40"/>
  <c r="AI112" i="40"/>
  <c r="AH112" i="40"/>
  <c r="AI110" i="40"/>
  <c r="AH110" i="40"/>
  <c r="AI109" i="40"/>
  <c r="AH109" i="40"/>
  <c r="AF108" i="40"/>
  <c r="AE108" i="40"/>
  <c r="AD108" i="40"/>
  <c r="AC108" i="40"/>
  <c r="AB108" i="40"/>
  <c r="AA108" i="40"/>
  <c r="Y108" i="40"/>
  <c r="X108" i="40"/>
  <c r="W108" i="40"/>
  <c r="V108" i="40"/>
  <c r="U108" i="40"/>
  <c r="T108" i="40"/>
  <c r="S108" i="40"/>
  <c r="R108" i="40"/>
  <c r="Q108" i="40"/>
  <c r="D108" i="40"/>
  <c r="AI107" i="40"/>
  <c r="AH107" i="40"/>
  <c r="AI106" i="40"/>
  <c r="AH106" i="40"/>
  <c r="AI105" i="40"/>
  <c r="AH105" i="40"/>
  <c r="AI104" i="40"/>
  <c r="AH104" i="40"/>
  <c r="AI103" i="40"/>
  <c r="AH103" i="40"/>
  <c r="AI102" i="40"/>
  <c r="AH102" i="40"/>
  <c r="AI101" i="40"/>
  <c r="AH101" i="40"/>
  <c r="AI100" i="40"/>
  <c r="AH100" i="40"/>
  <c r="AI99" i="40"/>
  <c r="AH99" i="40"/>
  <c r="AI97" i="40"/>
  <c r="AH97" i="40"/>
  <c r="AI96" i="40"/>
  <c r="AH96" i="40"/>
  <c r="AI95" i="40"/>
  <c r="AH95" i="40"/>
  <c r="AI94" i="40"/>
  <c r="AH94" i="40"/>
  <c r="AI93" i="40"/>
  <c r="AH93" i="40"/>
  <c r="AI92" i="40"/>
  <c r="AH92" i="40"/>
  <c r="AI91" i="40"/>
  <c r="AH91" i="40"/>
  <c r="AI88" i="40"/>
  <c r="AH88" i="40"/>
  <c r="AI86" i="40"/>
  <c r="AH86" i="40"/>
  <c r="AG86" i="40"/>
  <c r="AG89" i="40" s="1"/>
  <c r="AI85" i="40"/>
  <c r="AH85" i="40"/>
  <c r="AI84" i="40"/>
  <c r="AH84" i="40"/>
  <c r="AI83" i="40"/>
  <c r="AH83" i="40"/>
  <c r="AN82" i="40"/>
  <c r="AG82" i="40"/>
  <c r="AF82" i="40"/>
  <c r="AE5" i="40" s="1"/>
  <c r="AE82" i="40"/>
  <c r="AE98" i="40" s="1"/>
  <c r="AD82" i="40"/>
  <c r="AD98" i="40" s="1"/>
  <c r="AC82" i="40"/>
  <c r="AC98" i="40" s="1"/>
  <c r="AB82" i="40"/>
  <c r="AB98" i="40" s="1"/>
  <c r="AA82" i="40"/>
  <c r="AA98" i="40" s="1"/>
  <c r="Y82" i="40"/>
  <c r="Y98" i="40" s="1"/>
  <c r="X82" i="40"/>
  <c r="W5" i="40" s="1"/>
  <c r="W82" i="40"/>
  <c r="W98" i="40" s="1"/>
  <c r="V82" i="40"/>
  <c r="V98" i="40" s="1"/>
  <c r="U82" i="40"/>
  <c r="U98" i="40" s="1"/>
  <c r="T82" i="40"/>
  <c r="T98" i="40" s="1"/>
  <c r="S82" i="40"/>
  <c r="S98" i="40" s="1"/>
  <c r="R82" i="40"/>
  <c r="R98" i="40" s="1"/>
  <c r="Q82" i="40"/>
  <c r="Q98" i="40" s="1"/>
  <c r="P82" i="40"/>
  <c r="O5" i="40" s="1"/>
  <c r="O82" i="40"/>
  <c r="O98" i="40" s="1"/>
  <c r="N82" i="40"/>
  <c r="N98" i="40" s="1"/>
  <c r="M82" i="40"/>
  <c r="M98" i="40" s="1"/>
  <c r="L82" i="40"/>
  <c r="L98" i="40" s="1"/>
  <c r="K82" i="40"/>
  <c r="K98" i="40" s="1"/>
  <c r="J82" i="40"/>
  <c r="J98" i="40" s="1"/>
  <c r="I82" i="40"/>
  <c r="I98" i="40" s="1"/>
  <c r="H82" i="40"/>
  <c r="G5" i="40" s="1"/>
  <c r="G82" i="40"/>
  <c r="G98" i="40" s="1"/>
  <c r="F82" i="40"/>
  <c r="F98" i="40" s="1"/>
  <c r="E82" i="40"/>
  <c r="E98" i="40" s="1"/>
  <c r="D82" i="40"/>
  <c r="D98" i="40" s="1"/>
  <c r="C82" i="40"/>
  <c r="C98" i="40" s="1"/>
  <c r="AI81" i="40"/>
  <c r="AH81" i="40"/>
  <c r="AN80" i="40"/>
  <c r="AI80" i="40"/>
  <c r="AH80" i="40"/>
  <c r="AN79" i="40"/>
  <c r="AN81" i="40" s="1"/>
  <c r="AI79" i="40"/>
  <c r="AH79" i="40"/>
  <c r="AI78" i="40"/>
  <c r="AH78" i="40"/>
  <c r="AI77" i="40"/>
  <c r="AH77" i="40"/>
  <c r="AI76" i="40"/>
  <c r="AH76" i="40"/>
  <c r="AI75" i="40"/>
  <c r="AH75" i="40"/>
  <c r="AI74" i="40"/>
  <c r="AH74" i="40"/>
  <c r="AI73" i="40"/>
  <c r="AH73" i="40"/>
  <c r="AI72" i="40"/>
  <c r="AH72" i="40"/>
  <c r="AI71" i="40"/>
  <c r="AH71" i="40"/>
  <c r="AG70" i="40"/>
  <c r="AG4" i="40" s="1"/>
  <c r="AF70" i="40"/>
  <c r="AE70" i="40"/>
  <c r="AD70" i="40"/>
  <c r="AC70" i="40"/>
  <c r="AB70" i="40"/>
  <c r="AA70" i="40"/>
  <c r="Y70" i="40"/>
  <c r="X70" i="40"/>
  <c r="W70" i="40"/>
  <c r="V70" i="40"/>
  <c r="U70" i="40"/>
  <c r="T70" i="40"/>
  <c r="S70" i="40"/>
  <c r="R70" i="40"/>
  <c r="Q70" i="40"/>
  <c r="P70" i="40"/>
  <c r="O70" i="40"/>
  <c r="N70" i="40"/>
  <c r="M70" i="40"/>
  <c r="L70" i="40"/>
  <c r="AI69" i="40"/>
  <c r="AH69" i="40"/>
  <c r="AI68" i="40"/>
  <c r="AH68" i="40"/>
  <c r="AI67" i="40"/>
  <c r="AH67" i="40"/>
  <c r="AG66" i="40"/>
  <c r="AF66" i="40"/>
  <c r="AE66" i="40"/>
  <c r="AD66" i="40"/>
  <c r="AC66" i="40"/>
  <c r="AB66" i="40"/>
  <c r="AA66" i="40"/>
  <c r="Y66" i="40"/>
  <c r="X66" i="40"/>
  <c r="W66" i="40"/>
  <c r="V66" i="40"/>
  <c r="U66" i="40"/>
  <c r="T66" i="40"/>
  <c r="S66" i="40"/>
  <c r="R66" i="40"/>
  <c r="Q66" i="40"/>
  <c r="P66" i="40"/>
  <c r="O66" i="40"/>
  <c r="N66" i="40"/>
  <c r="M66" i="40"/>
  <c r="L66" i="40"/>
  <c r="K66" i="40"/>
  <c r="J66" i="40"/>
  <c r="I66" i="40"/>
  <c r="H66" i="40"/>
  <c r="G66" i="40"/>
  <c r="F66" i="40"/>
  <c r="E66" i="40"/>
  <c r="D66" i="40"/>
  <c r="AI65" i="40"/>
  <c r="AH65" i="40"/>
  <c r="AG65" i="40"/>
  <c r="AI64" i="40"/>
  <c r="AH64" i="40"/>
  <c r="AI63" i="40"/>
  <c r="AH63" i="40"/>
  <c r="AI62" i="40"/>
  <c r="AH62" i="40"/>
  <c r="AI61" i="40"/>
  <c r="AH61" i="40"/>
  <c r="AI60" i="40"/>
  <c r="AH60" i="40"/>
  <c r="AI59" i="40"/>
  <c r="AH59" i="40"/>
  <c r="AI58" i="40"/>
  <c r="AH58" i="40"/>
  <c r="AI57" i="40"/>
  <c r="AH57" i="40"/>
  <c r="AI56" i="40"/>
  <c r="AH56" i="40"/>
  <c r="AI55" i="40"/>
  <c r="AH55" i="40"/>
  <c r="AI54" i="40"/>
  <c r="AH54" i="40"/>
  <c r="AI53" i="40"/>
  <c r="AH53" i="40"/>
  <c r="AG52" i="40"/>
  <c r="AF52" i="40"/>
  <c r="AE52" i="40"/>
  <c r="AD52" i="40"/>
  <c r="AC52" i="40"/>
  <c r="AB52" i="40"/>
  <c r="AA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E52" i="40"/>
  <c r="D52" i="40"/>
  <c r="AI51" i="40"/>
  <c r="AH51" i="40"/>
  <c r="AI50" i="40"/>
  <c r="AH50" i="40"/>
  <c r="AI49" i="40"/>
  <c r="AH49" i="40"/>
  <c r="AG48" i="40"/>
  <c r="AG87" i="40" s="1"/>
  <c r="AF48" i="40"/>
  <c r="AE48" i="40"/>
  <c r="AD48" i="40"/>
  <c r="AC48" i="40"/>
  <c r="AB48" i="40"/>
  <c r="AA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E48" i="40"/>
  <c r="D48" i="40"/>
  <c r="AI47" i="40"/>
  <c r="AH47" i="40"/>
  <c r="AI46" i="40"/>
  <c r="AH46" i="40"/>
  <c r="AI45" i="40"/>
  <c r="AH45" i="40"/>
  <c r="AI44" i="40"/>
  <c r="AH44" i="40"/>
  <c r="AI43" i="40"/>
  <c r="AH43" i="40"/>
  <c r="AI42" i="40"/>
  <c r="AH42" i="40"/>
  <c r="AI41" i="40"/>
  <c r="AH41" i="40"/>
  <c r="AI40" i="40"/>
  <c r="AH40" i="40"/>
  <c r="AI39" i="40"/>
  <c r="AH39" i="40"/>
  <c r="AI38" i="40"/>
  <c r="AH38" i="40"/>
  <c r="AI37" i="40"/>
  <c r="AH37" i="40"/>
  <c r="AI36" i="40"/>
  <c r="AH36" i="40"/>
  <c r="AI35" i="40"/>
  <c r="AH35" i="40"/>
  <c r="AI34" i="40"/>
  <c r="AH34" i="40"/>
  <c r="AI33" i="40"/>
  <c r="AH33" i="40"/>
  <c r="AI32" i="40"/>
  <c r="AH32" i="40"/>
  <c r="AI31" i="40"/>
  <c r="AH31" i="40"/>
  <c r="AI30" i="40"/>
  <c r="AH30" i="40"/>
  <c r="AI29" i="40"/>
  <c r="AH29" i="40"/>
  <c r="AI28" i="40"/>
  <c r="AH28" i="40"/>
  <c r="AI27" i="40"/>
  <c r="AH27" i="40"/>
  <c r="AI26" i="40"/>
  <c r="AH26" i="40"/>
  <c r="AI25" i="40"/>
  <c r="AH25" i="40"/>
  <c r="AI24" i="40"/>
  <c r="AH24" i="40"/>
  <c r="AI23" i="40"/>
  <c r="AH23" i="40"/>
  <c r="AI22" i="40"/>
  <c r="AH22" i="40"/>
  <c r="AI21" i="40"/>
  <c r="AH21" i="40"/>
  <c r="AI20" i="40"/>
  <c r="AH20" i="40"/>
  <c r="AI19" i="40"/>
  <c r="AH19" i="40"/>
  <c r="AI18" i="40"/>
  <c r="AH18" i="40"/>
  <c r="AI17" i="40"/>
  <c r="AH17" i="40"/>
  <c r="AI16" i="40"/>
  <c r="AH16" i="40"/>
  <c r="AI15" i="40"/>
  <c r="AH15" i="40"/>
  <c r="AI14" i="40"/>
  <c r="AH14" i="40"/>
  <c r="AI13" i="40"/>
  <c r="AH13" i="40"/>
  <c r="AI12" i="40"/>
  <c r="AH12" i="40"/>
  <c r="AI11" i="40"/>
  <c r="AH11" i="40"/>
  <c r="K4" i="40"/>
  <c r="E4" i="40"/>
  <c r="H4" i="40" s="1"/>
  <c r="B4" i="40"/>
  <c r="S243" i="40" s="1"/>
  <c r="AG3" i="40"/>
  <c r="AG73" i="39"/>
  <c r="AF111" i="39"/>
  <c r="AE111" i="39"/>
  <c r="AD111" i="39"/>
  <c r="AF87" i="40" l="1"/>
  <c r="AF89" i="40" s="1"/>
  <c r="AD5" i="40"/>
  <c r="AE87" i="40"/>
  <c r="AE89" i="40" s="1"/>
  <c r="AW246" i="40" s="1"/>
  <c r="AC5" i="40"/>
  <c r="AD87" i="40"/>
  <c r="AD89" i="40" s="1"/>
  <c r="AV246" i="40" s="1"/>
  <c r="AB5" i="40"/>
  <c r="AC87" i="40"/>
  <c r="AC89" i="40" s="1"/>
  <c r="AU246" i="40" s="1"/>
  <c r="AA5" i="40"/>
  <c r="AB87" i="40"/>
  <c r="AB89" i="40" s="1"/>
  <c r="AB7" i="40" s="1"/>
  <c r="Z5" i="40"/>
  <c r="X87" i="40"/>
  <c r="X89" i="40" s="1"/>
  <c r="X7" i="40" s="1"/>
  <c r="V5" i="40"/>
  <c r="W87" i="40"/>
  <c r="W89" i="40" s="1"/>
  <c r="U5" i="40"/>
  <c r="V87" i="40"/>
  <c r="V89" i="40" s="1"/>
  <c r="V90" i="40" s="1"/>
  <c r="T5" i="40"/>
  <c r="U87" i="40"/>
  <c r="U89" i="40" s="1"/>
  <c r="X5" i="40"/>
  <c r="Y5" i="40"/>
  <c r="S5" i="40"/>
  <c r="R5" i="40"/>
  <c r="Y87" i="40"/>
  <c r="Y89" i="40" s="1"/>
  <c r="AQ246" i="40" s="1"/>
  <c r="AR246" i="40"/>
  <c r="S87" i="40"/>
  <c r="S89" i="40" s="1"/>
  <c r="S90" i="40" s="1"/>
  <c r="AA87" i="40"/>
  <c r="AA89" i="40" s="1"/>
  <c r="AA90" i="40" s="1"/>
  <c r="T87" i="40"/>
  <c r="T89" i="40" s="1"/>
  <c r="Q5" i="40"/>
  <c r="R87" i="40"/>
  <c r="R89" i="40" s="1"/>
  <c r="P5" i="40"/>
  <c r="Q87" i="40"/>
  <c r="Q89" i="40" s="1"/>
  <c r="Q90" i="40" s="1"/>
  <c r="P87" i="40"/>
  <c r="P89" i="40" s="1"/>
  <c r="O87" i="40"/>
  <c r="O89" i="40" s="1"/>
  <c r="O7" i="40" s="1"/>
  <c r="N5" i="40"/>
  <c r="M5" i="40"/>
  <c r="N87" i="40"/>
  <c r="N89" i="40" s="1"/>
  <c r="N90" i="40" s="1"/>
  <c r="L5" i="40"/>
  <c r="AI70" i="40"/>
  <c r="K5" i="40"/>
  <c r="L87" i="40"/>
  <c r="L89" i="40" s="1"/>
  <c r="L90" i="40" s="1"/>
  <c r="J5" i="40"/>
  <c r="K87" i="40"/>
  <c r="K89" i="40" s="1"/>
  <c r="K90" i="40" s="1"/>
  <c r="M87" i="40"/>
  <c r="M89" i="40" s="1"/>
  <c r="M7" i="40" s="1"/>
  <c r="J87" i="40"/>
  <c r="J89" i="40" s="1"/>
  <c r="J90" i="40" s="1"/>
  <c r="I5" i="40"/>
  <c r="H5" i="40"/>
  <c r="I87" i="40"/>
  <c r="I89" i="40" s="1"/>
  <c r="I7" i="40" s="1"/>
  <c r="H87" i="40"/>
  <c r="H89" i="40" s="1"/>
  <c r="H7" i="40" s="1"/>
  <c r="F5" i="40"/>
  <c r="G87" i="40"/>
  <c r="G89" i="40" s="1"/>
  <c r="E5" i="40"/>
  <c r="F87" i="40"/>
  <c r="F89" i="40" s="1"/>
  <c r="F90" i="40" s="1"/>
  <c r="D5" i="40"/>
  <c r="E87" i="40"/>
  <c r="E89" i="40" s="1"/>
  <c r="E7" i="40" s="1"/>
  <c r="C5" i="40"/>
  <c r="AI66" i="40"/>
  <c r="AH52" i="40"/>
  <c r="D87" i="40"/>
  <c r="D89" i="40" s="1"/>
  <c r="D7" i="40" s="1"/>
  <c r="AI111" i="40"/>
  <c r="B5" i="40"/>
  <c r="C87" i="40"/>
  <c r="C89" i="40" s="1"/>
  <c r="C90" i="40" s="1"/>
  <c r="AH111" i="40"/>
  <c r="B108" i="40"/>
  <c r="AF5" i="40"/>
  <c r="B87" i="40"/>
  <c r="B89" i="40" s="1"/>
  <c r="B90" i="40" s="1"/>
  <c r="X90" i="40"/>
  <c r="AP246" i="40"/>
  <c r="Q7" i="40"/>
  <c r="AI246" i="40"/>
  <c r="Y90" i="40"/>
  <c r="Y7" i="40"/>
  <c r="E267" i="40"/>
  <c r="G231" i="40"/>
  <c r="T90" i="40"/>
  <c r="T7" i="40"/>
  <c r="AL246" i="40"/>
  <c r="AB90" i="40"/>
  <c r="G226" i="40"/>
  <c r="F108" i="40"/>
  <c r="F232" i="40"/>
  <c r="J229" i="40"/>
  <c r="K229" i="40" s="1"/>
  <c r="L229" i="40" s="1"/>
  <c r="M229" i="40" s="1"/>
  <c r="N229" i="40" s="1"/>
  <c r="O229" i="40" s="1"/>
  <c r="P229" i="40" s="1"/>
  <c r="P90" i="40"/>
  <c r="P7" i="40"/>
  <c r="AH246" i="40"/>
  <c r="J7" i="40"/>
  <c r="AB246" i="40"/>
  <c r="R90" i="40"/>
  <c r="AJ246" i="40"/>
  <c r="R7" i="40"/>
  <c r="U7" i="40"/>
  <c r="AM246" i="40"/>
  <c r="U90" i="40"/>
  <c r="AF90" i="40"/>
  <c r="AF7" i="40"/>
  <c r="AX246" i="40"/>
  <c r="AF246" i="40"/>
  <c r="N7" i="40"/>
  <c r="AN246" i="40"/>
  <c r="X246" i="40"/>
  <c r="O90" i="40"/>
  <c r="AO246" i="40"/>
  <c r="W90" i="40"/>
  <c r="W7" i="40"/>
  <c r="AH70" i="40"/>
  <c r="E232" i="40"/>
  <c r="D243" i="40"/>
  <c r="AH66" i="40"/>
  <c r="AG2" i="40"/>
  <c r="AG6" i="40" s="1"/>
  <c r="H98" i="40"/>
  <c r="P98" i="40"/>
  <c r="X98" i="40"/>
  <c r="AF98" i="40"/>
  <c r="E108" i="40"/>
  <c r="AH82" i="40"/>
  <c r="AI82" i="40"/>
  <c r="AI48" i="40"/>
  <c r="AI52" i="40"/>
  <c r="AH48" i="40"/>
  <c r="H90" i="40" l="1"/>
  <c r="AK246" i="40"/>
  <c r="V7" i="40"/>
  <c r="S7" i="40"/>
  <c r="I90" i="40"/>
  <c r="AG246" i="40"/>
  <c r="AE90" i="40"/>
  <c r="AE7" i="40"/>
  <c r="AD90" i="40"/>
  <c r="AD7" i="40"/>
  <c r="AC90" i="40"/>
  <c r="AC7" i="40"/>
  <c r="AT246" i="40"/>
  <c r="AS246" i="40"/>
  <c r="AA7" i="40"/>
  <c r="Z7" i="40"/>
  <c r="AI98" i="40"/>
  <c r="M90" i="40"/>
  <c r="AE246" i="40"/>
  <c r="AD246" i="40"/>
  <c r="L7" i="40"/>
  <c r="K7" i="40"/>
  <c r="C241" i="40"/>
  <c r="AC246" i="40"/>
  <c r="AA246" i="40"/>
  <c r="Z246" i="40"/>
  <c r="Y246" i="40"/>
  <c r="G7" i="40"/>
  <c r="G90" i="40"/>
  <c r="B241" i="40"/>
  <c r="F7" i="40"/>
  <c r="W246" i="40"/>
  <c r="E90" i="40"/>
  <c r="AH87" i="40"/>
  <c r="D90" i="40"/>
  <c r="V246" i="40"/>
  <c r="U246" i="40"/>
  <c r="C7" i="40"/>
  <c r="AI87" i="40"/>
  <c r="AH98" i="40"/>
  <c r="H226" i="40"/>
  <c r="G108" i="40"/>
  <c r="G232" i="40"/>
  <c r="F267" i="40"/>
  <c r="H231" i="40"/>
  <c r="AI89" i="40"/>
  <c r="AH89" i="40"/>
  <c r="T246" i="40"/>
  <c r="B7" i="40"/>
  <c r="K6" i="40" l="1"/>
  <c r="A7" i="40"/>
  <c r="AI90" i="40"/>
  <c r="AH90" i="40"/>
  <c r="G267" i="40"/>
  <c r="I231" i="40"/>
  <c r="I226" i="40"/>
  <c r="H108" i="40"/>
  <c r="H232" i="40"/>
  <c r="S66" i="17"/>
  <c r="S52" i="17"/>
  <c r="S82" i="39"/>
  <c r="S70" i="39"/>
  <c r="S66" i="39"/>
  <c r="S52" i="39"/>
  <c r="S48" i="39"/>
  <c r="H267" i="40" l="1"/>
  <c r="J231" i="40"/>
  <c r="I108" i="40"/>
  <c r="J226" i="40"/>
  <c r="J108" i="40" l="1"/>
  <c r="K226" i="40"/>
  <c r="K231" i="40"/>
  <c r="I267" i="40"/>
  <c r="J267" i="40" l="1"/>
  <c r="L231" i="40"/>
  <c r="L226" i="40"/>
  <c r="K108" i="40"/>
  <c r="M226" i="40" l="1"/>
  <c r="L108" i="40"/>
  <c r="K267" i="40"/>
  <c r="M231" i="40"/>
  <c r="L267" i="40" l="1"/>
  <c r="N231" i="40"/>
  <c r="N226" i="40"/>
  <c r="M108" i="40"/>
  <c r="O226" i="40" l="1"/>
  <c r="N108" i="40"/>
  <c r="M267" i="40"/>
  <c r="O231" i="40"/>
  <c r="N267" i="40" l="1"/>
  <c r="P231" i="40"/>
  <c r="O267" i="40" s="1"/>
  <c r="P226" i="40"/>
  <c r="O108" i="40"/>
  <c r="AI108" i="40" l="1"/>
  <c r="AH108" i="40"/>
  <c r="L111" i="39" l="1"/>
  <c r="L48" i="39"/>
  <c r="L52" i="39"/>
  <c r="L66" i="39"/>
  <c r="L82" i="39"/>
  <c r="L98" i="39" s="1"/>
  <c r="K111" i="39"/>
  <c r="K48" i="39"/>
  <c r="K52" i="39"/>
  <c r="K66" i="39"/>
  <c r="K82" i="39"/>
  <c r="K98" i="39" s="1"/>
  <c r="K108" i="39"/>
  <c r="J111" i="39"/>
  <c r="I111" i="39"/>
  <c r="G111" i="39"/>
  <c r="G108" i="39" s="1"/>
  <c r="F48" i="39"/>
  <c r="G48" i="39"/>
  <c r="H48" i="39"/>
  <c r="F52" i="39"/>
  <c r="G52" i="39"/>
  <c r="H52" i="39"/>
  <c r="H87" i="39" s="1"/>
  <c r="H89" i="39" s="1"/>
  <c r="H90" i="39" s="1"/>
  <c r="F66" i="39"/>
  <c r="G66" i="39"/>
  <c r="H66" i="39"/>
  <c r="F82" i="39"/>
  <c r="F87" i="39" s="1"/>
  <c r="F89" i="39" s="1"/>
  <c r="F90" i="39" s="1"/>
  <c r="G82" i="39"/>
  <c r="G98" i="39" s="1"/>
  <c r="H82" i="39"/>
  <c r="G5" i="39" s="1"/>
  <c r="H98" i="39"/>
  <c r="F111" i="39"/>
  <c r="F108" i="39" s="1"/>
  <c r="H111" i="39"/>
  <c r="H108" i="39" s="1"/>
  <c r="E111" i="39"/>
  <c r="E48" i="39"/>
  <c r="E52" i="39"/>
  <c r="E66" i="39"/>
  <c r="E82" i="39"/>
  <c r="E98" i="39" s="1"/>
  <c r="C48" i="39"/>
  <c r="C52" i="39"/>
  <c r="C66" i="39"/>
  <c r="C70" i="39"/>
  <c r="C82" i="39"/>
  <c r="C98" i="39" s="1"/>
  <c r="C108" i="39"/>
  <c r="B108" i="39"/>
  <c r="B82" i="39"/>
  <c r="AF5" i="39" s="1"/>
  <c r="B70" i="39"/>
  <c r="B66" i="39"/>
  <c r="B52" i="39"/>
  <c r="B48" i="39"/>
  <c r="AF271" i="39"/>
  <c r="AE271" i="39"/>
  <c r="AD271" i="39"/>
  <c r="AC271" i="39"/>
  <c r="AB271" i="39"/>
  <c r="AA271" i="39"/>
  <c r="Z271" i="39"/>
  <c r="Y271" i="39"/>
  <c r="X271" i="39"/>
  <c r="W271" i="39"/>
  <c r="V271" i="39"/>
  <c r="U271" i="39"/>
  <c r="T271" i="39"/>
  <c r="S271" i="39"/>
  <c r="R271" i="39"/>
  <c r="Q271" i="39"/>
  <c r="P271" i="39"/>
  <c r="O271" i="39"/>
  <c r="N271" i="39"/>
  <c r="M271" i="39"/>
  <c r="L271" i="39"/>
  <c r="K271" i="39"/>
  <c r="J271" i="39"/>
  <c r="I271" i="39"/>
  <c r="H271" i="39"/>
  <c r="G271" i="39"/>
  <c r="F271" i="39"/>
  <c r="E271" i="39"/>
  <c r="D271" i="39"/>
  <c r="C271" i="39"/>
  <c r="B271" i="39"/>
  <c r="A271" i="39"/>
  <c r="AF270" i="39"/>
  <c r="AE270" i="39"/>
  <c r="AD270" i="39"/>
  <c r="AC270" i="39"/>
  <c r="AB270" i="39"/>
  <c r="AA270" i="39"/>
  <c r="Z270" i="39"/>
  <c r="Y270" i="39"/>
  <c r="X270" i="39"/>
  <c r="W270" i="39"/>
  <c r="V270" i="39"/>
  <c r="U270" i="39"/>
  <c r="T270" i="39"/>
  <c r="S270" i="39"/>
  <c r="R270" i="39"/>
  <c r="Q270" i="39"/>
  <c r="P270" i="39"/>
  <c r="O270" i="39"/>
  <c r="N270" i="39"/>
  <c r="M270" i="39"/>
  <c r="L270" i="39"/>
  <c r="K270" i="39"/>
  <c r="J270" i="39"/>
  <c r="I270" i="39"/>
  <c r="H270" i="39"/>
  <c r="G270" i="39"/>
  <c r="F270" i="39"/>
  <c r="E270" i="39"/>
  <c r="D270" i="39"/>
  <c r="C270" i="39"/>
  <c r="B270" i="39"/>
  <c r="A270" i="39"/>
  <c r="AF269" i="39"/>
  <c r="AE269" i="39"/>
  <c r="AD269" i="39"/>
  <c r="AC269" i="39"/>
  <c r="AB269" i="39"/>
  <c r="AA269" i="39"/>
  <c r="Z269" i="39"/>
  <c r="Y269" i="39"/>
  <c r="X269" i="39"/>
  <c r="W269" i="39"/>
  <c r="V269" i="39"/>
  <c r="U269" i="39"/>
  <c r="T269" i="39"/>
  <c r="S269" i="39"/>
  <c r="R269" i="39"/>
  <c r="Q269" i="39"/>
  <c r="P269" i="39"/>
  <c r="O269" i="39"/>
  <c r="N269" i="39"/>
  <c r="M269" i="39"/>
  <c r="L269" i="39"/>
  <c r="K269" i="39"/>
  <c r="J269" i="39"/>
  <c r="I269" i="39"/>
  <c r="H269" i="39"/>
  <c r="G269" i="39"/>
  <c r="F269" i="39"/>
  <c r="E269" i="39"/>
  <c r="D269" i="39"/>
  <c r="C269" i="39"/>
  <c r="B269" i="39"/>
  <c r="A269" i="39"/>
  <c r="AF268" i="39"/>
  <c r="AE268" i="39"/>
  <c r="AD268" i="39"/>
  <c r="AC268" i="39"/>
  <c r="AB268" i="39"/>
  <c r="AA268" i="39"/>
  <c r="Z268" i="39"/>
  <c r="Y268" i="39"/>
  <c r="X268" i="39"/>
  <c r="W268" i="39"/>
  <c r="V268" i="39"/>
  <c r="U268" i="39"/>
  <c r="T268" i="39"/>
  <c r="S268" i="39"/>
  <c r="R268" i="39"/>
  <c r="Q268" i="39"/>
  <c r="P268" i="39"/>
  <c r="O268" i="39"/>
  <c r="N268" i="39"/>
  <c r="M268" i="39"/>
  <c r="L268" i="39"/>
  <c r="K268" i="39"/>
  <c r="J268" i="39"/>
  <c r="I268" i="39"/>
  <c r="H268" i="39"/>
  <c r="G268" i="39"/>
  <c r="F268" i="39"/>
  <c r="E268" i="39"/>
  <c r="D268" i="39"/>
  <c r="C268" i="39"/>
  <c r="B268" i="39"/>
  <c r="A268" i="39"/>
  <c r="AE267" i="39"/>
  <c r="AD267" i="39"/>
  <c r="AC267" i="39"/>
  <c r="AB267" i="39"/>
  <c r="AA267" i="39"/>
  <c r="Z267" i="39"/>
  <c r="Y267" i="39"/>
  <c r="X267" i="39"/>
  <c r="W267" i="39"/>
  <c r="V267" i="39"/>
  <c r="U267" i="39"/>
  <c r="T267" i="39"/>
  <c r="S267" i="39"/>
  <c r="R267" i="39"/>
  <c r="Q267" i="39"/>
  <c r="P267" i="39"/>
  <c r="C267" i="39"/>
  <c r="B267" i="39"/>
  <c r="S242" i="39"/>
  <c r="AG232" i="39"/>
  <c r="AF232" i="39"/>
  <c r="AE232" i="39"/>
  <c r="AD232" i="39"/>
  <c r="AC232" i="39"/>
  <c r="AB232" i="39"/>
  <c r="AA232" i="39"/>
  <c r="Z232" i="39"/>
  <c r="Y232" i="39"/>
  <c r="X232" i="39"/>
  <c r="W232" i="39"/>
  <c r="V232" i="39"/>
  <c r="U232" i="39"/>
  <c r="T232" i="39"/>
  <c r="S232" i="39"/>
  <c r="R232" i="39"/>
  <c r="Q232" i="39"/>
  <c r="C232" i="39"/>
  <c r="F231" i="39"/>
  <c r="E267" i="39" s="1"/>
  <c r="E231" i="39"/>
  <c r="D267" i="39" s="1"/>
  <c r="D231" i="39"/>
  <c r="B231" i="39"/>
  <c r="AF267" i="39" s="1"/>
  <c r="D230" i="39"/>
  <c r="E230" i="39" s="1"/>
  <c r="F230" i="39" s="1"/>
  <c r="G230" i="39" s="1"/>
  <c r="H230" i="39" s="1"/>
  <c r="I230" i="39" s="1"/>
  <c r="J230" i="39" s="1"/>
  <c r="K230" i="39" s="1"/>
  <c r="L230" i="39" s="1"/>
  <c r="M230" i="39" s="1"/>
  <c r="N230" i="39" s="1"/>
  <c r="O230" i="39" s="1"/>
  <c r="P230" i="39" s="1"/>
  <c r="B230" i="39"/>
  <c r="F229" i="39"/>
  <c r="G229" i="39" s="1"/>
  <c r="H229" i="39" s="1"/>
  <c r="I229" i="39" s="1"/>
  <c r="E229" i="39"/>
  <c r="D229" i="39"/>
  <c r="B229" i="39"/>
  <c r="D228" i="39"/>
  <c r="E228" i="39" s="1"/>
  <c r="F228" i="39" s="1"/>
  <c r="G228" i="39" s="1"/>
  <c r="H228" i="39" s="1"/>
  <c r="B228" i="39"/>
  <c r="F227" i="39"/>
  <c r="G227" i="39" s="1"/>
  <c r="H227" i="39" s="1"/>
  <c r="I227" i="39" s="1"/>
  <c r="J227" i="39" s="1"/>
  <c r="K227" i="39" s="1"/>
  <c r="L227" i="39" s="1"/>
  <c r="M227" i="39" s="1"/>
  <c r="N227" i="39" s="1"/>
  <c r="O227" i="39" s="1"/>
  <c r="P227" i="39" s="1"/>
  <c r="E227" i="39"/>
  <c r="D227" i="39"/>
  <c r="B227" i="39"/>
  <c r="D226" i="39"/>
  <c r="D232" i="39" s="1"/>
  <c r="B226" i="39"/>
  <c r="B232" i="39" s="1"/>
  <c r="AG224" i="39"/>
  <c r="AF224" i="39"/>
  <c r="AE224" i="39"/>
  <c r="AD224" i="39"/>
  <c r="AC224" i="39"/>
  <c r="AB224" i="39"/>
  <c r="AA224" i="39"/>
  <c r="Z224" i="39"/>
  <c r="Y224" i="39"/>
  <c r="X224" i="39"/>
  <c r="W224" i="39"/>
  <c r="V224" i="39"/>
  <c r="U224" i="39"/>
  <c r="T224" i="39"/>
  <c r="S224" i="39"/>
  <c r="R224" i="39"/>
  <c r="Q224" i="39"/>
  <c r="P224" i="39"/>
  <c r="O224" i="39"/>
  <c r="N224" i="39"/>
  <c r="M224" i="39"/>
  <c r="L224" i="39"/>
  <c r="K224" i="39"/>
  <c r="J224" i="39"/>
  <c r="I224" i="39"/>
  <c r="H224" i="39"/>
  <c r="G224" i="39"/>
  <c r="F224" i="39"/>
  <c r="E224" i="39"/>
  <c r="D224" i="39"/>
  <c r="C224" i="39"/>
  <c r="B224" i="39"/>
  <c r="AI117" i="39"/>
  <c r="AH117" i="39"/>
  <c r="AI116" i="39"/>
  <c r="AH116" i="39"/>
  <c r="AI115" i="39"/>
  <c r="AH115" i="39"/>
  <c r="AI114" i="39"/>
  <c r="AH114" i="39"/>
  <c r="AI113" i="39"/>
  <c r="AH113" i="39"/>
  <c r="AI112" i="39"/>
  <c r="AH112" i="39"/>
  <c r="AD108" i="39"/>
  <c r="AI110" i="39"/>
  <c r="AH110" i="39"/>
  <c r="AI109" i="39"/>
  <c r="AH109" i="39"/>
  <c r="AF108" i="39"/>
  <c r="AE108" i="39"/>
  <c r="AC108" i="39"/>
  <c r="AB108" i="39"/>
  <c r="AA108" i="39"/>
  <c r="Z108" i="39"/>
  <c r="Y108" i="39"/>
  <c r="X108" i="39"/>
  <c r="W108" i="39"/>
  <c r="V108" i="39"/>
  <c r="U108" i="39"/>
  <c r="T108" i="39"/>
  <c r="S108" i="39"/>
  <c r="R108" i="39"/>
  <c r="Q108" i="39"/>
  <c r="D108" i="39"/>
  <c r="AI107" i="39"/>
  <c r="AH107" i="39"/>
  <c r="AI106" i="39"/>
  <c r="AH106" i="39"/>
  <c r="AI105" i="39"/>
  <c r="AH105" i="39"/>
  <c r="AI104" i="39"/>
  <c r="AH104" i="39"/>
  <c r="AI103" i="39"/>
  <c r="AH103" i="39"/>
  <c r="AI102" i="39"/>
  <c r="AH102" i="39"/>
  <c r="AI101" i="39"/>
  <c r="AH101" i="39"/>
  <c r="AI100" i="39"/>
  <c r="AH100" i="39"/>
  <c r="AI99" i="39"/>
  <c r="AH99" i="39"/>
  <c r="AI97" i="39"/>
  <c r="AH97" i="39"/>
  <c r="AI96" i="39"/>
  <c r="AH96" i="39"/>
  <c r="AI95" i="39"/>
  <c r="AH95" i="39"/>
  <c r="AI94" i="39"/>
  <c r="AH94" i="39"/>
  <c r="AI93" i="39"/>
  <c r="AH93" i="39"/>
  <c r="AI92" i="39"/>
  <c r="AH92" i="39"/>
  <c r="AI91" i="39"/>
  <c r="AH91" i="39"/>
  <c r="AI88" i="39"/>
  <c r="AH88" i="39"/>
  <c r="AI86" i="39"/>
  <c r="AH86" i="39"/>
  <c r="AG86" i="39"/>
  <c r="AI85" i="39"/>
  <c r="AH85" i="39"/>
  <c r="AI84" i="39"/>
  <c r="AH84" i="39"/>
  <c r="AI83" i="39"/>
  <c r="AH83" i="39"/>
  <c r="AN82" i="39"/>
  <c r="AG82" i="39"/>
  <c r="AF82" i="39"/>
  <c r="AF98" i="39" s="1"/>
  <c r="AE82" i="39"/>
  <c r="AE98" i="39" s="1"/>
  <c r="AD82" i="39"/>
  <c r="AD98" i="39" s="1"/>
  <c r="AC82" i="39"/>
  <c r="AC98" i="39" s="1"/>
  <c r="AB82" i="39"/>
  <c r="AB98" i="39" s="1"/>
  <c r="AA82" i="39"/>
  <c r="AA98" i="39" s="1"/>
  <c r="Z82" i="39"/>
  <c r="Z98" i="39" s="1"/>
  <c r="Y82" i="39"/>
  <c r="Y98" i="39" s="1"/>
  <c r="X82" i="39"/>
  <c r="X98" i="39" s="1"/>
  <c r="W82" i="39"/>
  <c r="W98" i="39" s="1"/>
  <c r="V82" i="39"/>
  <c r="V98" i="39" s="1"/>
  <c r="U82" i="39"/>
  <c r="U98" i="39" s="1"/>
  <c r="T82" i="39"/>
  <c r="T98" i="39" s="1"/>
  <c r="S98" i="39"/>
  <c r="R82" i="39"/>
  <c r="R98" i="39" s="1"/>
  <c r="Q82" i="39"/>
  <c r="Q98" i="39" s="1"/>
  <c r="P82" i="39"/>
  <c r="P98" i="39" s="1"/>
  <c r="O82" i="39"/>
  <c r="O98" i="39" s="1"/>
  <c r="N82" i="39"/>
  <c r="N98" i="39" s="1"/>
  <c r="M82" i="39"/>
  <c r="M98" i="39" s="1"/>
  <c r="J82" i="39"/>
  <c r="J98" i="39" s="1"/>
  <c r="I82" i="39"/>
  <c r="I98" i="39" s="1"/>
  <c r="D82" i="39"/>
  <c r="D98" i="39" s="1"/>
  <c r="AI81" i="39"/>
  <c r="AH81" i="39"/>
  <c r="AN80" i="39"/>
  <c r="AI80" i="39"/>
  <c r="AH80" i="39"/>
  <c r="AN79" i="39"/>
  <c r="AN81" i="39" s="1"/>
  <c r="AI79" i="39"/>
  <c r="AH79" i="39"/>
  <c r="AI78" i="39"/>
  <c r="AH78" i="39"/>
  <c r="AI77" i="39"/>
  <c r="AH77" i="39"/>
  <c r="AI76" i="39"/>
  <c r="AH76" i="39"/>
  <c r="AI75" i="39"/>
  <c r="AH75" i="39"/>
  <c r="AI74" i="39"/>
  <c r="AH74" i="39"/>
  <c r="AI73" i="39"/>
  <c r="AH73" i="39"/>
  <c r="AI72" i="39"/>
  <c r="AH72" i="39"/>
  <c r="AI71" i="39"/>
  <c r="AH71" i="39"/>
  <c r="AG70" i="39"/>
  <c r="AF70" i="39"/>
  <c r="AE70" i="39"/>
  <c r="AD70" i="39"/>
  <c r="AC70" i="39"/>
  <c r="AB70" i="39"/>
  <c r="AA70" i="39"/>
  <c r="Z70" i="39"/>
  <c r="Y70" i="39"/>
  <c r="X70" i="39"/>
  <c r="W70" i="39"/>
  <c r="V70" i="39"/>
  <c r="U70" i="39"/>
  <c r="T70" i="39"/>
  <c r="R70" i="39"/>
  <c r="Q70" i="39"/>
  <c r="P70" i="39"/>
  <c r="O70" i="39"/>
  <c r="N70" i="39"/>
  <c r="M70" i="39"/>
  <c r="AI69" i="39"/>
  <c r="AH69" i="39"/>
  <c r="AI68" i="39"/>
  <c r="AH68" i="39"/>
  <c r="AI67" i="39"/>
  <c r="AH67" i="39"/>
  <c r="AG66" i="39"/>
  <c r="AF66" i="39"/>
  <c r="AE66" i="39"/>
  <c r="AD66" i="39"/>
  <c r="AC66" i="39"/>
  <c r="AB66" i="39"/>
  <c r="AA66" i="39"/>
  <c r="Z66" i="39"/>
  <c r="Y66" i="39"/>
  <c r="X66" i="39"/>
  <c r="W66" i="39"/>
  <c r="V66" i="39"/>
  <c r="U66" i="39"/>
  <c r="T66" i="39"/>
  <c r="R66" i="39"/>
  <c r="Q66" i="39"/>
  <c r="P66" i="39"/>
  <c r="O66" i="39"/>
  <c r="N66" i="39"/>
  <c r="M66" i="39"/>
  <c r="J66" i="39"/>
  <c r="I66" i="39"/>
  <c r="D66" i="39"/>
  <c r="AI65" i="39"/>
  <c r="AH65" i="39"/>
  <c r="AG65" i="39"/>
  <c r="AI64" i="39"/>
  <c r="AH64" i="39"/>
  <c r="AI63" i="39"/>
  <c r="AH63" i="39"/>
  <c r="AI62" i="39"/>
  <c r="AH62" i="39"/>
  <c r="AI61" i="39"/>
  <c r="AH61" i="39"/>
  <c r="AI60" i="39"/>
  <c r="AH60" i="39"/>
  <c r="AI59" i="39"/>
  <c r="AH59" i="39"/>
  <c r="AI58" i="39"/>
  <c r="AH58" i="39"/>
  <c r="AI57" i="39"/>
  <c r="AH57" i="39"/>
  <c r="AI56" i="39"/>
  <c r="AH56" i="39"/>
  <c r="AI55" i="39"/>
  <c r="AH55" i="39"/>
  <c r="AI54" i="39"/>
  <c r="AH54" i="39"/>
  <c r="AI53" i="39"/>
  <c r="AH53" i="39"/>
  <c r="AG52" i="39"/>
  <c r="AF52" i="39"/>
  <c r="AE52" i="39"/>
  <c r="AD52" i="39"/>
  <c r="AC52" i="39"/>
  <c r="AB52" i="39"/>
  <c r="AA52" i="39"/>
  <c r="Z52" i="39"/>
  <c r="Y52" i="39"/>
  <c r="X52" i="39"/>
  <c r="W52" i="39"/>
  <c r="V52" i="39"/>
  <c r="U52" i="39"/>
  <c r="T52" i="39"/>
  <c r="R52" i="39"/>
  <c r="Q52" i="39"/>
  <c r="P52" i="39"/>
  <c r="O52" i="39"/>
  <c r="N52" i="39"/>
  <c r="M52" i="39"/>
  <c r="J52" i="39"/>
  <c r="I52" i="39"/>
  <c r="D52" i="39"/>
  <c r="AI51" i="39"/>
  <c r="AH51" i="39"/>
  <c r="AI50" i="39"/>
  <c r="AH50" i="39"/>
  <c r="AI49" i="39"/>
  <c r="AH49" i="39"/>
  <c r="AG48" i="39"/>
  <c r="AF48" i="39"/>
  <c r="AE48" i="39"/>
  <c r="AD48" i="39"/>
  <c r="AC48" i="39"/>
  <c r="AB48" i="39"/>
  <c r="AA48" i="39"/>
  <c r="Z48" i="39"/>
  <c r="Y48" i="39"/>
  <c r="X48" i="39"/>
  <c r="W48" i="39"/>
  <c r="V48" i="39"/>
  <c r="U48" i="39"/>
  <c r="T48" i="39"/>
  <c r="R48" i="39"/>
  <c r="Q48" i="39"/>
  <c r="P48" i="39"/>
  <c r="O48" i="39"/>
  <c r="N48" i="39"/>
  <c r="M48" i="39"/>
  <c r="J48" i="39"/>
  <c r="I48" i="39"/>
  <c r="D48" i="39"/>
  <c r="AI47" i="39"/>
  <c r="AH47" i="39"/>
  <c r="AI46" i="39"/>
  <c r="AH46" i="39"/>
  <c r="AI45" i="39"/>
  <c r="AH45" i="39"/>
  <c r="AI44" i="39"/>
  <c r="AH44" i="39"/>
  <c r="AI43" i="39"/>
  <c r="AH43" i="39"/>
  <c r="AI42" i="39"/>
  <c r="AH42" i="39"/>
  <c r="AI41" i="39"/>
  <c r="AH41" i="39"/>
  <c r="AI40" i="39"/>
  <c r="AH40" i="39"/>
  <c r="AI39" i="39"/>
  <c r="AH39" i="39"/>
  <c r="AI38" i="39"/>
  <c r="AH38" i="39"/>
  <c r="AI37" i="39"/>
  <c r="AH37" i="39"/>
  <c r="AI36" i="39"/>
  <c r="AH36" i="39"/>
  <c r="AI35" i="39"/>
  <c r="AH35" i="39"/>
  <c r="AI34" i="39"/>
  <c r="AH34" i="39"/>
  <c r="AI33" i="39"/>
  <c r="AH33" i="39"/>
  <c r="AI32" i="39"/>
  <c r="AH32" i="39"/>
  <c r="AI31" i="39"/>
  <c r="AH31" i="39"/>
  <c r="AI30" i="39"/>
  <c r="AH30" i="39"/>
  <c r="AI29" i="39"/>
  <c r="AH29" i="39"/>
  <c r="AI28" i="39"/>
  <c r="AH28" i="39"/>
  <c r="AI27" i="39"/>
  <c r="AH27" i="39"/>
  <c r="AI26" i="39"/>
  <c r="AH26" i="39"/>
  <c r="AI25" i="39"/>
  <c r="AH25" i="39"/>
  <c r="AI24" i="39"/>
  <c r="AH24" i="39"/>
  <c r="AI23" i="39"/>
  <c r="AH23" i="39"/>
  <c r="AI22" i="39"/>
  <c r="AH22" i="39"/>
  <c r="AI21" i="39"/>
  <c r="AH21" i="39"/>
  <c r="AI20" i="39"/>
  <c r="AH20" i="39"/>
  <c r="AI19" i="39"/>
  <c r="AH19" i="39"/>
  <c r="AI18" i="39"/>
  <c r="AH18" i="39"/>
  <c r="AI17" i="39"/>
  <c r="AH17" i="39"/>
  <c r="AI16" i="39"/>
  <c r="AH16" i="39"/>
  <c r="AI15" i="39"/>
  <c r="AH15" i="39"/>
  <c r="AI14" i="39"/>
  <c r="AH14" i="39"/>
  <c r="AI13" i="39"/>
  <c r="AH13" i="39"/>
  <c r="AI12" i="39"/>
  <c r="AH12" i="39"/>
  <c r="AI11" i="39"/>
  <c r="AH11" i="39"/>
  <c r="K5" i="39"/>
  <c r="F5" i="39"/>
  <c r="AG4" i="39"/>
  <c r="AG6" i="39" s="1"/>
  <c r="K4" i="39"/>
  <c r="E4" i="39"/>
  <c r="H4" i="39" s="1"/>
  <c r="B4" i="39"/>
  <c r="S243" i="39" s="1"/>
  <c r="AG3" i="39"/>
  <c r="AG2" i="39"/>
  <c r="AF271" i="38"/>
  <c r="AE271" i="38"/>
  <c r="AD271" i="38"/>
  <c r="AC271" i="38"/>
  <c r="AB271" i="38"/>
  <c r="AA271" i="38"/>
  <c r="Z271" i="38"/>
  <c r="Y271" i="38"/>
  <c r="X271" i="38"/>
  <c r="W271" i="38"/>
  <c r="V271" i="38"/>
  <c r="U271" i="38"/>
  <c r="T271" i="38"/>
  <c r="S271" i="38"/>
  <c r="R271" i="38"/>
  <c r="Q271" i="38"/>
  <c r="P271" i="38"/>
  <c r="O271" i="38"/>
  <c r="N271" i="38"/>
  <c r="M271" i="38"/>
  <c r="L271" i="38"/>
  <c r="K271" i="38"/>
  <c r="J271" i="38"/>
  <c r="I271" i="38"/>
  <c r="H271" i="38"/>
  <c r="G271" i="38"/>
  <c r="F271" i="38"/>
  <c r="E271" i="38"/>
  <c r="D271" i="38"/>
  <c r="C271" i="38"/>
  <c r="B271" i="38"/>
  <c r="A271" i="38"/>
  <c r="AF270" i="38"/>
  <c r="AE270" i="38"/>
  <c r="AD270" i="38"/>
  <c r="AC270" i="38"/>
  <c r="AB270" i="38"/>
  <c r="AA270" i="38"/>
  <c r="Z270" i="38"/>
  <c r="Y270" i="38"/>
  <c r="X270" i="38"/>
  <c r="W270" i="38"/>
  <c r="V270" i="38"/>
  <c r="U270" i="38"/>
  <c r="T270" i="38"/>
  <c r="S270" i="38"/>
  <c r="R270" i="38"/>
  <c r="Q270" i="38"/>
  <c r="P270" i="38"/>
  <c r="O270" i="38"/>
  <c r="N270" i="38"/>
  <c r="M270" i="38"/>
  <c r="L270" i="38"/>
  <c r="K270" i="38"/>
  <c r="J270" i="38"/>
  <c r="I270" i="38"/>
  <c r="H270" i="38"/>
  <c r="G270" i="38"/>
  <c r="F270" i="38"/>
  <c r="E270" i="38"/>
  <c r="D270" i="38"/>
  <c r="C270" i="38"/>
  <c r="B270" i="38"/>
  <c r="A270" i="38"/>
  <c r="AF269" i="38"/>
  <c r="AE269" i="38"/>
  <c r="AD269" i="38"/>
  <c r="AC269" i="38"/>
  <c r="AB269" i="38"/>
  <c r="AA269" i="38"/>
  <c r="Z269" i="38"/>
  <c r="Y269" i="38"/>
  <c r="X269" i="38"/>
  <c r="W269" i="38"/>
  <c r="V269" i="38"/>
  <c r="U269" i="38"/>
  <c r="T269" i="38"/>
  <c r="S269" i="38"/>
  <c r="R269" i="38"/>
  <c r="Q269" i="38"/>
  <c r="P269" i="38"/>
  <c r="O269" i="38"/>
  <c r="N269" i="38"/>
  <c r="M269" i="38"/>
  <c r="L269" i="38"/>
  <c r="K269" i="38"/>
  <c r="J269" i="38"/>
  <c r="I269" i="38"/>
  <c r="H269" i="38"/>
  <c r="G269" i="38"/>
  <c r="F269" i="38"/>
  <c r="E269" i="38"/>
  <c r="D269" i="38"/>
  <c r="C269" i="38"/>
  <c r="B269" i="38"/>
  <c r="A269" i="38"/>
  <c r="AF268" i="38"/>
  <c r="AE268" i="38"/>
  <c r="AD268" i="38"/>
  <c r="AC268" i="38"/>
  <c r="AB268" i="38"/>
  <c r="AA268" i="38"/>
  <c r="Z268" i="38"/>
  <c r="Y268" i="38"/>
  <c r="X268" i="38"/>
  <c r="W268" i="38"/>
  <c r="V268" i="38"/>
  <c r="U268" i="38"/>
  <c r="T268" i="38"/>
  <c r="S268" i="38"/>
  <c r="R268" i="38"/>
  <c r="Q268" i="38"/>
  <c r="P268" i="38"/>
  <c r="O268" i="38"/>
  <c r="N268" i="38"/>
  <c r="M268" i="38"/>
  <c r="L268" i="38"/>
  <c r="K268" i="38"/>
  <c r="J268" i="38"/>
  <c r="I268" i="38"/>
  <c r="H268" i="38"/>
  <c r="G268" i="38"/>
  <c r="F268" i="38"/>
  <c r="E268" i="38"/>
  <c r="D268" i="38"/>
  <c r="C268" i="38"/>
  <c r="B268" i="38"/>
  <c r="A268" i="38"/>
  <c r="AE267" i="38"/>
  <c r="AD267" i="38"/>
  <c r="AC267" i="38"/>
  <c r="AB267" i="38"/>
  <c r="AA267" i="38"/>
  <c r="Z267" i="38"/>
  <c r="Y267" i="38"/>
  <c r="X267" i="38"/>
  <c r="W267" i="38"/>
  <c r="V267" i="38"/>
  <c r="U267" i="38"/>
  <c r="T267" i="38"/>
  <c r="S267" i="38"/>
  <c r="R267" i="38"/>
  <c r="Q267" i="38"/>
  <c r="P267" i="38"/>
  <c r="B267" i="38"/>
  <c r="S242" i="38"/>
  <c r="AG232" i="38"/>
  <c r="AF232" i="38"/>
  <c r="AE232" i="38"/>
  <c r="AD232" i="38"/>
  <c r="AC232" i="38"/>
  <c r="AB232" i="38"/>
  <c r="AA232" i="38"/>
  <c r="Z232" i="38"/>
  <c r="Y232" i="38"/>
  <c r="X232" i="38"/>
  <c r="W232" i="38"/>
  <c r="V232" i="38"/>
  <c r="U232" i="38"/>
  <c r="T232" i="38"/>
  <c r="S232" i="38"/>
  <c r="R232" i="38"/>
  <c r="Q232" i="38"/>
  <c r="C232" i="38"/>
  <c r="D231" i="38"/>
  <c r="D108" i="38" s="1"/>
  <c r="B231" i="38"/>
  <c r="AF267" i="38" s="1"/>
  <c r="E230" i="38"/>
  <c r="F230" i="38" s="1"/>
  <c r="G230" i="38" s="1"/>
  <c r="H230" i="38" s="1"/>
  <c r="I230" i="38" s="1"/>
  <c r="J230" i="38" s="1"/>
  <c r="K230" i="38" s="1"/>
  <c r="L230" i="38" s="1"/>
  <c r="M230" i="38" s="1"/>
  <c r="N230" i="38" s="1"/>
  <c r="O230" i="38" s="1"/>
  <c r="P230" i="38" s="1"/>
  <c r="D230" i="38"/>
  <c r="B230" i="38"/>
  <c r="H229" i="38"/>
  <c r="I229" i="38" s="1"/>
  <c r="G229" i="38"/>
  <c r="F229" i="38"/>
  <c r="E229" i="38"/>
  <c r="D229" i="38"/>
  <c r="B229" i="38"/>
  <c r="F228" i="38"/>
  <c r="G228" i="38" s="1"/>
  <c r="H228" i="38" s="1"/>
  <c r="E228" i="38"/>
  <c r="D228" i="38"/>
  <c r="B228" i="38"/>
  <c r="D227" i="38"/>
  <c r="D232" i="38" s="1"/>
  <c r="B227" i="38"/>
  <c r="E226" i="38"/>
  <c r="F226" i="38" s="1"/>
  <c r="D226" i="38"/>
  <c r="B226" i="38"/>
  <c r="B232" i="38" s="1"/>
  <c r="AG224" i="38"/>
  <c r="AF224" i="38"/>
  <c r="AE224" i="38"/>
  <c r="AD224" i="38"/>
  <c r="AC224" i="38"/>
  <c r="AB224" i="38"/>
  <c r="AA224" i="38"/>
  <c r="Z224" i="38"/>
  <c r="Y224" i="38"/>
  <c r="X224" i="38"/>
  <c r="W224" i="38"/>
  <c r="V224" i="38"/>
  <c r="U224" i="38"/>
  <c r="T224" i="38"/>
  <c r="S224" i="38"/>
  <c r="R224" i="38"/>
  <c r="Q224" i="38"/>
  <c r="P224" i="38"/>
  <c r="O224" i="38"/>
  <c r="N224" i="38"/>
  <c r="M224" i="38"/>
  <c r="L224" i="38"/>
  <c r="K224" i="38"/>
  <c r="J224" i="38"/>
  <c r="I224" i="38"/>
  <c r="H224" i="38"/>
  <c r="G224" i="38"/>
  <c r="F224" i="38"/>
  <c r="E224" i="38"/>
  <c r="D224" i="38"/>
  <c r="C224" i="38"/>
  <c r="B224" i="38"/>
  <c r="AI117" i="38"/>
  <c r="AH117" i="38"/>
  <c r="AI116" i="38"/>
  <c r="AH116" i="38"/>
  <c r="AI115" i="38"/>
  <c r="AH115" i="38"/>
  <c r="AI114" i="38"/>
  <c r="AH114" i="38"/>
  <c r="AI113" i="38"/>
  <c r="AH113" i="38"/>
  <c r="AI112" i="38"/>
  <c r="AH112" i="38"/>
  <c r="AB108" i="38"/>
  <c r="AI110" i="38"/>
  <c r="AH110" i="38"/>
  <c r="AI109" i="38"/>
  <c r="AH109" i="38"/>
  <c r="AF108" i="38"/>
  <c r="AE108" i="38"/>
  <c r="AD108" i="38"/>
  <c r="AC108" i="38"/>
  <c r="AA108" i="38"/>
  <c r="Z108" i="38"/>
  <c r="Y108" i="38"/>
  <c r="X108" i="38"/>
  <c r="W108" i="38"/>
  <c r="V108" i="38"/>
  <c r="U108" i="38"/>
  <c r="T108" i="38"/>
  <c r="S108" i="38"/>
  <c r="R108" i="38"/>
  <c r="Q108" i="38"/>
  <c r="C108" i="38"/>
  <c r="B108" i="38"/>
  <c r="AI107" i="38"/>
  <c r="AH107" i="38"/>
  <c r="AI106" i="38"/>
  <c r="AH106" i="38"/>
  <c r="AI105" i="38"/>
  <c r="AH105" i="38"/>
  <c r="AI104" i="38"/>
  <c r="AH104" i="38"/>
  <c r="AI103" i="38"/>
  <c r="AH103" i="38"/>
  <c r="AI102" i="38"/>
  <c r="AH102" i="38"/>
  <c r="AI101" i="38"/>
  <c r="AH101" i="38"/>
  <c r="AI100" i="38"/>
  <c r="AH100" i="38"/>
  <c r="AI99" i="38"/>
  <c r="AH99" i="38"/>
  <c r="Q98" i="38"/>
  <c r="AI97" i="38"/>
  <c r="AH97" i="38"/>
  <c r="AI96" i="38"/>
  <c r="AH96" i="38"/>
  <c r="AI95" i="38"/>
  <c r="AH95" i="38"/>
  <c r="AI94" i="38"/>
  <c r="AH94" i="38"/>
  <c r="AI93" i="38"/>
  <c r="AH93" i="38"/>
  <c r="AI92" i="38"/>
  <c r="AH92" i="38"/>
  <c r="AI91" i="38"/>
  <c r="AH91" i="38"/>
  <c r="AI88" i="38"/>
  <c r="AH88" i="38"/>
  <c r="AI86" i="38"/>
  <c r="AH86" i="38"/>
  <c r="AG86" i="38"/>
  <c r="AI85" i="38"/>
  <c r="AH85" i="38"/>
  <c r="AI84" i="38"/>
  <c r="AH84" i="38"/>
  <c r="AI83" i="38"/>
  <c r="AH83" i="38"/>
  <c r="AN82" i="38"/>
  <c r="AG82" i="38"/>
  <c r="AF82" i="38"/>
  <c r="AF98" i="38" s="1"/>
  <c r="AE82" i="38"/>
  <c r="AE98" i="38" s="1"/>
  <c r="AD82" i="38"/>
  <c r="AD98" i="38" s="1"/>
  <c r="AC82" i="38"/>
  <c r="AC98" i="38" s="1"/>
  <c r="AB82" i="38"/>
  <c r="AB98" i="38" s="1"/>
  <c r="AA82" i="38"/>
  <c r="AA98" i="38" s="1"/>
  <c r="Z82" i="38"/>
  <c r="Y5" i="38" s="1"/>
  <c r="Y82" i="38"/>
  <c r="X5" i="38" s="1"/>
  <c r="X82" i="38"/>
  <c r="X98" i="38" s="1"/>
  <c r="W82" i="38"/>
  <c r="W98" i="38" s="1"/>
  <c r="V82" i="38"/>
  <c r="V98" i="38" s="1"/>
  <c r="U82" i="38"/>
  <c r="U98" i="38" s="1"/>
  <c r="T82" i="38"/>
  <c r="T98" i="38" s="1"/>
  <c r="S82" i="38"/>
  <c r="S98" i="38" s="1"/>
  <c r="R82" i="38"/>
  <c r="Q5" i="38" s="1"/>
  <c r="Q82" i="38"/>
  <c r="P5" i="38" s="1"/>
  <c r="P82" i="38"/>
  <c r="P98" i="38" s="1"/>
  <c r="O82" i="38"/>
  <c r="O98" i="38" s="1"/>
  <c r="N82" i="38"/>
  <c r="N98" i="38" s="1"/>
  <c r="M82" i="38"/>
  <c r="M98" i="38" s="1"/>
  <c r="L82" i="38"/>
  <c r="L98" i="38" s="1"/>
  <c r="K82" i="38"/>
  <c r="K98" i="38" s="1"/>
  <c r="J82" i="38"/>
  <c r="I5" i="38" s="1"/>
  <c r="I82" i="38"/>
  <c r="I98" i="38" s="1"/>
  <c r="H82" i="38"/>
  <c r="H98" i="38" s="1"/>
  <c r="G82" i="38"/>
  <c r="G98" i="38" s="1"/>
  <c r="F82" i="38"/>
  <c r="F98" i="38" s="1"/>
  <c r="E82" i="38"/>
  <c r="E98" i="38" s="1"/>
  <c r="D82" i="38"/>
  <c r="D98" i="38" s="1"/>
  <c r="C82" i="38"/>
  <c r="C98" i="38" s="1"/>
  <c r="B82" i="38"/>
  <c r="AF5" i="38" s="1"/>
  <c r="AI81" i="38"/>
  <c r="AH81" i="38"/>
  <c r="AN80" i="38"/>
  <c r="AI80" i="38"/>
  <c r="AH80" i="38"/>
  <c r="AN79" i="38"/>
  <c r="AN81" i="38" s="1"/>
  <c r="AI79" i="38"/>
  <c r="AH79" i="38"/>
  <c r="AI78" i="38"/>
  <c r="AH78" i="38"/>
  <c r="AI77" i="38"/>
  <c r="AH77" i="38"/>
  <c r="AI76" i="38"/>
  <c r="AH76" i="38"/>
  <c r="AI75" i="38"/>
  <c r="AH75" i="38"/>
  <c r="AI74" i="38"/>
  <c r="AH74" i="38"/>
  <c r="AI73" i="38"/>
  <c r="AH73" i="38"/>
  <c r="AI72" i="38"/>
  <c r="AH72" i="38"/>
  <c r="AI71" i="38"/>
  <c r="AH71" i="38"/>
  <c r="AG70" i="38"/>
  <c r="AF70" i="38"/>
  <c r="AE70" i="38"/>
  <c r="AD70" i="38"/>
  <c r="AC70" i="38"/>
  <c r="AB70" i="38"/>
  <c r="AA70" i="38"/>
  <c r="Z70" i="38"/>
  <c r="Y70" i="38"/>
  <c r="X70" i="38"/>
  <c r="W70" i="38"/>
  <c r="V70" i="38"/>
  <c r="U70" i="38"/>
  <c r="T70" i="38"/>
  <c r="S70" i="38"/>
  <c r="R70" i="38"/>
  <c r="Q70" i="38"/>
  <c r="P70" i="38"/>
  <c r="O70" i="38"/>
  <c r="N70" i="38"/>
  <c r="M70" i="38"/>
  <c r="L70" i="38"/>
  <c r="B70" i="38"/>
  <c r="AI69" i="38"/>
  <c r="AH69" i="38"/>
  <c r="AI68" i="38"/>
  <c r="AH68" i="38"/>
  <c r="AI67" i="38"/>
  <c r="AH67" i="38"/>
  <c r="AF66" i="38"/>
  <c r="AE66" i="38"/>
  <c r="AD66" i="38"/>
  <c r="AC66" i="38"/>
  <c r="AB66" i="38"/>
  <c r="AA66" i="38"/>
  <c r="Z66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AI65" i="38"/>
  <c r="AH65" i="38"/>
  <c r="AG65" i="38"/>
  <c r="AG66" i="38" s="1"/>
  <c r="AG3" i="38" s="1"/>
  <c r="AI64" i="38"/>
  <c r="AH64" i="38"/>
  <c r="AI63" i="38"/>
  <c r="AH63" i="38"/>
  <c r="AI62" i="38"/>
  <c r="AH62" i="38"/>
  <c r="AI61" i="38"/>
  <c r="AH61" i="38"/>
  <c r="AI60" i="38"/>
  <c r="AH60" i="38"/>
  <c r="AI59" i="38"/>
  <c r="AH59" i="38"/>
  <c r="AI58" i="38"/>
  <c r="AH58" i="38"/>
  <c r="AI57" i="38"/>
  <c r="AH57" i="38"/>
  <c r="AI56" i="38"/>
  <c r="AH56" i="38"/>
  <c r="AI55" i="38"/>
  <c r="AH55" i="38"/>
  <c r="AI54" i="38"/>
  <c r="AH54" i="38"/>
  <c r="AI53" i="38"/>
  <c r="AH53" i="38"/>
  <c r="AG52" i="38"/>
  <c r="AF52" i="38"/>
  <c r="AE52" i="38"/>
  <c r="AD52" i="38"/>
  <c r="AC52" i="38"/>
  <c r="AB52" i="38"/>
  <c r="AA52" i="38"/>
  <c r="Z52" i="38"/>
  <c r="Y52" i="38"/>
  <c r="X52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AI51" i="38"/>
  <c r="AH51" i="38"/>
  <c r="AI50" i="38"/>
  <c r="AH50" i="38"/>
  <c r="AI49" i="38"/>
  <c r="AH49" i="38"/>
  <c r="AG48" i="38"/>
  <c r="AG2" i="38" s="1"/>
  <c r="AF48" i="38"/>
  <c r="AE48" i="38"/>
  <c r="AD48" i="38"/>
  <c r="AC48" i="38"/>
  <c r="AC87" i="38" s="1"/>
  <c r="AC89" i="38" s="1"/>
  <c r="AB48" i="38"/>
  <c r="AB87" i="38" s="1"/>
  <c r="AB89" i="38" s="1"/>
  <c r="AA48" i="38"/>
  <c r="Z48" i="38"/>
  <c r="Y48" i="38"/>
  <c r="X48" i="38"/>
  <c r="W48" i="38"/>
  <c r="V48" i="38"/>
  <c r="U48" i="38"/>
  <c r="U87" i="38" s="1"/>
  <c r="U89" i="38" s="1"/>
  <c r="T48" i="38"/>
  <c r="T87" i="38" s="1"/>
  <c r="T89" i="38" s="1"/>
  <c r="S48" i="38"/>
  <c r="R48" i="38"/>
  <c r="Q48" i="38"/>
  <c r="P48" i="38"/>
  <c r="O48" i="38"/>
  <c r="N48" i="38"/>
  <c r="M48" i="38"/>
  <c r="M87" i="38" s="1"/>
  <c r="M89" i="38" s="1"/>
  <c r="L48" i="38"/>
  <c r="L87" i="38" s="1"/>
  <c r="L89" i="38" s="1"/>
  <c r="K48" i="38"/>
  <c r="J48" i="38"/>
  <c r="I48" i="38"/>
  <c r="H48" i="38"/>
  <c r="G48" i="38"/>
  <c r="F48" i="38"/>
  <c r="E48" i="38"/>
  <c r="E87" i="38" s="1"/>
  <c r="E89" i="38" s="1"/>
  <c r="D48" i="38"/>
  <c r="C48" i="38"/>
  <c r="B48" i="38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1" i="38"/>
  <c r="AH41" i="38"/>
  <c r="AI40" i="38"/>
  <c r="AH40" i="38"/>
  <c r="AI39" i="38"/>
  <c r="AH39" i="38"/>
  <c r="AI38" i="38"/>
  <c r="AH38" i="38"/>
  <c r="AI37" i="38"/>
  <c r="AH37" i="38"/>
  <c r="AI36" i="38"/>
  <c r="AH36" i="38"/>
  <c r="AI35" i="38"/>
  <c r="AH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AI23" i="38"/>
  <c r="AH23" i="38"/>
  <c r="AI22" i="38"/>
  <c r="AH22" i="38"/>
  <c r="AI21" i="38"/>
  <c r="AH21" i="38"/>
  <c r="AI20" i="38"/>
  <c r="AH20" i="38"/>
  <c r="AI19" i="38"/>
  <c r="AH19" i="38"/>
  <c r="AI18" i="38"/>
  <c r="AH18" i="38"/>
  <c r="AI17" i="38"/>
  <c r="AH17" i="38"/>
  <c r="AI16" i="38"/>
  <c r="AH16" i="38"/>
  <c r="AI15" i="38"/>
  <c r="AH15" i="38"/>
  <c r="AI14" i="38"/>
  <c r="AH14" i="38"/>
  <c r="AI13" i="38"/>
  <c r="AH13" i="38"/>
  <c r="AI12" i="38"/>
  <c r="AH12" i="38"/>
  <c r="AI11" i="38"/>
  <c r="AH11" i="38"/>
  <c r="AD5" i="38"/>
  <c r="AB5" i="38"/>
  <c r="AA5" i="38"/>
  <c r="Z5" i="38"/>
  <c r="V5" i="38"/>
  <c r="T5" i="38"/>
  <c r="S5" i="38"/>
  <c r="R5" i="38"/>
  <c r="N5" i="38"/>
  <c r="L5" i="38"/>
  <c r="K5" i="38"/>
  <c r="J5" i="38"/>
  <c r="H5" i="38"/>
  <c r="F5" i="38"/>
  <c r="D5" i="38"/>
  <c r="AG4" i="38"/>
  <c r="K4" i="38"/>
  <c r="E4" i="38"/>
  <c r="H4" i="38" s="1"/>
  <c r="B4" i="38"/>
  <c r="S243" i="38" s="1"/>
  <c r="C5" i="38" l="1"/>
  <c r="D87" i="38"/>
  <c r="D89" i="38" s="1"/>
  <c r="B5" i="38"/>
  <c r="AI52" i="38"/>
  <c r="AG87" i="39"/>
  <c r="AG89" i="39"/>
  <c r="AE5" i="39"/>
  <c r="AD5" i="39"/>
  <c r="AE87" i="39"/>
  <c r="AE89" i="39" s="1"/>
  <c r="AC87" i="39"/>
  <c r="AC89" i="39" s="1"/>
  <c r="AC90" i="39" s="1"/>
  <c r="AA5" i="39"/>
  <c r="Z5" i="39"/>
  <c r="X5" i="39"/>
  <c r="W5" i="39"/>
  <c r="V5" i="39"/>
  <c r="W87" i="39"/>
  <c r="W89" i="39" s="1"/>
  <c r="AO246" i="39" s="1"/>
  <c r="U87" i="39"/>
  <c r="U89" i="39" s="1"/>
  <c r="AM246" i="39" s="1"/>
  <c r="S5" i="39"/>
  <c r="R5" i="39"/>
  <c r="AI70" i="39"/>
  <c r="P5" i="39"/>
  <c r="O5" i="39"/>
  <c r="N5" i="39"/>
  <c r="O87" i="39"/>
  <c r="O89" i="39" s="1"/>
  <c r="M87" i="39"/>
  <c r="M89" i="39" s="1"/>
  <c r="AE246" i="39" s="1"/>
  <c r="L87" i="39"/>
  <c r="J5" i="39"/>
  <c r="K87" i="39"/>
  <c r="K89" i="39" s="1"/>
  <c r="K90" i="39" s="1"/>
  <c r="H5" i="39"/>
  <c r="F98" i="39"/>
  <c r="G87" i="39"/>
  <c r="G89" i="39" s="1"/>
  <c r="G90" i="39" s="1"/>
  <c r="AI111" i="39"/>
  <c r="E87" i="39"/>
  <c r="E89" i="39" s="1"/>
  <c r="E90" i="39" s="1"/>
  <c r="C5" i="39"/>
  <c r="D87" i="39"/>
  <c r="D89" i="39" s="1"/>
  <c r="V246" i="39" s="1"/>
  <c r="F87" i="38"/>
  <c r="F89" i="38" s="1"/>
  <c r="X246" i="38" s="1"/>
  <c r="V87" i="38"/>
  <c r="V89" i="38" s="1"/>
  <c r="AD87" i="38"/>
  <c r="AD89" i="38" s="1"/>
  <c r="AV246" i="38" s="1"/>
  <c r="Y98" i="38"/>
  <c r="AC5" i="38"/>
  <c r="U5" i="38"/>
  <c r="M5" i="38"/>
  <c r="AE5" i="38"/>
  <c r="G87" i="38"/>
  <c r="G89" i="38" s="1"/>
  <c r="G7" i="38" s="1"/>
  <c r="AH82" i="38"/>
  <c r="E5" i="38"/>
  <c r="W5" i="38"/>
  <c r="O5" i="38"/>
  <c r="G5" i="38"/>
  <c r="O87" i="38"/>
  <c r="O89" i="38" s="1"/>
  <c r="O90" i="38" s="1"/>
  <c r="W87" i="38"/>
  <c r="W89" i="38" s="1"/>
  <c r="AO246" i="38" s="1"/>
  <c r="AE87" i="38"/>
  <c r="AE89" i="38" s="1"/>
  <c r="AW246" i="38" s="1"/>
  <c r="AI70" i="38"/>
  <c r="AI66" i="38"/>
  <c r="H87" i="38"/>
  <c r="H89" i="38" s="1"/>
  <c r="Z246" i="38" s="1"/>
  <c r="P87" i="38"/>
  <c r="P89" i="38" s="1"/>
  <c r="AH246" i="38" s="1"/>
  <c r="X87" i="38"/>
  <c r="X89" i="38" s="1"/>
  <c r="X90" i="38" s="1"/>
  <c r="AF87" i="38"/>
  <c r="AF89" i="38" s="1"/>
  <c r="AF90" i="38" s="1"/>
  <c r="N87" i="38"/>
  <c r="N89" i="38" s="1"/>
  <c r="N7" i="38" s="1"/>
  <c r="B87" i="38"/>
  <c r="B89" i="38" s="1"/>
  <c r="J87" i="38"/>
  <c r="J89" i="38" s="1"/>
  <c r="J7" i="38" s="1"/>
  <c r="R87" i="38"/>
  <c r="R89" i="38" s="1"/>
  <c r="R90" i="38" s="1"/>
  <c r="Z87" i="38"/>
  <c r="Z89" i="38" s="1"/>
  <c r="Z90" i="38" s="1"/>
  <c r="I87" i="38"/>
  <c r="I89" i="38" s="1"/>
  <c r="I90" i="38" s="1"/>
  <c r="Q87" i="38"/>
  <c r="Q89" i="38" s="1"/>
  <c r="Q7" i="38" s="1"/>
  <c r="Y87" i="38"/>
  <c r="Y89" i="38" s="1"/>
  <c r="Y7" i="38" s="1"/>
  <c r="C87" i="38"/>
  <c r="C89" i="38" s="1"/>
  <c r="U246" i="38" s="1"/>
  <c r="K87" i="38"/>
  <c r="K89" i="38" s="1"/>
  <c r="AC246" i="38" s="1"/>
  <c r="S87" i="38"/>
  <c r="S89" i="38" s="1"/>
  <c r="S90" i="38" s="1"/>
  <c r="AA87" i="38"/>
  <c r="AA89" i="38" s="1"/>
  <c r="AA7" i="38" s="1"/>
  <c r="I5" i="39"/>
  <c r="Q5" i="39"/>
  <c r="Y5" i="39"/>
  <c r="D5" i="39"/>
  <c r="L5" i="39"/>
  <c r="T5" i="39"/>
  <c r="AB5" i="39"/>
  <c r="F7" i="39"/>
  <c r="N87" i="39"/>
  <c r="N89" i="39" s="1"/>
  <c r="AF246" i="39" s="1"/>
  <c r="V87" i="39"/>
  <c r="V89" i="39" s="1"/>
  <c r="AN246" i="39" s="1"/>
  <c r="AD87" i="39"/>
  <c r="AD89" i="39" s="1"/>
  <c r="AD7" i="39" s="1"/>
  <c r="E5" i="39"/>
  <c r="M5" i="39"/>
  <c r="U5" i="39"/>
  <c r="AC5" i="39"/>
  <c r="J87" i="39"/>
  <c r="J89" i="39" s="1"/>
  <c r="AB246" i="39" s="1"/>
  <c r="R87" i="39"/>
  <c r="R89" i="39" s="1"/>
  <c r="AJ246" i="39" s="1"/>
  <c r="Z87" i="39"/>
  <c r="Z89" i="39" s="1"/>
  <c r="AR246" i="39" s="1"/>
  <c r="S87" i="39"/>
  <c r="S89" i="39" s="1"/>
  <c r="AK246" i="39" s="1"/>
  <c r="AA87" i="39"/>
  <c r="AA89" i="39" s="1"/>
  <c r="AS246" i="39" s="1"/>
  <c r="L89" i="39"/>
  <c r="L7" i="39" s="1"/>
  <c r="T87" i="39"/>
  <c r="T89" i="39" s="1"/>
  <c r="AL246" i="39" s="1"/>
  <c r="AB87" i="39"/>
  <c r="AB89" i="39" s="1"/>
  <c r="AT246" i="39" s="1"/>
  <c r="Z246" i="39"/>
  <c r="P87" i="39"/>
  <c r="P89" i="39" s="1"/>
  <c r="P7" i="39" s="1"/>
  <c r="X87" i="39"/>
  <c r="X89" i="39" s="1"/>
  <c r="AP246" i="39" s="1"/>
  <c r="AF87" i="39"/>
  <c r="AF89" i="39" s="1"/>
  <c r="AX246" i="39" s="1"/>
  <c r="I87" i="39"/>
  <c r="I89" i="39" s="1"/>
  <c r="I7" i="39" s="1"/>
  <c r="Q87" i="39"/>
  <c r="Q89" i="39" s="1"/>
  <c r="Q7" i="39" s="1"/>
  <c r="Y87" i="39"/>
  <c r="Y89" i="39" s="1"/>
  <c r="Y7" i="39" s="1"/>
  <c r="B98" i="39"/>
  <c r="AI66" i="39"/>
  <c r="B87" i="39"/>
  <c r="B89" i="39" s="1"/>
  <c r="B90" i="39" s="1"/>
  <c r="AI52" i="39"/>
  <c r="B5" i="39"/>
  <c r="C87" i="39"/>
  <c r="C89" i="39" s="1"/>
  <c r="C90" i="39" s="1"/>
  <c r="Z7" i="39"/>
  <c r="AC246" i="39"/>
  <c r="K7" i="39"/>
  <c r="AI98" i="39"/>
  <c r="AH98" i="39"/>
  <c r="J229" i="39"/>
  <c r="K229" i="39" s="1"/>
  <c r="L229" i="39" s="1"/>
  <c r="M229" i="39" s="1"/>
  <c r="N229" i="39" s="1"/>
  <c r="O229" i="39" s="1"/>
  <c r="P229" i="39" s="1"/>
  <c r="AC7" i="39"/>
  <c r="H7" i="39"/>
  <c r="X246" i="39"/>
  <c r="AG246" i="39"/>
  <c r="O90" i="39"/>
  <c r="O7" i="39"/>
  <c r="AW246" i="39"/>
  <c r="AE90" i="39"/>
  <c r="AE7" i="39"/>
  <c r="AH82" i="39"/>
  <c r="D243" i="39"/>
  <c r="AH48" i="39"/>
  <c r="AH52" i="39"/>
  <c r="AI82" i="39"/>
  <c r="AI48" i="39"/>
  <c r="AH111" i="39"/>
  <c r="E226" i="39"/>
  <c r="G231" i="39"/>
  <c r="AH70" i="39"/>
  <c r="AH66" i="39"/>
  <c r="D243" i="38"/>
  <c r="AB246" i="38"/>
  <c r="J90" i="38"/>
  <c r="H90" i="38"/>
  <c r="G226" i="38"/>
  <c r="AK246" i="38"/>
  <c r="S7" i="38"/>
  <c r="AG6" i="38"/>
  <c r="V246" i="38"/>
  <c r="D90" i="38"/>
  <c r="D7" i="38"/>
  <c r="AD246" i="38"/>
  <c r="L90" i="38"/>
  <c r="L7" i="38"/>
  <c r="AL246" i="38"/>
  <c r="T90" i="38"/>
  <c r="T7" i="38"/>
  <c r="AT246" i="38"/>
  <c r="AB90" i="38"/>
  <c r="AB7" i="38"/>
  <c r="AN246" i="38"/>
  <c r="V90" i="38"/>
  <c r="V7" i="38"/>
  <c r="I7" i="38"/>
  <c r="W246" i="38"/>
  <c r="E90" i="38"/>
  <c r="E7" i="38"/>
  <c r="AM246" i="38"/>
  <c r="U90" i="38"/>
  <c r="U7" i="38"/>
  <c r="AU246" i="38"/>
  <c r="AC90" i="38"/>
  <c r="AC7" i="38"/>
  <c r="AD90" i="38"/>
  <c r="AD7" i="38"/>
  <c r="J229" i="38"/>
  <c r="K229" i="38" s="1"/>
  <c r="L229" i="38" s="1"/>
  <c r="M229" i="38" s="1"/>
  <c r="N229" i="38" s="1"/>
  <c r="O229" i="38" s="1"/>
  <c r="P229" i="38" s="1"/>
  <c r="AE246" i="38"/>
  <c r="M90" i="38"/>
  <c r="M7" i="38"/>
  <c r="AG89" i="38"/>
  <c r="P7" i="38"/>
  <c r="P90" i="38"/>
  <c r="AH48" i="38"/>
  <c r="AH52" i="38"/>
  <c r="AI82" i="38"/>
  <c r="B98" i="38"/>
  <c r="J98" i="38"/>
  <c r="R98" i="38"/>
  <c r="Z98" i="38"/>
  <c r="E227" i="38"/>
  <c r="E231" i="38"/>
  <c r="AI48" i="38"/>
  <c r="C267" i="38"/>
  <c r="AG87" i="38"/>
  <c r="AH111" i="38"/>
  <c r="AI111" i="38"/>
  <c r="AH70" i="38"/>
  <c r="AH66" i="38"/>
  <c r="AA246" i="38" l="1"/>
  <c r="G90" i="38"/>
  <c r="AJ246" i="38"/>
  <c r="Y246" i="38"/>
  <c r="F7" i="38"/>
  <c r="F90" i="38"/>
  <c r="AE7" i="38"/>
  <c r="AE90" i="38"/>
  <c r="K7" i="38"/>
  <c r="K90" i="38"/>
  <c r="AU246" i="39"/>
  <c r="G7" i="39"/>
  <c r="Y246" i="39"/>
  <c r="W246" i="39"/>
  <c r="E7" i="39"/>
  <c r="AV246" i="39"/>
  <c r="AD90" i="39"/>
  <c r="AA7" i="39"/>
  <c r="Z90" i="39"/>
  <c r="X7" i="39"/>
  <c r="U90" i="39"/>
  <c r="U7" i="39"/>
  <c r="W7" i="39"/>
  <c r="W90" i="39"/>
  <c r="V7" i="39"/>
  <c r="V90" i="39"/>
  <c r="T7" i="39"/>
  <c r="S7" i="39"/>
  <c r="S90" i="39"/>
  <c r="N7" i="39"/>
  <c r="N90" i="39"/>
  <c r="R7" i="39"/>
  <c r="R90" i="39"/>
  <c r="M7" i="39"/>
  <c r="M90" i="39"/>
  <c r="J7" i="39"/>
  <c r="D7" i="39"/>
  <c r="D90" i="39"/>
  <c r="O7" i="38"/>
  <c r="AG246" i="38"/>
  <c r="AS246" i="38"/>
  <c r="B241" i="38"/>
  <c r="C7" i="38"/>
  <c r="W7" i="38"/>
  <c r="AX246" i="38"/>
  <c r="W90" i="38"/>
  <c r="AP246" i="38"/>
  <c r="X7" i="38"/>
  <c r="Q90" i="38"/>
  <c r="R7" i="38"/>
  <c r="AI87" i="38"/>
  <c r="AI246" i="38"/>
  <c r="AA90" i="38"/>
  <c r="AF246" i="38"/>
  <c r="H7" i="38"/>
  <c r="N90" i="38"/>
  <c r="C90" i="38"/>
  <c r="AH87" i="38"/>
  <c r="AF7" i="38"/>
  <c r="AR246" i="38"/>
  <c r="C241" i="38"/>
  <c r="Y90" i="38"/>
  <c r="AQ246" i="38"/>
  <c r="Z7" i="38"/>
  <c r="T90" i="39"/>
  <c r="L90" i="39"/>
  <c r="AD246" i="39"/>
  <c r="AA90" i="39"/>
  <c r="B241" i="39"/>
  <c r="J90" i="39"/>
  <c r="AB7" i="39"/>
  <c r="C241" i="39"/>
  <c r="K6" i="39" s="1"/>
  <c r="AB90" i="39"/>
  <c r="P90" i="39"/>
  <c r="AH246" i="39"/>
  <c r="X90" i="39"/>
  <c r="AF7" i="39"/>
  <c r="I90" i="39"/>
  <c r="AF90" i="39"/>
  <c r="AA246" i="39"/>
  <c r="Y90" i="39"/>
  <c r="AQ246" i="39"/>
  <c r="Q90" i="39"/>
  <c r="AH87" i="39"/>
  <c r="AI246" i="39"/>
  <c r="AI87" i="39"/>
  <c r="C7" i="39"/>
  <c r="U246" i="39"/>
  <c r="F267" i="39"/>
  <c r="H231" i="39"/>
  <c r="E108" i="39"/>
  <c r="F226" i="39"/>
  <c r="E232" i="39"/>
  <c r="T246" i="39"/>
  <c r="AI89" i="39"/>
  <c r="AH89" i="39"/>
  <c r="B7" i="39"/>
  <c r="E108" i="38"/>
  <c r="D267" i="38"/>
  <c r="F231" i="38"/>
  <c r="AH89" i="38"/>
  <c r="B7" i="38"/>
  <c r="T246" i="38"/>
  <c r="B90" i="38"/>
  <c r="AI89" i="38"/>
  <c r="K6" i="38"/>
  <c r="AH98" i="38"/>
  <c r="AI98" i="38"/>
  <c r="H226" i="38"/>
  <c r="E232" i="38"/>
  <c r="F227" i="38"/>
  <c r="A7" i="38" l="1"/>
  <c r="A7" i="39"/>
  <c r="AI90" i="39"/>
  <c r="AH90" i="39"/>
  <c r="G226" i="39"/>
  <c r="F232" i="39"/>
  <c r="G267" i="39"/>
  <c r="I231" i="39"/>
  <c r="G227" i="38"/>
  <c r="F232" i="38"/>
  <c r="AI90" i="38"/>
  <c r="AH90" i="38"/>
  <c r="I226" i="38"/>
  <c r="E267" i="38"/>
  <c r="G231" i="38"/>
  <c r="F108" i="38"/>
  <c r="H226" i="39" l="1"/>
  <c r="G232" i="39"/>
  <c r="H267" i="39"/>
  <c r="J231" i="39"/>
  <c r="J226" i="38"/>
  <c r="F267" i="38"/>
  <c r="H231" i="38"/>
  <c r="G108" i="38"/>
  <c r="H227" i="38"/>
  <c r="G232" i="38"/>
  <c r="K231" i="39" l="1"/>
  <c r="I267" i="39"/>
  <c r="I226" i="39"/>
  <c r="H232" i="39"/>
  <c r="G267" i="38"/>
  <c r="I231" i="38"/>
  <c r="H108" i="38"/>
  <c r="I227" i="38"/>
  <c r="H232" i="38"/>
  <c r="K226" i="38"/>
  <c r="I108" i="39" l="1"/>
  <c r="J226" i="39"/>
  <c r="J267" i="39"/>
  <c r="L231" i="39"/>
  <c r="J227" i="38"/>
  <c r="H267" i="38"/>
  <c r="J231" i="38"/>
  <c r="I108" i="38"/>
  <c r="L226" i="38"/>
  <c r="K267" i="39" l="1"/>
  <c r="M231" i="39"/>
  <c r="J108" i="39"/>
  <c r="K226" i="39"/>
  <c r="K231" i="38"/>
  <c r="I267" i="38"/>
  <c r="J108" i="38"/>
  <c r="M226" i="38"/>
  <c r="K227" i="38"/>
  <c r="L226" i="39" l="1"/>
  <c r="L267" i="39"/>
  <c r="N231" i="39"/>
  <c r="L227" i="38"/>
  <c r="N226" i="38"/>
  <c r="L231" i="38"/>
  <c r="J267" i="38"/>
  <c r="K108" i="38"/>
  <c r="M267" i="39" l="1"/>
  <c r="O231" i="39"/>
  <c r="L108" i="39"/>
  <c r="M226" i="39"/>
  <c r="K267" i="38"/>
  <c r="M231" i="38"/>
  <c r="L108" i="38"/>
  <c r="O226" i="38"/>
  <c r="M227" i="38"/>
  <c r="M108" i="39" l="1"/>
  <c r="N226" i="39"/>
  <c r="N267" i="39"/>
  <c r="P231" i="39"/>
  <c r="O267" i="39" s="1"/>
  <c r="P226" i="38"/>
  <c r="N227" i="38"/>
  <c r="L267" i="38"/>
  <c r="N231" i="38"/>
  <c r="M108" i="38"/>
  <c r="O226" i="39" l="1"/>
  <c r="N108" i="39"/>
  <c r="M267" i="38"/>
  <c r="O231" i="38"/>
  <c r="N108" i="38"/>
  <c r="O227" i="38"/>
  <c r="P226" i="39" l="1"/>
  <c r="O108" i="39"/>
  <c r="P227" i="38"/>
  <c r="N267" i="38"/>
  <c r="P231" i="38"/>
  <c r="O267" i="38" s="1"/>
  <c r="O108" i="38"/>
  <c r="AH108" i="39" l="1"/>
  <c r="AI108" i="39"/>
  <c r="AH108" i="38"/>
  <c r="AI108" i="38"/>
  <c r="AE66" i="17" l="1"/>
  <c r="AE48" i="17"/>
  <c r="AD111" i="17"/>
  <c r="AD48" i="17"/>
  <c r="AD52" i="17"/>
  <c r="AD66" i="17"/>
  <c r="AD70" i="17"/>
  <c r="AD82" i="17"/>
  <c r="AC111" i="17"/>
  <c r="AB111" i="17"/>
  <c r="AB48" i="17"/>
  <c r="E4" i="17" l="1"/>
  <c r="B4" i="17"/>
  <c r="AF271" i="17" l="1"/>
  <c r="AE271" i="17"/>
  <c r="AD271" i="17"/>
  <c r="AC271" i="17"/>
  <c r="AB271" i="17"/>
  <c r="AA271" i="17"/>
  <c r="Z271" i="17"/>
  <c r="Y271" i="17"/>
  <c r="X271" i="17"/>
  <c r="W271" i="17"/>
  <c r="V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B271" i="17"/>
  <c r="A271" i="17"/>
  <c r="AF270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F270" i="17"/>
  <c r="E270" i="17"/>
  <c r="D270" i="17"/>
  <c r="C270" i="17"/>
  <c r="B270" i="17"/>
  <c r="A270" i="17"/>
  <c r="AF269" i="17"/>
  <c r="AE269" i="17"/>
  <c r="AD269" i="17"/>
  <c r="AC269" i="17"/>
  <c r="AB269" i="17"/>
  <c r="AA269" i="17"/>
  <c r="Z269" i="17"/>
  <c r="Y269" i="17"/>
  <c r="X269" i="17"/>
  <c r="W269" i="17"/>
  <c r="V269" i="17"/>
  <c r="U269" i="17"/>
  <c r="T269" i="17"/>
  <c r="S269" i="17"/>
  <c r="R269" i="17"/>
  <c r="Q269" i="17"/>
  <c r="P269" i="17"/>
  <c r="O269" i="17"/>
  <c r="N269" i="17"/>
  <c r="M269" i="17"/>
  <c r="L269" i="17"/>
  <c r="K269" i="17"/>
  <c r="J269" i="17"/>
  <c r="I269" i="17"/>
  <c r="H269" i="17"/>
  <c r="G269" i="17"/>
  <c r="F269" i="17"/>
  <c r="E269" i="17"/>
  <c r="D269" i="17"/>
  <c r="C269" i="17"/>
  <c r="B269" i="17"/>
  <c r="A269" i="17"/>
  <c r="AF268" i="17"/>
  <c r="AE268" i="17"/>
  <c r="AD268" i="17"/>
  <c r="AC268" i="17"/>
  <c r="AB268" i="17"/>
  <c r="AA268" i="17"/>
  <c r="Z268" i="17"/>
  <c r="Y268" i="17"/>
  <c r="X268" i="17"/>
  <c r="W268" i="17"/>
  <c r="V268" i="17"/>
  <c r="U268" i="17"/>
  <c r="T268" i="17"/>
  <c r="S268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F268" i="17"/>
  <c r="E268" i="17"/>
  <c r="D268" i="17"/>
  <c r="C268" i="17"/>
  <c r="B268" i="17"/>
  <c r="A268" i="17"/>
  <c r="AE267" i="17"/>
  <c r="AD267" i="17"/>
  <c r="AC267" i="17"/>
  <c r="AB267" i="17"/>
  <c r="AA267" i="17"/>
  <c r="Z267" i="17"/>
  <c r="Y267" i="17"/>
  <c r="X267" i="17"/>
  <c r="W267" i="17"/>
  <c r="V267" i="17"/>
  <c r="U267" i="17"/>
  <c r="T267" i="17"/>
  <c r="S267" i="17"/>
  <c r="R267" i="17"/>
  <c r="Q267" i="17"/>
  <c r="P267" i="17"/>
  <c r="C267" i="17"/>
  <c r="B267" i="17"/>
  <c r="S242" i="17"/>
  <c r="AG232" i="17"/>
  <c r="AF232" i="17"/>
  <c r="AE232" i="17"/>
  <c r="AD232" i="17"/>
  <c r="AC232" i="17"/>
  <c r="AB232" i="17"/>
  <c r="AA232" i="17"/>
  <c r="Z232" i="17"/>
  <c r="Y232" i="17"/>
  <c r="X232" i="17"/>
  <c r="W232" i="17"/>
  <c r="V232" i="17"/>
  <c r="U232" i="17"/>
  <c r="T232" i="17"/>
  <c r="S232" i="17"/>
  <c r="R232" i="17"/>
  <c r="Q232" i="17"/>
  <c r="D232" i="17"/>
  <c r="C232" i="17"/>
  <c r="F231" i="17"/>
  <c r="E267" i="17" s="1"/>
  <c r="E231" i="17"/>
  <c r="D267" i="17" s="1"/>
  <c r="D231" i="17"/>
  <c r="B231" i="17"/>
  <c r="AF267" i="17" s="1"/>
  <c r="D230" i="17"/>
  <c r="E230" i="17" s="1"/>
  <c r="F230" i="17" s="1"/>
  <c r="G230" i="17" s="1"/>
  <c r="H230" i="17" s="1"/>
  <c r="I230" i="17" s="1"/>
  <c r="J230" i="17" s="1"/>
  <c r="K230" i="17" s="1"/>
  <c r="L230" i="17" s="1"/>
  <c r="M230" i="17" s="1"/>
  <c r="N230" i="17" s="1"/>
  <c r="O230" i="17" s="1"/>
  <c r="P230" i="17" s="1"/>
  <c r="B230" i="17"/>
  <c r="E229" i="17"/>
  <c r="F229" i="17" s="1"/>
  <c r="G229" i="17" s="1"/>
  <c r="H229" i="17" s="1"/>
  <c r="I229" i="17" s="1"/>
  <c r="D229" i="17"/>
  <c r="B229" i="17"/>
  <c r="E228" i="17"/>
  <c r="F228" i="17" s="1"/>
  <c r="G228" i="17" s="1"/>
  <c r="H228" i="17" s="1"/>
  <c r="D228" i="17"/>
  <c r="B228" i="17"/>
  <c r="F227" i="17"/>
  <c r="G227" i="17" s="1"/>
  <c r="H227" i="17" s="1"/>
  <c r="I227" i="17" s="1"/>
  <c r="J227" i="17" s="1"/>
  <c r="K227" i="17" s="1"/>
  <c r="L227" i="17" s="1"/>
  <c r="M227" i="17" s="1"/>
  <c r="N227" i="17" s="1"/>
  <c r="O227" i="17" s="1"/>
  <c r="P227" i="17" s="1"/>
  <c r="E227" i="17"/>
  <c r="D227" i="17"/>
  <c r="B227" i="17"/>
  <c r="B232" i="17" s="1"/>
  <c r="D226" i="17"/>
  <c r="E226" i="17" s="1"/>
  <c r="B226" i="17"/>
  <c r="AG224" i="17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I110" i="17"/>
  <c r="AH110" i="17"/>
  <c r="AI109" i="17"/>
  <c r="AH109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D108" i="17"/>
  <c r="C108" i="17"/>
  <c r="B108" i="17"/>
  <c r="AI107" i="17"/>
  <c r="AH107" i="17"/>
  <c r="AI106" i="17"/>
  <c r="AH106" i="17"/>
  <c r="AI105" i="17"/>
  <c r="AH105" i="17"/>
  <c r="AI104" i="17"/>
  <c r="AH104" i="17"/>
  <c r="AI103" i="17"/>
  <c r="AH103" i="17"/>
  <c r="AI102" i="17"/>
  <c r="AH102" i="17"/>
  <c r="AI101" i="17"/>
  <c r="AH101" i="17"/>
  <c r="AI100" i="17"/>
  <c r="AH100" i="17"/>
  <c r="AI99" i="17"/>
  <c r="AH99" i="17"/>
  <c r="AI97" i="17"/>
  <c r="AH97" i="17"/>
  <c r="AI96" i="17"/>
  <c r="AH96" i="17"/>
  <c r="AI95" i="17"/>
  <c r="AH95" i="17"/>
  <c r="AI94" i="17"/>
  <c r="AH94" i="17"/>
  <c r="AI93" i="17"/>
  <c r="AH93" i="17"/>
  <c r="AI92" i="17"/>
  <c r="AH92" i="17"/>
  <c r="AI91" i="17"/>
  <c r="AH91" i="17"/>
  <c r="AI88" i="17"/>
  <c r="AH88" i="17"/>
  <c r="AI86" i="17"/>
  <c r="AH86" i="17"/>
  <c r="AG86" i="17"/>
  <c r="AI85" i="17"/>
  <c r="AH85" i="17"/>
  <c r="AI84" i="17"/>
  <c r="AH84" i="17"/>
  <c r="AI83" i="17"/>
  <c r="AH83" i="17"/>
  <c r="AN82" i="17"/>
  <c r="AG82" i="17"/>
  <c r="AG89" i="17" s="1"/>
  <c r="AF82" i="17"/>
  <c r="AF98" i="17" s="1"/>
  <c r="AE82" i="17"/>
  <c r="AE98" i="17" s="1"/>
  <c r="AC5" i="17"/>
  <c r="AC82" i="17"/>
  <c r="AB5" i="17" s="1"/>
  <c r="AB82" i="17"/>
  <c r="AB98" i="17" s="1"/>
  <c r="AA82" i="17"/>
  <c r="AA98" i="17" s="1"/>
  <c r="Z82" i="17"/>
  <c r="Z98" i="17" s="1"/>
  <c r="Y82" i="17"/>
  <c r="Y98" i="17" s="1"/>
  <c r="X82" i="17"/>
  <c r="X98" i="17" s="1"/>
  <c r="W82" i="17"/>
  <c r="W98" i="17" s="1"/>
  <c r="V82" i="17"/>
  <c r="U5" i="17" s="1"/>
  <c r="U82" i="17"/>
  <c r="U98" i="17" s="1"/>
  <c r="T82" i="17"/>
  <c r="T98" i="17" s="1"/>
  <c r="S82" i="17"/>
  <c r="R5" i="17" s="1"/>
  <c r="R82" i="17"/>
  <c r="R98" i="17" s="1"/>
  <c r="Q82" i="17"/>
  <c r="Q98" i="17" s="1"/>
  <c r="P82" i="17"/>
  <c r="P98" i="17" s="1"/>
  <c r="O82" i="17"/>
  <c r="O98" i="17" s="1"/>
  <c r="N82" i="17"/>
  <c r="M5" i="17" s="1"/>
  <c r="M82" i="17"/>
  <c r="M98" i="17" s="1"/>
  <c r="L82" i="17"/>
  <c r="L98" i="17" s="1"/>
  <c r="K82" i="17"/>
  <c r="J5" i="17" s="1"/>
  <c r="J82" i="17"/>
  <c r="J98" i="17" s="1"/>
  <c r="I82" i="17"/>
  <c r="I98" i="17" s="1"/>
  <c r="H82" i="17"/>
  <c r="H98" i="17" s="1"/>
  <c r="G82" i="17"/>
  <c r="G98" i="17" s="1"/>
  <c r="F82" i="17"/>
  <c r="E5" i="17" s="1"/>
  <c r="E82" i="17"/>
  <c r="D5" i="17" s="1"/>
  <c r="D82" i="17"/>
  <c r="D98" i="17" s="1"/>
  <c r="C82" i="17"/>
  <c r="C98" i="17" s="1"/>
  <c r="B82" i="17"/>
  <c r="B98" i="17" s="1"/>
  <c r="AI81" i="17"/>
  <c r="AH81" i="17"/>
  <c r="AN80" i="17"/>
  <c r="AN81" i="17" s="1"/>
  <c r="AI80" i="17"/>
  <c r="AH80" i="17"/>
  <c r="AN79" i="17"/>
  <c r="AI79" i="17"/>
  <c r="AH79" i="17"/>
  <c r="AI78" i="17"/>
  <c r="AH78" i="17"/>
  <c r="AI77" i="17"/>
  <c r="AH77" i="17"/>
  <c r="AI76" i="17"/>
  <c r="AH76" i="17"/>
  <c r="AI75" i="17"/>
  <c r="AH75" i="17"/>
  <c r="AI74" i="17"/>
  <c r="AH74" i="17"/>
  <c r="AI73" i="17"/>
  <c r="AH73" i="17"/>
  <c r="AI72" i="17"/>
  <c r="AH72" i="17"/>
  <c r="AI71" i="17"/>
  <c r="AH71" i="17"/>
  <c r="AG70" i="17"/>
  <c r="AF70" i="17"/>
  <c r="AE70" i="17"/>
  <c r="AE87" i="17" s="1"/>
  <c r="AE89" i="17" s="1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B70" i="17"/>
  <c r="AI69" i="17"/>
  <c r="AH69" i="17"/>
  <c r="AI68" i="17"/>
  <c r="AH68" i="17"/>
  <c r="AI67" i="17"/>
  <c r="AH67" i="17"/>
  <c r="AF66" i="17"/>
  <c r="AC66" i="17"/>
  <c r="AB66" i="17"/>
  <c r="AA66" i="17"/>
  <c r="Z66" i="17"/>
  <c r="Y66" i="17"/>
  <c r="X66" i="17"/>
  <c r="W66" i="17"/>
  <c r="V66" i="17"/>
  <c r="U66" i="17"/>
  <c r="T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I65" i="17"/>
  <c r="AH65" i="17"/>
  <c r="AG65" i="17"/>
  <c r="AG66" i="17" s="1"/>
  <c r="AG3" i="17" s="1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I54" i="17"/>
  <c r="AH54" i="17"/>
  <c r="AI53" i="17"/>
  <c r="AH53" i="17"/>
  <c r="AG52" i="17"/>
  <c r="AF52" i="17"/>
  <c r="AE52" i="17"/>
  <c r="AC52" i="17"/>
  <c r="AB52" i="17"/>
  <c r="AA52" i="17"/>
  <c r="Z52" i="17"/>
  <c r="Y52" i="17"/>
  <c r="X52" i="17"/>
  <c r="W52" i="17"/>
  <c r="V52" i="17"/>
  <c r="U52" i="17"/>
  <c r="T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87" i="17" s="1"/>
  <c r="AI51" i="17"/>
  <c r="AH51" i="17"/>
  <c r="AI50" i="17"/>
  <c r="AH50" i="17"/>
  <c r="AI49" i="17"/>
  <c r="AH49" i="17"/>
  <c r="AG48" i="17"/>
  <c r="AG87" i="17" s="1"/>
  <c r="AF48" i="17"/>
  <c r="AD87" i="17"/>
  <c r="AD89" i="17" s="1"/>
  <c r="AC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O87" i="17" s="1"/>
  <c r="O89" i="17" s="1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F5" i="17"/>
  <c r="T5" i="17"/>
  <c r="N5" i="17"/>
  <c r="AG4" i="17"/>
  <c r="K4" i="17"/>
  <c r="H4" i="17"/>
  <c r="S243" i="17"/>
  <c r="AG2" i="17"/>
  <c r="AG6" i="17" s="1"/>
  <c r="AE5" i="17" l="1"/>
  <c r="AF87" i="17"/>
  <c r="AF89" i="17" s="1"/>
  <c r="AX246" i="17" s="1"/>
  <c r="AD5" i="17"/>
  <c r="AC98" i="17"/>
  <c r="AC87" i="17"/>
  <c r="AC89" i="17" s="1"/>
  <c r="AU246" i="17" s="1"/>
  <c r="AA5" i="17"/>
  <c r="AB87" i="17"/>
  <c r="AB89" i="17" s="1"/>
  <c r="AT246" i="17" s="1"/>
  <c r="Z5" i="17"/>
  <c r="AA87" i="17"/>
  <c r="AA89" i="17" s="1"/>
  <c r="AA7" i="17" s="1"/>
  <c r="Z87" i="17"/>
  <c r="Z89" i="17" s="1"/>
  <c r="AR246" i="17" s="1"/>
  <c r="Y5" i="17"/>
  <c r="X5" i="17"/>
  <c r="Y87" i="17"/>
  <c r="Y89" i="17" s="1"/>
  <c r="Y90" i="17" s="1"/>
  <c r="W5" i="17"/>
  <c r="X87" i="17"/>
  <c r="X89" i="17" s="1"/>
  <c r="X7" i="17" s="1"/>
  <c r="V5" i="17"/>
  <c r="W87" i="17"/>
  <c r="W89" i="17" s="1"/>
  <c r="W90" i="17" s="1"/>
  <c r="V87" i="17"/>
  <c r="V89" i="17" s="1"/>
  <c r="AN246" i="17" s="1"/>
  <c r="U87" i="17"/>
  <c r="U89" i="17" s="1"/>
  <c r="U7" i="17" s="1"/>
  <c r="S5" i="17"/>
  <c r="T87" i="17"/>
  <c r="T89" i="17" s="1"/>
  <c r="T7" i="17" s="1"/>
  <c r="S98" i="17"/>
  <c r="S87" i="17"/>
  <c r="S89" i="17" s="1"/>
  <c r="S90" i="17" s="1"/>
  <c r="Q5" i="17"/>
  <c r="R87" i="17"/>
  <c r="R89" i="17" s="1"/>
  <c r="AJ246" i="17" s="1"/>
  <c r="P5" i="17"/>
  <c r="Q87" i="17"/>
  <c r="Q89" i="17" s="1"/>
  <c r="Q7" i="17" s="1"/>
  <c r="O5" i="17"/>
  <c r="P87" i="17"/>
  <c r="P89" i="17" s="1"/>
  <c r="P7" i="17" s="1"/>
  <c r="N87" i="17"/>
  <c r="N89" i="17" s="1"/>
  <c r="L5" i="17"/>
  <c r="M87" i="17"/>
  <c r="M89" i="17" s="1"/>
  <c r="M7" i="17" s="1"/>
  <c r="K5" i="17"/>
  <c r="AI70" i="17"/>
  <c r="L87" i="17"/>
  <c r="L89" i="17" s="1"/>
  <c r="K87" i="17"/>
  <c r="K89" i="17" s="1"/>
  <c r="K98" i="17"/>
  <c r="I5" i="17"/>
  <c r="J87" i="17"/>
  <c r="J89" i="17" s="1"/>
  <c r="AB246" i="17" s="1"/>
  <c r="H5" i="17"/>
  <c r="I87" i="17"/>
  <c r="I89" i="17" s="1"/>
  <c r="AA246" i="17" s="1"/>
  <c r="G5" i="17"/>
  <c r="H87" i="17"/>
  <c r="H89" i="17" s="1"/>
  <c r="F5" i="17"/>
  <c r="G87" i="17"/>
  <c r="G89" i="17" s="1"/>
  <c r="F87" i="17"/>
  <c r="F89" i="17" s="1"/>
  <c r="E98" i="17"/>
  <c r="E87" i="17"/>
  <c r="E89" i="17" s="1"/>
  <c r="W246" i="17" s="1"/>
  <c r="C5" i="17"/>
  <c r="D87" i="17"/>
  <c r="D89" i="17" s="1"/>
  <c r="B5" i="17"/>
  <c r="AI66" i="17"/>
  <c r="AI52" i="17"/>
  <c r="AI48" i="17"/>
  <c r="AH66" i="17"/>
  <c r="AH52" i="17"/>
  <c r="AH48" i="17"/>
  <c r="E7" i="17"/>
  <c r="AC7" i="17"/>
  <c r="F226" i="17"/>
  <c r="E108" i="17"/>
  <c r="E232" i="17"/>
  <c r="D90" i="17"/>
  <c r="D7" i="17"/>
  <c r="V246" i="17"/>
  <c r="AB90" i="17"/>
  <c r="AB7" i="17"/>
  <c r="F7" i="17"/>
  <c r="X246" i="17"/>
  <c r="F90" i="17"/>
  <c r="N7" i="17"/>
  <c r="AF246" i="17"/>
  <c r="N90" i="17"/>
  <c r="AD7" i="17"/>
  <c r="AV246" i="17"/>
  <c r="AD90" i="17"/>
  <c r="AG246" i="17"/>
  <c r="O90" i="17"/>
  <c r="O7" i="17"/>
  <c r="AW246" i="17"/>
  <c r="AE90" i="17"/>
  <c r="AE7" i="17"/>
  <c r="J229" i="17"/>
  <c r="K229" i="17" s="1"/>
  <c r="L229" i="17" s="1"/>
  <c r="M229" i="17" s="1"/>
  <c r="N229" i="17" s="1"/>
  <c r="O229" i="17" s="1"/>
  <c r="P229" i="17" s="1"/>
  <c r="H90" i="17"/>
  <c r="H7" i="17"/>
  <c r="Z246" i="17"/>
  <c r="AF90" i="17"/>
  <c r="AF7" i="17"/>
  <c r="Z90" i="17"/>
  <c r="Z7" i="17"/>
  <c r="I90" i="17"/>
  <c r="I7" i="17"/>
  <c r="Q90" i="17"/>
  <c r="L90" i="17"/>
  <c r="L7" i="17"/>
  <c r="AD246" i="17"/>
  <c r="Y246" i="17"/>
  <c r="G90" i="17"/>
  <c r="G7" i="17"/>
  <c r="K90" i="17"/>
  <c r="K7" i="17"/>
  <c r="AC246" i="17"/>
  <c r="AA90" i="17"/>
  <c r="R90" i="17"/>
  <c r="R7" i="17"/>
  <c r="AH70" i="17"/>
  <c r="C87" i="17"/>
  <c r="C89" i="17" s="1"/>
  <c r="F98" i="17"/>
  <c r="N98" i="17"/>
  <c r="V98" i="17"/>
  <c r="AD98" i="17"/>
  <c r="D243" i="17"/>
  <c r="AH82" i="17"/>
  <c r="B89" i="17"/>
  <c r="G231" i="17"/>
  <c r="AI82" i="17"/>
  <c r="AC90" i="17" l="1"/>
  <c r="X90" i="17"/>
  <c r="AQ246" i="17"/>
  <c r="U90" i="17"/>
  <c r="AS246" i="17"/>
  <c r="AP246" i="17"/>
  <c r="Y7" i="17"/>
  <c r="AO246" i="17"/>
  <c r="W7" i="17"/>
  <c r="AM246" i="17"/>
  <c r="V7" i="17"/>
  <c r="V90" i="17"/>
  <c r="AL246" i="17"/>
  <c r="T90" i="17"/>
  <c r="AK246" i="17"/>
  <c r="S7" i="17"/>
  <c r="AI246" i="17"/>
  <c r="P90" i="17"/>
  <c r="AH246" i="17"/>
  <c r="AI98" i="17"/>
  <c r="M90" i="17"/>
  <c r="AE246" i="17"/>
  <c r="C241" i="17"/>
  <c r="K6" i="17" s="1"/>
  <c r="B241" i="17"/>
  <c r="J7" i="17"/>
  <c r="J90" i="17"/>
  <c r="E90" i="17"/>
  <c r="AH98" i="17"/>
  <c r="G226" i="17"/>
  <c r="F108" i="17"/>
  <c r="F232" i="17"/>
  <c r="F267" i="17"/>
  <c r="H231" i="17"/>
  <c r="AI87" i="17"/>
  <c r="C90" i="17"/>
  <c r="C7" i="17"/>
  <c r="U246" i="17"/>
  <c r="AH87" i="17"/>
  <c r="B90" i="17"/>
  <c r="AI89" i="17"/>
  <c r="AH89" i="17"/>
  <c r="B7" i="17"/>
  <c r="T246" i="17"/>
  <c r="A7" i="17" l="1"/>
  <c r="AI90" i="17"/>
  <c r="AH90" i="17"/>
  <c r="H226" i="17"/>
  <c r="G108" i="17"/>
  <c r="G232" i="17"/>
  <c r="G267" i="17"/>
  <c r="I231" i="17"/>
  <c r="I226" i="17" l="1"/>
  <c r="H108" i="17"/>
  <c r="H232" i="17"/>
  <c r="H267" i="17"/>
  <c r="J231" i="17"/>
  <c r="K231" i="17" l="1"/>
  <c r="I267" i="17"/>
  <c r="I108" i="17"/>
  <c r="J226" i="17"/>
  <c r="J108" i="17" l="1"/>
  <c r="K226" i="17"/>
  <c r="J267" i="17"/>
  <c r="L231" i="17"/>
  <c r="K267" i="17" l="1"/>
  <c r="M231" i="17"/>
  <c r="L226" i="17"/>
  <c r="K108" i="17"/>
  <c r="M226" i="17" l="1"/>
  <c r="L108" i="17"/>
  <c r="L267" i="17"/>
  <c r="N231" i="17"/>
  <c r="M267" i="17" l="1"/>
  <c r="O231" i="17"/>
  <c r="N226" i="17"/>
  <c r="M108" i="17"/>
  <c r="O226" i="17" l="1"/>
  <c r="N108" i="17"/>
  <c r="N267" i="17"/>
  <c r="P231" i="17"/>
  <c r="O267" i="17" s="1"/>
  <c r="P226" i="17" l="1"/>
  <c r="O108" i="17"/>
  <c r="AI108" i="17" l="1"/>
  <c r="AH108" i="17"/>
  <c r="L232" i="48" l="1"/>
  <c r="K232" i="52"/>
  <c r="O232" i="67"/>
  <c r="M232" i="59"/>
  <c r="J232" i="47"/>
  <c r="L232" i="69"/>
  <c r="M232" i="55"/>
  <c r="L232" i="68"/>
  <c r="K232" i="42"/>
  <c r="N232" i="40"/>
  <c r="M232" i="51"/>
  <c r="M232" i="41"/>
  <c r="O232" i="43"/>
  <c r="M232" i="53"/>
  <c r="N232" i="58"/>
  <c r="J232" i="51"/>
  <c r="N232" i="66"/>
  <c r="N232" i="60"/>
  <c r="M232" i="40"/>
  <c r="N232" i="55"/>
  <c r="O232" i="64"/>
  <c r="L232" i="17"/>
  <c r="P232" i="58"/>
  <c r="J232" i="62"/>
  <c r="L232" i="52"/>
  <c r="O232" i="66"/>
  <c r="K232" i="48"/>
  <c r="L232" i="42"/>
  <c r="P232" i="44"/>
  <c r="M232" i="63"/>
  <c r="K232" i="46"/>
  <c r="K232" i="56"/>
  <c r="K232" i="44"/>
  <c r="J232" i="17"/>
  <c r="L232" i="67"/>
  <c r="O232" i="69"/>
  <c r="P232" i="45"/>
  <c r="L232" i="40"/>
  <c r="N232" i="53"/>
  <c r="J232" i="64"/>
  <c r="J232" i="53"/>
  <c r="J232" i="52"/>
  <c r="J232" i="49"/>
  <c r="K232" i="43"/>
  <c r="K232" i="59"/>
  <c r="K232" i="51"/>
  <c r="N232" i="50"/>
  <c r="K232" i="57"/>
  <c r="O232" i="49"/>
  <c r="N232" i="65"/>
  <c r="J232" i="42"/>
  <c r="P232" i="47"/>
  <c r="L232" i="55"/>
  <c r="J232" i="65"/>
  <c r="K232" i="49"/>
  <c r="O232" i="46"/>
  <c r="L232" i="58"/>
  <c r="O232" i="63"/>
  <c r="O232" i="48"/>
  <c r="M232" i="66"/>
  <c r="K232" i="68"/>
  <c r="O232" i="57"/>
  <c r="L232" i="62"/>
  <c r="L232" i="50"/>
  <c r="J232" i="56"/>
  <c r="N232" i="51"/>
  <c r="O232" i="60"/>
  <c r="L232" i="54"/>
  <c r="L232" i="63"/>
  <c r="N232" i="59"/>
  <c r="O232" i="55"/>
  <c r="P228" i="64"/>
  <c r="P232" i="64"/>
  <c r="M232" i="68"/>
  <c r="M232" i="17"/>
  <c r="J232" i="58"/>
  <c r="J232" i="44"/>
  <c r="K232" i="62"/>
  <c r="O232" i="39"/>
  <c r="N232" i="63"/>
  <c r="L232" i="46"/>
  <c r="L232" i="56"/>
  <c r="L232" i="44"/>
  <c r="J232" i="60"/>
  <c r="M232" i="67"/>
  <c r="K232" i="41"/>
  <c r="J232" i="43"/>
  <c r="O232" i="53"/>
  <c r="K232" i="64"/>
  <c r="L232" i="43"/>
  <c r="L232" i="59"/>
  <c r="M232" i="69"/>
  <c r="J232" i="54"/>
  <c r="L232" i="51"/>
  <c r="J232" i="66"/>
  <c r="O232" i="50"/>
  <c r="L232" i="57"/>
  <c r="P228" i="49"/>
  <c r="P232" i="49"/>
  <c r="O232" i="65"/>
  <c r="J232" i="57"/>
  <c r="N232" i="44"/>
  <c r="N232" i="42"/>
  <c r="M232" i="39"/>
  <c r="K232" i="65"/>
  <c r="J232" i="41"/>
  <c r="J232" i="50"/>
  <c r="L232" i="66"/>
  <c r="J232" i="69"/>
  <c r="L232" i="41"/>
  <c r="O228" i="60"/>
  <c r="P228" i="60"/>
  <c r="P232" i="60"/>
  <c r="L232" i="45"/>
  <c r="O232" i="59"/>
  <c r="M228" i="55"/>
  <c r="N228" i="55"/>
  <c r="O228" i="55"/>
  <c r="P228" i="55"/>
  <c r="P232" i="55"/>
  <c r="O232" i="51"/>
  <c r="N232" i="17"/>
  <c r="K232" i="39"/>
  <c r="M232" i="65"/>
  <c r="N232" i="45"/>
  <c r="M232" i="48"/>
  <c r="J232" i="39"/>
  <c r="N232" i="69"/>
  <c r="M232" i="46"/>
  <c r="K232" i="47"/>
  <c r="K232" i="60"/>
  <c r="J232" i="55"/>
  <c r="N232" i="67"/>
  <c r="J232" i="45"/>
  <c r="N228" i="53"/>
  <c r="O228" i="53"/>
  <c r="P228" i="53"/>
  <c r="P232" i="53"/>
  <c r="M232" i="43"/>
  <c r="O232" i="42"/>
  <c r="K232" i="54"/>
  <c r="K232" i="66"/>
  <c r="O228" i="50"/>
  <c r="P228" i="50"/>
  <c r="P232" i="50"/>
  <c r="M232" i="57"/>
  <c r="O232" i="52"/>
  <c r="P232" i="17"/>
  <c r="K232" i="40"/>
  <c r="O232" i="68"/>
  <c r="O232" i="45"/>
  <c r="O228" i="45"/>
  <c r="P228" i="45"/>
  <c r="M232" i="62"/>
  <c r="M232" i="50"/>
  <c r="M228" i="50"/>
  <c r="N228" i="50"/>
  <c r="K232" i="50"/>
  <c r="K228" i="50"/>
  <c r="L228" i="50"/>
  <c r="N232" i="43"/>
  <c r="P228" i="39"/>
  <c r="P232" i="39"/>
  <c r="M232" i="44"/>
  <c r="L228" i="59"/>
  <c r="M228" i="59"/>
  <c r="N228" i="59"/>
  <c r="O228" i="59"/>
  <c r="P228" i="59"/>
  <c r="P232" i="59"/>
  <c r="O232" i="62"/>
  <c r="P228" i="17"/>
  <c r="M228" i="17"/>
  <c r="N228" i="17"/>
  <c r="O228" i="17"/>
  <c r="O232" i="17"/>
  <c r="O232" i="38"/>
  <c r="K232" i="58"/>
  <c r="L232" i="38"/>
  <c r="L228" i="17"/>
  <c r="K228" i="17"/>
  <c r="K232" i="17"/>
  <c r="N232" i="48"/>
  <c r="O228" i="39"/>
  <c r="N228" i="39"/>
  <c r="N232" i="39"/>
  <c r="L232" i="49"/>
  <c r="L232" i="64"/>
  <c r="K232" i="55"/>
  <c r="I232" i="55"/>
  <c r="I228" i="55"/>
  <c r="J228" i="55"/>
  <c r="K228" i="55"/>
  <c r="L228" i="55"/>
  <c r="K232" i="45"/>
  <c r="O232" i="40"/>
  <c r="N232" i="41"/>
  <c r="J232" i="38"/>
  <c r="M232" i="52"/>
  <c r="J228" i="50"/>
  <c r="N232" i="57"/>
  <c r="L228" i="48"/>
  <c r="M228" i="48"/>
  <c r="N228" i="48"/>
  <c r="O228" i="48"/>
  <c r="P228" i="48"/>
  <c r="P232" i="48"/>
  <c r="K232" i="67"/>
  <c r="M232" i="64"/>
  <c r="K232" i="69"/>
  <c r="L228" i="67"/>
  <c r="M228" i="67"/>
  <c r="N228" i="67"/>
  <c r="O228" i="67"/>
  <c r="P228" i="67"/>
  <c r="P232" i="67"/>
  <c r="N232" i="68"/>
  <c r="J232" i="59"/>
  <c r="J228" i="59"/>
  <c r="K228" i="59"/>
  <c r="M232" i="56"/>
  <c r="J232" i="63"/>
  <c r="N232" i="62"/>
  <c r="M232" i="60"/>
  <c r="N228" i="60"/>
  <c r="L232" i="39"/>
  <c r="I232" i="39"/>
  <c r="I228" i="39"/>
  <c r="J228" i="39"/>
  <c r="K228" i="39"/>
  <c r="L228" i="39"/>
  <c r="M228" i="39"/>
  <c r="L228" i="40"/>
  <c r="M228" i="40"/>
  <c r="N228" i="40"/>
  <c r="O228" i="40"/>
  <c r="P228" i="40"/>
  <c r="P232" i="40"/>
  <c r="K232" i="38"/>
  <c r="N232" i="52"/>
  <c r="I232" i="69"/>
  <c r="I228" i="69"/>
  <c r="J228" i="69"/>
  <c r="K228" i="69"/>
  <c r="L228" i="69"/>
  <c r="M228" i="69"/>
  <c r="N228" i="69"/>
  <c r="O228" i="69"/>
  <c r="P228" i="69"/>
  <c r="P232" i="69"/>
  <c r="M232" i="54"/>
  <c r="L232" i="47"/>
  <c r="N232" i="49"/>
  <c r="O228" i="49"/>
  <c r="M232" i="47"/>
  <c r="M228" i="63"/>
  <c r="N228" i="63"/>
  <c r="O228" i="63"/>
  <c r="P228" i="63"/>
  <c r="P232" i="63"/>
  <c r="J232" i="48"/>
  <c r="J228" i="48"/>
  <c r="K228" i="48"/>
  <c r="N232" i="56"/>
  <c r="O232" i="41"/>
  <c r="M232" i="58"/>
  <c r="I232" i="48"/>
  <c r="I228" i="48"/>
  <c r="M228" i="60"/>
  <c r="J228" i="60"/>
  <c r="K228" i="60"/>
  <c r="L228" i="60"/>
  <c r="L232" i="60"/>
  <c r="N232" i="47"/>
  <c r="J228" i="17"/>
  <c r="N228" i="45"/>
  <c r="K228" i="45"/>
  <c r="L228" i="45"/>
  <c r="M228" i="45"/>
  <c r="M232" i="45"/>
  <c r="K232" i="53"/>
  <c r="I232" i="43"/>
  <c r="I228" i="43"/>
  <c r="J228" i="43"/>
  <c r="K228" i="43"/>
  <c r="L228" i="43"/>
  <c r="M228" i="43"/>
  <c r="N228" i="43"/>
  <c r="O228" i="43"/>
  <c r="P228" i="43"/>
  <c r="P232" i="43"/>
  <c r="N232" i="54"/>
  <c r="J228" i="45"/>
  <c r="K228" i="51"/>
  <c r="L228" i="51"/>
  <c r="M228" i="51"/>
  <c r="N228" i="51"/>
  <c r="O228" i="51"/>
  <c r="P228" i="51"/>
  <c r="P232" i="51"/>
  <c r="I232" i="50"/>
  <c r="I228" i="50"/>
  <c r="J232" i="40"/>
  <c r="I232" i="40"/>
  <c r="I228" i="40"/>
  <c r="J228" i="40"/>
  <c r="K228" i="40"/>
  <c r="J232" i="46"/>
  <c r="P228" i="38"/>
  <c r="P232" i="38"/>
  <c r="O232" i="54"/>
  <c r="P228" i="46"/>
  <c r="P232" i="46"/>
  <c r="L232" i="65"/>
  <c r="N232" i="46"/>
  <c r="I232" i="46"/>
  <c r="I228" i="46"/>
  <c r="J228" i="46"/>
  <c r="K228" i="46"/>
  <c r="L228" i="46"/>
  <c r="M228" i="46"/>
  <c r="N228" i="46"/>
  <c r="O228" i="46"/>
  <c r="M232" i="49"/>
  <c r="I232" i="49"/>
  <c r="I228" i="49"/>
  <c r="J228" i="49"/>
  <c r="K228" i="49"/>
  <c r="L228" i="49"/>
  <c r="M228" i="49"/>
  <c r="N228" i="49"/>
  <c r="L232" i="53"/>
  <c r="I232" i="53"/>
  <c r="I228" i="53"/>
  <c r="J228" i="53"/>
  <c r="K228" i="53"/>
  <c r="L228" i="53"/>
  <c r="M228" i="53"/>
  <c r="L228" i="68"/>
  <c r="M228" i="68"/>
  <c r="N228" i="68"/>
  <c r="O228" i="68"/>
  <c r="P228" i="68"/>
  <c r="P232" i="68"/>
  <c r="O232" i="58"/>
  <c r="J228" i="58"/>
  <c r="K228" i="58"/>
  <c r="L228" i="58"/>
  <c r="M228" i="58"/>
  <c r="N228" i="58"/>
  <c r="O228" i="58"/>
  <c r="P228" i="58"/>
  <c r="O232" i="56"/>
  <c r="I232" i="62"/>
  <c r="I228" i="62"/>
  <c r="J228" i="62"/>
  <c r="K228" i="62"/>
  <c r="L228" i="62"/>
  <c r="M228" i="62"/>
  <c r="N228" i="62"/>
  <c r="O228" i="62"/>
  <c r="P228" i="62"/>
  <c r="P232" i="62"/>
  <c r="I232" i="65"/>
  <c r="I228" i="65"/>
  <c r="J228" i="65"/>
  <c r="K228" i="65"/>
  <c r="L228" i="65"/>
  <c r="M228" i="65"/>
  <c r="N228" i="65"/>
  <c r="O228" i="65"/>
  <c r="P228" i="65"/>
  <c r="P232" i="65"/>
  <c r="L228" i="63"/>
  <c r="I232" i="63"/>
  <c r="I228" i="63"/>
  <c r="J228" i="63"/>
  <c r="K228" i="63"/>
  <c r="K232" i="63"/>
  <c r="I232" i="17"/>
  <c r="I228" i="17"/>
  <c r="K228" i="67"/>
  <c r="I232" i="67"/>
  <c r="I228" i="67"/>
  <c r="J228" i="67"/>
  <c r="J232" i="67"/>
  <c r="M232" i="38"/>
  <c r="I232" i="52"/>
  <c r="I228" i="52"/>
  <c r="J228" i="52"/>
  <c r="K228" i="52"/>
  <c r="L228" i="52"/>
  <c r="M228" i="52"/>
  <c r="N228" i="52"/>
  <c r="O228" i="52"/>
  <c r="P228" i="52"/>
  <c r="P232" i="52"/>
  <c r="N232" i="64"/>
  <c r="I232" i="64"/>
  <c r="I228" i="64"/>
  <c r="J228" i="64"/>
  <c r="K228" i="64"/>
  <c r="L228" i="64"/>
  <c r="M228" i="64"/>
  <c r="N228" i="64"/>
  <c r="O228" i="64"/>
  <c r="I232" i="56"/>
  <c r="I228" i="56"/>
  <c r="J228" i="56"/>
  <c r="K228" i="56"/>
  <c r="L228" i="56"/>
  <c r="M228" i="56"/>
  <c r="N228" i="56"/>
  <c r="O228" i="56"/>
  <c r="P228" i="56"/>
  <c r="P232" i="56"/>
  <c r="O232" i="44"/>
  <c r="J228" i="44"/>
  <c r="K228" i="44"/>
  <c r="L228" i="44"/>
  <c r="M228" i="44"/>
  <c r="N228" i="44"/>
  <c r="O228" i="44"/>
  <c r="P228" i="44"/>
  <c r="I232" i="60"/>
  <c r="I228" i="60"/>
  <c r="O228" i="38"/>
  <c r="I232" i="38"/>
  <c r="I228" i="38"/>
  <c r="J228" i="38"/>
  <c r="K228" i="38"/>
  <c r="L228" i="38"/>
  <c r="M228" i="38"/>
  <c r="N228" i="38"/>
  <c r="N232" i="38"/>
  <c r="M232" i="42"/>
  <c r="O232" i="47"/>
  <c r="K228" i="47"/>
  <c r="L228" i="47"/>
  <c r="M228" i="47"/>
  <c r="N228" i="47"/>
  <c r="O228" i="47"/>
  <c r="P228" i="47"/>
  <c r="J228" i="54"/>
  <c r="K228" i="54"/>
  <c r="L228" i="54"/>
  <c r="M228" i="54"/>
  <c r="N228" i="54"/>
  <c r="O228" i="54"/>
  <c r="P228" i="54"/>
  <c r="P232" i="54"/>
  <c r="I232" i="66"/>
  <c r="I228" i="66"/>
  <c r="J228" i="66"/>
  <c r="K228" i="66"/>
  <c r="L228" i="66"/>
  <c r="M228" i="66"/>
  <c r="N228" i="66"/>
  <c r="O228" i="66"/>
  <c r="P228" i="66"/>
  <c r="P232" i="66"/>
  <c r="K228" i="68"/>
  <c r="J228" i="68"/>
  <c r="J232" i="68"/>
  <c r="I232" i="54"/>
  <c r="I228" i="54"/>
  <c r="I232" i="59"/>
  <c r="I228" i="59"/>
  <c r="I232" i="47"/>
  <c r="I228" i="47"/>
  <c r="J228" i="47"/>
  <c r="J228" i="51"/>
  <c r="I232" i="51"/>
  <c r="I228" i="51"/>
  <c r="J228" i="42"/>
  <c r="K228" i="42"/>
  <c r="L228" i="42"/>
  <c r="M228" i="42"/>
  <c r="N228" i="42"/>
  <c r="O228" i="42"/>
  <c r="P228" i="42"/>
  <c r="P232" i="42"/>
  <c r="I232" i="41"/>
  <c r="I228" i="41"/>
  <c r="J228" i="41"/>
  <c r="K228" i="41"/>
  <c r="L228" i="41"/>
  <c r="M228" i="41"/>
  <c r="N228" i="41"/>
  <c r="O228" i="41"/>
  <c r="P228" i="41"/>
  <c r="P232" i="41"/>
  <c r="I232" i="42"/>
  <c r="I228" i="42"/>
  <c r="I232" i="58"/>
  <c r="I228" i="58"/>
  <c r="I232" i="57"/>
  <c r="I228" i="57"/>
  <c r="J228" i="57"/>
  <c r="K228" i="57"/>
  <c r="L228" i="57"/>
  <c r="M228" i="57"/>
  <c r="N228" i="57"/>
  <c r="O228" i="57"/>
  <c r="P228" i="57"/>
  <c r="P232" i="57"/>
  <c r="I232" i="68"/>
  <c r="I228" i="68"/>
  <c r="I232" i="44"/>
  <c r="I228" i="44"/>
  <c r="I232" i="45"/>
  <c r="I228" i="45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<sst xmlns="http://schemas.openxmlformats.org/spreadsheetml/2006/main" count="8560" uniqueCount="263">
  <si>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</si>
  <si>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</si>
  <si>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</si>
  <si>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</si>
  <si>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</si>
  <si>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</si>
  <si>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</si>
  <si>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</si>
  <si>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</si>
  <si>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</si>
  <si>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</si>
  <si>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</si>
  <si>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</si>
  <si>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</si>
  <si>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</si>
  <si>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</si>
  <si>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</si>
  <si>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</si>
  <si>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</si>
  <si>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Likhu-IV(52.4)</t>
  </si>
  <si>
    <t>Upper Marsyangdi "A"(50)</t>
  </si>
  <si>
    <t>Upper Bhotekoshi Khola(45)</t>
  </si>
  <si>
    <t>Mistri Khola(42)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</si>
  <si>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</si>
  <si>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</si>
  <si>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</si>
  <si>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</si>
  <si>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</si>
  <si>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</si>
  <si>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</si>
  <si>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</si>
  <si>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</si>
  <si>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</si>
  <si>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</si>
  <si>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</si>
  <si>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</si>
  <si>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</si>
  <si>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</si>
  <si>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</si>
  <si>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</si>
  <si>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</si>
  <si>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</si>
  <si>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</si>
  <si>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</si>
  <si>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</si>
  <si>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</si>
  <si>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</si>
  <si>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</si>
  <si>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</si>
  <si>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</si>
  <si>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</si>
  <si>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</si>
  <si>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</si>
  <si>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</si>
  <si>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</si>
  <si>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</si>
  <si>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</si>
  <si>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</si>
  <si>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</si>
  <si>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</si>
  <si>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</si>
  <si>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</si>
  <si>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</si>
  <si>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</si>
  <si>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</si>
  <si>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</si>
  <si>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</si>
  <si>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</si>
  <si>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</si>
  <si>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</si>
  <si>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</si>
  <si>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</si>
  <si>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</si>
  <si>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</si>
  <si>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</si>
  <si>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</si>
  <si>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</si>
  <si>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</si>
  <si>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</si>
  <si>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</si>
  <si>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</si>
  <si>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</si>
  <si>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</si>
  <si>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</si>
  <si>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</si>
  <si>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</si>
  <si>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</si>
  <si>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</si>
  <si>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</si>
  <si>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</si>
  <si>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</si>
  <si>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</si>
  <si>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</si>
  <si>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</si>
  <si>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</si>
  <si>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</si>
  <si>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</si>
  <si>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</si>
  <si>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</si>
  <si>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</si>
  <si>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</si>
  <si>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</si>
  <si>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</si>
  <si>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</si>
  <si>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</si>
  <si>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</si>
  <si>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</si>
  <si>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</si>
  <si>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</si>
  <si>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</si>
  <si>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</si>
  <si>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</si>
  <si>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</si>
  <si>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</si>
  <si>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</si>
  <si>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</si>
  <si>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</si>
  <si>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</si>
  <si>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</si>
  <si>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</si>
  <si>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</si>
  <si>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DHALKE-MIRCHAIYA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</si>
  <si>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</si>
  <si>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</si>
  <si>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</si>
  <si>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</si>
  <si>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</si>
  <si>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</si>
  <si>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</si>
  <si>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</si>
  <si>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</si>
  <si>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</si>
  <si>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</si>
  <si>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</si>
  <si>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</si>
  <si>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</si>
  <si>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</si>
  <si>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</si>
  <si>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</si>
  <si>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</si>
  <si>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</si>
  <si>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</si>
  <si>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</si>
  <si>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</si>
  <si>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</si>
  <si>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</si>
  <si>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</si>
  <si>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</si>
  <si>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</si>
  <si>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</si>
  <si>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</si>
  <si>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</si>
  <si>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</si>
  <si>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</si>
  <si>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</si>
  <si>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</si>
  <si>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</si>
  <si>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</si>
  <si>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</si>
  <si>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</si>
  <si>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</si>
  <si>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</si>
  <si>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</si>
  <si>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</si>
  <si>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</si>
  <si>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</si>
  <si>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</si>
  <si>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</si>
  <si>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</si>
  <si>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</si>
  <si>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</si>
  <si>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</si>
  <si>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</si>
  <si>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</si>
  <si>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</si>
  <si>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</si>
  <si>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</si>
  <si>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</si>
  <si>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</si>
  <si>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</si>
  <si>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</si>
  <si>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</si>
  <si>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</si>
  <si>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</si>
  <si>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</si>
  <si>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</si>
  <si>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</si>
  <si>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</si>
  <si>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</si>
  <si>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</si>
  <si>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</si>
  <si>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</si>
  <si>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</si>
  <si>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</si>
  <si>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</si>
  <si>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</si>
  <si>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</si>
  <si>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</si>
  <si>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</si>
  <si>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</si>
  <si>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</si>
  <si>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</si>
  <si>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</si>
  <si>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</si>
  <si>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</si>
  <si>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</si>
  <si>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</si>
  <si>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</si>
  <si>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</si>
  <si>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</si>
  <si>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</si>
  <si>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</si>
  <si>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</si>
  <si>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</si>
  <si>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</si>
  <si>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</si>
  <si>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</si>
  <si>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</si>
  <si>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</si>
  <si>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</si>
  <si>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</si>
  <si>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</si>
  <si>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</si>
  <si>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</si>
  <si>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</si>
  <si>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</si>
  <si>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</si>
  <si>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</si>
  <si>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</si>
  <si>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</si>
  <si>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</si>
  <si>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</si>
  <si>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</si>
  <si>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</si>
  <si>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</si>
  <si>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</si>
  <si>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</si>
  <si>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</si>
  <si>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</si>
  <si>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</si>
  <si>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</si>
  <si>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</si>
  <si>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</si>
  <si>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</si>
  <si>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</si>
  <si>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</si>
  <si>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</si>
  <si>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</si>
  <si>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</si>
  <si>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</si>
  <si>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</si>
  <si>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Solu Khola Dudhkoshi(86)</t>
  </si>
  <si>
    <t>Upper Kalanga Gad(38.46)</t>
  </si>
  <si>
    <t>Kalanga Gad(15.33)</t>
  </si>
  <si>
    <t>Makari Gad(10.0)</t>
  </si>
  <si>
    <t>.18.2</t>
  </si>
  <si>
    <t>PN</t>
  </si>
  <si>
    <t>SD from 21 March @8:02</t>
  </si>
  <si>
    <t>36.3.</t>
  </si>
  <si>
    <t>130..6</t>
  </si>
  <si>
    <t>20.3.</t>
  </si>
  <si>
    <t xml:space="preserve">system collapse </t>
  </si>
  <si>
    <t>65.1.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</si>
</sst>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3" fillId="0" borderId="0"/>
    <xf numFmtId="0" fontId="33" fillId="0" borderId="0"/>
    <xf numFmtId="164" fontId="34" fillId="0" borderId="0"/>
    <xf numFmtId="164" fontId="34" fillId="0" borderId="0"/>
    <xf numFmtId="0" fontId="34" fillId="0" borderId="0"/>
    <xf numFmtId="0" fontId="35" fillId="0" borderId="0"/>
    <xf numFmtId="164" fontId="1" fillId="0" borderId="0"/>
    <xf numFmtId="0" fontId="35" fillId="0" borderId="0"/>
    <xf numFmtId="0" fontId="33" fillId="0" borderId="0"/>
    <xf numFmtId="0" fontId="34" fillId="0" borderId="0"/>
  </cellStyleXfs>
  <cellXfs count="223">
    <xf numFmtId="0" fontId="0" fillId="0" borderId="0" xfId="0"/>
    <xf numFmtId="164" fontId="1" fillId="0" borderId="0" xfId="2" applyNumberFormat="1"/>
    <xf numFmtId="164" fontId="1" fillId="0" borderId="0" xfId="2"/>
    <xf numFmtId="164" fontId="1" fillId="0" borderId="0" xfId="2" applyFill="1" applyBorder="1" applyProtection="1">
      <protection locked="0"/>
    </xf>
    <xf numFmtId="164" fontId="1" fillId="0" borderId="0" xfId="2" applyFill="1" applyBorder="1"/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Border="1" applyAlignment="1">
      <alignment vertical="center"/>
    </xf>
    <xf numFmtId="14" fontId="8" fillId="0" borderId="0" xfId="2" applyNumberFormat="1" applyFont="1" applyBorder="1" applyAlignment="1">
      <alignment vertical="center"/>
    </xf>
    <xf numFmtId="164" fontId="4" fillId="0" borderId="0" xfId="2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Fill="1" applyBorder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Fill="1" applyBorder="1" applyAlignment="1">
      <alignment horizontal="center" vertical="center"/>
    </xf>
    <xf numFmtId="165" fontId="14" fillId="0" borderId="0" xfId="2" applyNumberFormat="1" applyFont="1" applyFill="1" applyBorder="1" applyAlignme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NumberFormat="1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1" fillId="0" borderId="0" xfId="2" applyFill="1"/>
    <xf numFmtId="164" fontId="2" fillId="0" borderId="0" xfId="2" applyFont="1" applyFill="1"/>
    <xf numFmtId="20" fontId="1" fillId="0" borderId="0" xfId="2" applyNumberFormat="1" applyAlignment="1">
      <alignment horizontal="center" vertical="center"/>
    </xf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Fill="1" applyAlignment="1">
      <alignment horizontal="center"/>
    </xf>
    <xf numFmtId="164" fontId="18" fillId="0" borderId="0" xfId="2" applyFont="1" applyFill="1"/>
    <xf numFmtId="164" fontId="18" fillId="0" borderId="0" xfId="2" applyFont="1" applyFill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0" xfId="2" applyFont="1" applyBorder="1" applyAlignment="1">
      <alignment vertical="center"/>
    </xf>
    <xf numFmtId="164" fontId="12" fillId="0" borderId="0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6" fontId="12" fillId="11" borderId="25" xfId="2" applyNumberFormat="1" applyFont="1" applyFill="1" applyBorder="1" applyAlignment="1" applyProtection="1">
      <alignment horizontal="center" vertical="center"/>
      <protection locked="0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2" fillId="12" borderId="0" xfId="2" applyFont="1" applyFill="1"/>
    <xf numFmtId="20" fontId="1" fillId="0" borderId="39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40" xfId="2" applyNumberFormat="1" applyFont="1" applyBorder="1" applyAlignment="1" applyProtection="1">
      <alignment horizontal="center" vertical="center"/>
      <protection locked="0"/>
    </xf>
    <xf numFmtId="164" fontId="12" fillId="0" borderId="41" xfId="2" applyFont="1" applyBorder="1" applyAlignment="1">
      <alignment horizontal="right" vertical="center"/>
    </xf>
    <xf numFmtId="169" fontId="12" fillId="0" borderId="42" xfId="2" applyNumberFormat="1" applyFont="1" applyBorder="1" applyAlignment="1">
      <alignment horizontal="center" vertical="center"/>
    </xf>
    <xf numFmtId="164" fontId="1" fillId="0" borderId="5" xfId="2" applyBorder="1"/>
    <xf numFmtId="166" fontId="12" fillId="12" borderId="43" xfId="2" applyNumberFormat="1" applyFont="1" applyFill="1" applyBorder="1" applyAlignment="1" applyProtection="1">
      <alignment horizontal="center" vertical="center"/>
      <protection locked="0"/>
    </xf>
    <xf numFmtId="169" fontId="16" fillId="0" borderId="44" xfId="2" applyNumberFormat="1" applyFont="1" applyBorder="1" applyAlignment="1">
      <alignment horizontal="center" vertical="center"/>
    </xf>
    <xf numFmtId="166" fontId="12" fillId="0" borderId="45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64" fontId="1" fillId="0" borderId="48" xfId="2" applyBorder="1"/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6" fontId="12" fillId="0" borderId="3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2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2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9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50" xfId="2" applyNumberFormat="1" applyFont="1" applyBorder="1" applyAlignment="1">
      <alignment horizontal="center" vertical="center"/>
    </xf>
    <xf numFmtId="164" fontId="12" fillId="0" borderId="51" xfId="2" applyFont="1" applyBorder="1" applyAlignment="1">
      <alignment horizontal="right" vertical="center"/>
    </xf>
    <xf numFmtId="169" fontId="12" fillId="0" borderId="52" xfId="2" applyNumberFormat="1" applyFont="1" applyBorder="1" applyAlignment="1">
      <alignment horizontal="center" vertical="center"/>
    </xf>
    <xf numFmtId="164" fontId="12" fillId="0" borderId="5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52" xfId="2" applyNumberFormat="1" applyFont="1" applyBorder="1" applyAlignment="1">
      <alignment horizontal="center"/>
    </xf>
    <xf numFmtId="169" fontId="12" fillId="0" borderId="54" xfId="2" applyNumberFormat="1" applyFont="1" applyBorder="1" applyAlignment="1">
      <alignment horizontal="center" vertical="center"/>
    </xf>
    <xf numFmtId="164" fontId="16" fillId="0" borderId="0" xfId="2" applyFont="1" applyBorder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5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4" fontId="12" fillId="0" borderId="56" xfId="2" applyFont="1" applyBorder="1" applyAlignment="1">
      <alignment horizontal="right" vertical="center"/>
    </xf>
    <xf numFmtId="166" fontId="12" fillId="0" borderId="57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Border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48" xfId="2" applyFont="1" applyBorder="1" applyAlignment="1">
      <alignment vertical="center"/>
    </xf>
    <xf numFmtId="164" fontId="1" fillId="0" borderId="58" xfId="2" applyBorder="1" applyAlignment="1">
      <alignment horizontal="center"/>
    </xf>
    <xf numFmtId="169" fontId="1" fillId="0" borderId="59" xfId="2" applyNumberFormat="1" applyBorder="1" applyAlignment="1">
      <alignment horizontal="center"/>
    </xf>
    <xf numFmtId="166" fontId="1" fillId="0" borderId="0" xfId="2" applyNumberFormat="1" applyBorder="1" applyAlignment="1" applyProtection="1">
      <alignment horizontal="center"/>
      <protection locked="0"/>
    </xf>
    <xf numFmtId="164" fontId="12" fillId="0" borderId="60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61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9" fontId="25" fillId="0" borderId="62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63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4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169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40" xfId="2" applyNumberFormat="1" applyFont="1" applyBorder="1" applyAlignment="1">
      <alignment horizontal="center" vertical="center"/>
    </xf>
    <xf numFmtId="169" fontId="28" fillId="0" borderId="62" xfId="2" applyNumberFormat="1" applyFont="1" applyBorder="1" applyAlignment="1">
      <alignment horizontal="center" vertical="center"/>
    </xf>
    <xf numFmtId="164" fontId="12" fillId="0" borderId="63" xfId="2" applyFont="1" applyBorder="1" applyAlignment="1">
      <alignment horizontal="right" vertical="center"/>
    </xf>
    <xf numFmtId="169" fontId="1" fillId="0" borderId="65" xfId="2" applyNumberFormat="1" applyBorder="1" applyAlignment="1">
      <alignment horizontal="center"/>
    </xf>
    <xf numFmtId="164" fontId="16" fillId="0" borderId="49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60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61" xfId="2" applyNumberFormat="1" applyFont="1" applyBorder="1" applyAlignment="1">
      <alignment horizontal="center" vertical="center"/>
    </xf>
    <xf numFmtId="164" fontId="1" fillId="0" borderId="66" xfId="2" applyBorder="1" applyAlignment="1">
      <alignment horizontal="center"/>
    </xf>
    <xf numFmtId="164" fontId="16" fillId="0" borderId="51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40" xfId="2" applyNumberFormat="1" applyFont="1" applyBorder="1" applyAlignment="1">
      <alignment horizontal="center" vertical="center"/>
    </xf>
    <xf numFmtId="164" fontId="16" fillId="0" borderId="67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3" borderId="6" xfId="2" applyFont="1" applyFill="1" applyBorder="1" applyAlignment="1">
      <alignment vertical="center"/>
    </xf>
    <xf numFmtId="1" fontId="1" fillId="13" borderId="6" xfId="2" applyNumberFormat="1" applyFill="1" applyBorder="1"/>
    <xf numFmtId="20" fontId="30" fillId="13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5" borderId="0" xfId="2" applyFont="1" applyFill="1"/>
    <xf numFmtId="164" fontId="1" fillId="16" borderId="0" xfId="2" applyFill="1" applyProtection="1">
      <protection locked="0"/>
    </xf>
    <xf numFmtId="164" fontId="1" fillId="0" borderId="0" xfId="2" applyAlignment="1"/>
    <xf numFmtId="164" fontId="16" fillId="0" borderId="0" xfId="2" applyFont="1" applyBorder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8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6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NumberFormat="1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7" fontId="12" fillId="0" borderId="18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9" xfId="2" applyNumberFormat="1" applyFont="1" applyBorder="1" applyAlignment="1">
      <alignment horizontal="center" vertical="center"/>
    </xf>
    <xf numFmtId="166" fontId="16" fillId="12" borderId="46" xfId="2" applyNumberFormat="1" applyFont="1" applyFill="1" applyBorder="1" applyAlignment="1">
      <alignment horizontal="center" vertical="center"/>
    </xf>
    <xf numFmtId="166" fontId="16" fillId="12" borderId="47" xfId="2" applyNumberFormat="1" applyFont="1" applyFill="1" applyBorder="1" applyAlignment="1">
      <alignment horizontal="center" vertical="center"/>
    </xf>
    <xf numFmtId="164" fontId="31" fillId="14" borderId="0" xfId="2" applyFont="1" applyFill="1" applyAlignment="1">
      <alignment horizont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6" fontId="12" fillId="0" borderId="69" xfId="2" applyNumberFormat="1" applyFont="1" applyBorder="1" applyAlignment="1" applyProtection="1">
      <alignment horizontal="center" vertical="center"/>
      <protection locked="0"/>
    </xf>
    <xf numFmtId="166" fontId="12" fillId="0" borderId="66" xfId="2" applyNumberFormat="1" applyFont="1" applyBorder="1" applyAlignment="1" applyProtection="1">
      <alignment horizontal="center" vertical="center"/>
      <protection locked="0"/>
    </xf>
    <xf numFmtId="166" fontId="12" fillId="0" borderId="3" xfId="2" applyNumberFormat="1" applyFont="1" applyBorder="1" applyAlignment="1" applyProtection="1">
      <alignment horizontal="center" vertical="center" textRotation="135"/>
      <protection locked="0"/>
    </xf>
    <xf numFmtId="166" fontId="12" fillId="0" borderId="18" xfId="2" applyNumberFormat="1" applyFont="1" applyBorder="1" applyAlignment="1" applyProtection="1">
      <alignment horizontal="center" vertical="center" textRotation="135"/>
      <protection locked="0"/>
    </xf>
    <xf numFmtId="166" fontId="12" fillId="0" borderId="25" xfId="2" applyNumberFormat="1" applyFont="1" applyBorder="1" applyAlignment="1" applyProtection="1">
      <alignment horizontal="center" vertical="center" textRotation="135"/>
      <protection locked="0"/>
    </xf>
    <xf numFmtId="2" fontId="8" fillId="0" borderId="0" xfId="2" applyNumberFormat="1" applyFont="1" applyBorder="1" applyAlignment="1">
      <alignment vertical="center"/>
    </xf>
  </cellXfs>
  <cellStyles count="14">
    <cellStyle name="Comma" xfId="1" builtinId="3"/>
    <cellStyle name="Normal" xfId="0" builtinId="0"/>
    <cellStyle name="Normal 2" xfId="2"/>
    <cellStyle name="Normal 2 2" xfId="3"/>
    <cellStyle name="Normal 2 2 2" xfId="4"/>
    <cellStyle name="Normal 2 2 3" xfId="5"/>
    <cellStyle name="Normal 2 2_14" xfId="12"/>
    <cellStyle name="Normal 2 3" xfId="6"/>
    <cellStyle name="Normal 2 3 2" xfId="7"/>
    <cellStyle name="Normal 2 3 3" xfId="8"/>
    <cellStyle name="Normal 2 3_14" xfId="13"/>
    <cellStyle name="Normal 2 4" xfId="9"/>
    <cellStyle name="Normal 2 5" xfId="10"/>
    <cellStyle name="Normal 2_14" xfId="11"/>
  </cellStyles>
  <dxfs count="11990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62112"/>
        <c:axId val="149206528"/>
      </c:lineChart>
      <c:catAx>
        <c:axId val="147962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6528"/>
        <c:crosses val="autoZero"/>
        <c:auto val="1"/>
        <c:lblAlgn val="ctr"/>
        <c:lblOffset val="100"/>
        <c:noMultiLvlLbl val="0"/>
      </c:catAx>
      <c:valAx>
        <c:axId val="149206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95296"/>
        <c:axId val="163563008"/>
      </c:lineChart>
      <c:catAx>
        <c:axId val="163495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3008"/>
        <c:crosses val="autoZero"/>
        <c:auto val="1"/>
        <c:lblAlgn val="ctr"/>
        <c:lblOffset val="100"/>
        <c:noMultiLvlLbl val="0"/>
      </c:catAx>
      <c:valAx>
        <c:axId val="163563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92320"/>
        <c:axId val="167999744"/>
      </c:lineChart>
      <c:catAx>
        <c:axId val="167992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9744"/>
        <c:crosses val="autoZero"/>
        <c:auto val="1"/>
        <c:lblAlgn val="ctr"/>
        <c:lblOffset val="100"/>
        <c:noMultiLvlLbl val="0"/>
      </c:catAx>
      <c:valAx>
        <c:axId val="167999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9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39744"/>
        <c:axId val="188624256"/>
      </c:lineChart>
      <c:catAx>
        <c:axId val="187439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4256"/>
        <c:crosses val="autoZero"/>
        <c:auto val="1"/>
        <c:lblAlgn val="ctr"/>
        <c:lblOffset val="100"/>
        <c:noMultiLvlLbl val="0"/>
      </c:catAx>
      <c:valAx>
        <c:axId val="188624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3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972288"/>
        <c:axId val="301539712"/>
      </c:lineChart>
      <c:catAx>
        <c:axId val="300972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539712"/>
        <c:crosses val="autoZero"/>
        <c:auto val="1"/>
        <c:lblAlgn val="ctr"/>
        <c:lblOffset val="100"/>
        <c:noMultiLvlLbl val="0"/>
      </c:catAx>
      <c:valAx>
        <c:axId val="301539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7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298624"/>
        <c:axId val="470300544"/>
      </c:lineChart>
      <c:catAx>
        <c:axId val="470298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00544"/>
        <c:crosses val="autoZero"/>
        <c:auto val="1"/>
        <c:lblAlgn val="ctr"/>
        <c:lblOffset val="100"/>
        <c:noMultiLvlLbl val="0"/>
      </c:catAx>
      <c:valAx>
        <c:axId val="470300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29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833536"/>
        <c:axId val="422835712"/>
      </c:lineChart>
      <c:catAx>
        <c:axId val="422833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35712"/>
        <c:crosses val="autoZero"/>
        <c:auto val="1"/>
        <c:lblAlgn val="ctr"/>
        <c:lblOffset val="100"/>
        <c:noMultiLvlLbl val="0"/>
      </c:catAx>
      <c:valAx>
        <c:axId val="422835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3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784448"/>
        <c:axId val="471786624"/>
      </c:lineChart>
      <c:catAx>
        <c:axId val="471784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86624"/>
        <c:crosses val="autoZero"/>
        <c:auto val="1"/>
        <c:lblAlgn val="ctr"/>
        <c:lblOffset val="100"/>
        <c:noMultiLvlLbl val="0"/>
      </c:catAx>
      <c:valAx>
        <c:axId val="4717866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8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165568"/>
        <c:axId val="513171840"/>
      </c:lineChart>
      <c:catAx>
        <c:axId val="513165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71840"/>
        <c:crosses val="autoZero"/>
        <c:auto val="1"/>
        <c:lblAlgn val="ctr"/>
        <c:lblOffset val="100"/>
        <c:noMultiLvlLbl val="0"/>
      </c:catAx>
      <c:valAx>
        <c:axId val="513171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6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780736"/>
        <c:axId val="513889408"/>
      </c:lineChart>
      <c:catAx>
        <c:axId val="513780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889408"/>
        <c:crosses val="autoZero"/>
        <c:auto val="1"/>
        <c:lblAlgn val="ctr"/>
        <c:lblOffset val="100"/>
        <c:noMultiLvlLbl val="0"/>
      </c:catAx>
      <c:valAx>
        <c:axId val="513889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178240"/>
        <c:axId val="471180416"/>
      </c:lineChart>
      <c:catAx>
        <c:axId val="471178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180416"/>
        <c:crosses val="autoZero"/>
        <c:auto val="1"/>
        <c:lblAlgn val="ctr"/>
        <c:lblOffset val="100"/>
        <c:noMultiLvlLbl val="0"/>
      </c:catAx>
      <c:valAx>
        <c:axId val="471180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1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336448"/>
        <c:axId val="515350912"/>
      </c:lineChart>
      <c:catAx>
        <c:axId val="515336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50912"/>
        <c:crosses val="autoZero"/>
        <c:auto val="1"/>
        <c:lblAlgn val="ctr"/>
        <c:lblOffset val="100"/>
        <c:noMultiLvlLbl val="0"/>
      </c:catAx>
      <c:valAx>
        <c:axId val="515350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3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926272"/>
        <c:axId val="515936640"/>
      </c:lineChart>
      <c:catAx>
        <c:axId val="515926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36640"/>
        <c:crosses val="autoZero"/>
        <c:auto val="1"/>
        <c:lblAlgn val="ctr"/>
        <c:lblOffset val="100"/>
        <c:noMultiLvlLbl val="0"/>
      </c:catAx>
      <c:valAx>
        <c:axId val="515936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2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894720"/>
        <c:axId val="516896640"/>
      </c:lineChart>
      <c:catAx>
        <c:axId val="516894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96640"/>
        <c:crosses val="autoZero"/>
        <c:auto val="1"/>
        <c:lblAlgn val="ctr"/>
        <c:lblOffset val="100"/>
        <c:noMultiLvlLbl val="0"/>
      </c:catAx>
      <c:valAx>
        <c:axId val="516896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9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251840"/>
        <c:axId val="517253760"/>
      </c:lineChart>
      <c:catAx>
        <c:axId val="517251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3760"/>
        <c:crosses val="autoZero"/>
        <c:auto val="1"/>
        <c:lblAlgn val="ctr"/>
        <c:lblOffset val="100"/>
        <c:noMultiLvlLbl val="0"/>
      </c:catAx>
      <c:valAx>
        <c:axId val="517253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5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423104"/>
        <c:axId val="517425024"/>
      </c:lineChart>
      <c:catAx>
        <c:axId val="517423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25024"/>
        <c:crosses val="autoZero"/>
        <c:auto val="1"/>
        <c:lblAlgn val="ctr"/>
        <c:lblOffset val="100"/>
        <c:noMultiLvlLbl val="0"/>
      </c:catAx>
      <c:valAx>
        <c:axId val="517425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2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561152"/>
        <c:axId val="518563328"/>
      </c:lineChart>
      <c:catAx>
        <c:axId val="518561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63328"/>
        <c:crosses val="autoZero"/>
        <c:auto val="1"/>
        <c:lblAlgn val="ctr"/>
        <c:lblOffset val="100"/>
        <c:noMultiLvlLbl val="0"/>
      </c:catAx>
      <c:valAx>
        <c:axId val="518563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6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289472"/>
        <c:axId val="519295744"/>
      </c:lineChart>
      <c:catAx>
        <c:axId val="519289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95744"/>
        <c:crosses val="autoZero"/>
        <c:auto val="1"/>
        <c:lblAlgn val="ctr"/>
        <c:lblOffset val="100"/>
        <c:noMultiLvlLbl val="0"/>
      </c:catAx>
      <c:valAx>
        <c:axId val="519295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917952"/>
        <c:axId val="519919872"/>
      </c:lineChart>
      <c:catAx>
        <c:axId val="519917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19872"/>
        <c:crosses val="autoZero"/>
        <c:auto val="1"/>
        <c:lblAlgn val="ctr"/>
        <c:lblOffset val="100"/>
        <c:noMultiLvlLbl val="0"/>
      </c:catAx>
      <c:valAx>
        <c:axId val="519919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893184"/>
        <c:axId val="520895104"/>
      </c:lineChart>
      <c:catAx>
        <c:axId val="520893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95104"/>
        <c:crosses val="autoZero"/>
        <c:auto val="1"/>
        <c:lblAlgn val="ctr"/>
        <c:lblOffset val="100"/>
        <c:noMultiLvlLbl val="0"/>
      </c:catAx>
      <c:valAx>
        <c:axId val="520895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9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290496"/>
        <c:axId val="521292416"/>
      </c:lineChart>
      <c:catAx>
        <c:axId val="521290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92416"/>
        <c:crosses val="autoZero"/>
        <c:auto val="1"/>
        <c:lblAlgn val="ctr"/>
        <c:lblOffset val="100"/>
        <c:noMultiLvlLbl val="0"/>
      </c:catAx>
      <c:valAx>
        <c:axId val="521292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908992"/>
        <c:axId val="521910912"/>
      </c:lineChart>
      <c:catAx>
        <c:axId val="521908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10912"/>
        <c:crosses val="autoZero"/>
        <c:auto val="1"/>
        <c:lblAlgn val="ctr"/>
        <c:lblOffset val="100"/>
        <c:noMultiLvlLbl val="0"/>
      </c:catAx>
      <c:valAx>
        <c:axId val="521910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0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379584"/>
        <c:axId val="515381504"/>
      </c:lineChart>
      <c:catAx>
        <c:axId val="515379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81504"/>
        <c:crosses val="autoZero"/>
        <c:auto val="1"/>
        <c:lblAlgn val="ctr"/>
        <c:lblOffset val="100"/>
        <c:noMultiLvlLbl val="0"/>
      </c:catAx>
      <c:valAx>
        <c:axId val="515381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273728"/>
        <c:axId val="523275648"/>
      </c:lineChart>
      <c:catAx>
        <c:axId val="523273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75648"/>
        <c:crosses val="autoZero"/>
        <c:auto val="1"/>
        <c:lblAlgn val="ctr"/>
        <c:lblOffset val="100"/>
        <c:noMultiLvlLbl val="0"/>
      </c:catAx>
      <c:valAx>
        <c:axId val="523275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27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875840"/>
        <c:axId val="523877760"/>
      </c:lineChart>
      <c:catAx>
        <c:axId val="523875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77760"/>
        <c:crosses val="autoZero"/>
        <c:auto val="1"/>
        <c:lblAlgn val="ctr"/>
        <c:lblOffset val="100"/>
        <c:noMultiLvlLbl val="0"/>
      </c:catAx>
      <c:valAx>
        <c:axId val="523877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495296"/>
        <c:axId val="523325440"/>
      </c:lineChart>
      <c:catAx>
        <c:axId val="523495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25440"/>
        <c:crosses val="autoZero"/>
        <c:auto val="1"/>
        <c:lblAlgn val="ctr"/>
        <c:lblOffset val="100"/>
        <c:noMultiLvlLbl val="0"/>
      </c:catAx>
      <c:valAx>
        <c:axId val="523325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88960"/>
        <c:axId val="525290880"/>
      </c:lineChart>
      <c:catAx>
        <c:axId val="525288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90880"/>
        <c:crosses val="autoZero"/>
        <c:auto val="1"/>
        <c:lblAlgn val="ctr"/>
        <c:lblOffset val="100"/>
        <c:noMultiLvlLbl val="0"/>
      </c:catAx>
      <c:valAx>
        <c:axId val="525290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8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576832"/>
        <c:axId val="525583104"/>
      </c:lineChart>
      <c:catAx>
        <c:axId val="525576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83104"/>
        <c:crosses val="autoZero"/>
        <c:auto val="1"/>
        <c:lblAlgn val="ctr"/>
        <c:lblOffset val="100"/>
        <c:noMultiLvlLbl val="0"/>
      </c:catAx>
      <c:valAx>
        <c:axId val="525583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7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903168"/>
        <c:axId val="526905344"/>
      </c:lineChart>
      <c:catAx>
        <c:axId val="526903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05344"/>
        <c:crosses val="autoZero"/>
        <c:auto val="1"/>
        <c:lblAlgn val="ctr"/>
        <c:lblOffset val="100"/>
        <c:noMultiLvlLbl val="0"/>
      </c:catAx>
      <c:valAx>
        <c:axId val="526905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0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7596160"/>
        <c:axId val="527602432"/>
      </c:lineChart>
      <c:catAx>
        <c:axId val="527596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02432"/>
        <c:crosses val="autoZero"/>
        <c:auto val="1"/>
        <c:lblAlgn val="ctr"/>
        <c:lblOffset val="100"/>
        <c:noMultiLvlLbl val="0"/>
      </c:catAx>
      <c:valAx>
        <c:axId val="527602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9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315904"/>
        <c:axId val="528317824"/>
      </c:lineChart>
      <c:catAx>
        <c:axId val="528315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17824"/>
        <c:crosses val="autoZero"/>
        <c:auto val="1"/>
        <c:lblAlgn val="ctr"/>
        <c:lblOffset val="100"/>
        <c:noMultiLvlLbl val="0"/>
      </c:catAx>
      <c:valAx>
        <c:axId val="528317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1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'[2]4'!$B$240:$B$244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'[2]4'!$T$240:$AX$240</c:f>
              <c:numCache>
                <c:formatCode>General</c:formatCode>
                <c:ptCount val="31"/>
              </c:numCache>
            </c:numRef>
          </c:cat>
          <c:val>
            <c:numRef>
              <c:f>'[2]4'!$U$241:$AX$241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975360"/>
        <c:axId val="528977280"/>
      </c:lineChart>
      <c:catAx>
        <c:axId val="52897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77280"/>
        <c:crosses val="autoZero"/>
        <c:auto val="1"/>
        <c:lblAlgn val="ctr"/>
        <c:lblOffset val="100"/>
        <c:noMultiLvlLbl val="0"/>
      </c:catAx>
      <c:valAx>
        <c:axId val="5289772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7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243</xdr:row>
      <xdr:rowOff>57156</xdr:rowOff>
    </xdr:from>
    <xdr:to>
      <xdr:col>15</xdr:col>
      <xdr:colOff>219074</xdr:colOff>
      <xdr:row>265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561476F-50FE-4BAB-95FC-348A22B56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246</xdr:row>
      <xdr:rowOff>133356</xdr:rowOff>
    </xdr:from>
    <xdr:to>
      <xdr:col>32</xdr:col>
      <xdr:colOff>9524</xdr:colOff>
      <xdr:row>264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3E22391-8E74-41AE-BEDF-62270F569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47" activePane="bottomLeft" state="frozen"/>
      <selection activeCell="Z85" sqref="Z85"/>
      <selection pane="bottomLeft" activeCell="AE60" sqref="AE60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</v>
      </c>
      <c r="C4" s="196"/>
      <c r="D4" s="196"/>
      <c r="E4" s="197" t="str">
        <f ca="1">"2079/"&amp;"12/"&amp;INT(MID(CELL("filename",G6),FIND("]",CELL("filename",G6))+1,200))</f>
        <v>2079/12/1</v>
      </c>
      <c r="F4" s="197"/>
      <c r="G4" s="197"/>
      <c r="H4" s="197" t="str">
        <f ca="1">TEXT(E4,"dddd")</f>
        <v>Friday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525</v>
      </c>
      <c r="C5" s="33">
        <f t="shared" si="0"/>
        <v>510</v>
      </c>
      <c r="D5" s="33">
        <f t="shared" si="0"/>
        <v>514.4</v>
      </c>
      <c r="E5" s="33">
        <f t="shared" si="0"/>
        <v>521.4</v>
      </c>
      <c r="F5" s="33">
        <f t="shared" si="0"/>
        <v>553.40000000000009</v>
      </c>
      <c r="G5" s="33">
        <f t="shared" si="0"/>
        <v>558</v>
      </c>
      <c r="H5" s="33">
        <f t="shared" si="0"/>
        <v>549.79999999999995</v>
      </c>
      <c r="I5" s="33">
        <f t="shared" si="0"/>
        <v>508.4</v>
      </c>
      <c r="J5" s="33">
        <f t="shared" si="0"/>
        <v>467.1</v>
      </c>
      <c r="K5" s="33">
        <f t="shared" si="0"/>
        <v>468.7</v>
      </c>
      <c r="L5" s="33">
        <f t="shared" si="0"/>
        <v>526.4</v>
      </c>
      <c r="M5" s="33">
        <f t="shared" si="0"/>
        <v>563.4</v>
      </c>
      <c r="N5" s="33">
        <f t="shared" si="0"/>
        <v>556.4</v>
      </c>
      <c r="O5" s="33">
        <f t="shared" si="0"/>
        <v>574.59999999999991</v>
      </c>
      <c r="P5" s="33">
        <f t="shared" si="0"/>
        <v>562.80000000000007</v>
      </c>
      <c r="Q5" s="33">
        <f t="shared" si="0"/>
        <v>542.79999999999995</v>
      </c>
      <c r="R5" s="33">
        <f t="shared" si="0"/>
        <v>573.6</v>
      </c>
      <c r="S5" s="33">
        <f t="shared" si="0"/>
        <v>587.79999999999995</v>
      </c>
      <c r="T5" s="33">
        <f t="shared" si="0"/>
        <v>556.5</v>
      </c>
      <c r="U5" s="33">
        <f t="shared" si="0"/>
        <v>556.70000000000005</v>
      </c>
      <c r="V5" s="33">
        <f t="shared" si="0"/>
        <v>538.4</v>
      </c>
      <c r="W5" s="33">
        <f t="shared" si="0"/>
        <v>523.1</v>
      </c>
      <c r="X5" s="33">
        <f t="shared" si="0"/>
        <v>513</v>
      </c>
      <c r="Y5" s="33">
        <f t="shared" si="0"/>
        <v>484.5</v>
      </c>
      <c r="Z5" s="33">
        <f t="shared" si="0"/>
        <v>446.90000000000003</v>
      </c>
      <c r="AA5" s="33">
        <f t="shared" si="0"/>
        <v>511.69</v>
      </c>
      <c r="AB5" s="33">
        <f t="shared" si="0"/>
        <v>530.30000000000007</v>
      </c>
      <c r="AC5" s="33">
        <f t="shared" si="0"/>
        <v>525</v>
      </c>
      <c r="AD5" s="33">
        <f t="shared" si="0"/>
        <v>544.9</v>
      </c>
      <c r="AE5" s="33">
        <f t="shared" si="0"/>
        <v>537.79999999999995</v>
      </c>
      <c r="AF5" s="33">
        <f>B82</f>
        <v>539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1416MW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Load=966</v>
      </c>
      <c r="B7" s="38">
        <f t="shared" ref="B7:AF7" si="1">B89</f>
        <v>1018.64</v>
      </c>
      <c r="C7" s="38">
        <f t="shared" si="1"/>
        <v>1004.64</v>
      </c>
      <c r="D7" s="38">
        <f t="shared" si="1"/>
        <v>989.64</v>
      </c>
      <c r="E7" s="38">
        <f t="shared" si="1"/>
        <v>965.54</v>
      </c>
      <c r="F7" s="38">
        <f t="shared" si="1"/>
        <v>971.23900000000003</v>
      </c>
      <c r="G7" s="38">
        <f t="shared" si="1"/>
        <v>1016.2390000000001</v>
      </c>
      <c r="H7" s="38">
        <f t="shared" si="1"/>
        <v>1107.3389999999999</v>
      </c>
      <c r="I7" s="38">
        <f t="shared" si="1"/>
        <v>1162.6489999999999</v>
      </c>
      <c r="J7" s="38">
        <f t="shared" si="1"/>
        <v>1256.049</v>
      </c>
      <c r="K7" s="38">
        <f t="shared" si="1"/>
        <v>1396.1489999999999</v>
      </c>
      <c r="L7" s="38">
        <f t="shared" si="1"/>
        <v>1389.64</v>
      </c>
      <c r="M7" s="38">
        <f t="shared" si="1"/>
        <v>1415.6399999999999</v>
      </c>
      <c r="N7" s="38">
        <f>N89</f>
        <v>1347.6399999999999</v>
      </c>
      <c r="O7" s="38">
        <f t="shared" si="1"/>
        <v>1331.24</v>
      </c>
      <c r="P7" s="38">
        <f t="shared" si="1"/>
        <v>1329.1599999999999</v>
      </c>
      <c r="Q7" s="38">
        <f t="shared" si="1"/>
        <v>1338.74</v>
      </c>
      <c r="R7" s="38">
        <f t="shared" si="1"/>
        <v>1318.54</v>
      </c>
      <c r="S7" s="38">
        <f t="shared" si="1"/>
        <v>1315.44</v>
      </c>
      <c r="T7" s="38">
        <f t="shared" si="1"/>
        <v>1329.1399999999999</v>
      </c>
      <c r="U7" s="38">
        <f t="shared" si="1"/>
        <v>1295.94</v>
      </c>
      <c r="V7" s="38">
        <f t="shared" si="1"/>
        <v>1289.44</v>
      </c>
      <c r="W7" s="38">
        <f t="shared" si="1"/>
        <v>1327.7399999999998</v>
      </c>
      <c r="X7" s="38">
        <f t="shared" si="1"/>
        <v>1415.04</v>
      </c>
      <c r="Y7" s="38">
        <f t="shared" si="1"/>
        <v>1553.84</v>
      </c>
      <c r="Z7" s="38">
        <f t="shared" si="1"/>
        <v>1550.24</v>
      </c>
      <c r="AA7" s="38">
        <f t="shared" si="1"/>
        <v>1486.14</v>
      </c>
      <c r="AB7" s="38">
        <f t="shared" si="1"/>
        <v>1456.6299999999999</v>
      </c>
      <c r="AC7" s="38">
        <f t="shared" si="1"/>
        <v>1413.64</v>
      </c>
      <c r="AD7" s="38">
        <f t="shared" si="1"/>
        <v>1350.7399999999998</v>
      </c>
      <c r="AE7" s="38">
        <f t="shared" si="1"/>
        <v>1193.54</v>
      </c>
      <c r="AF7" s="38">
        <f t="shared" si="1"/>
        <v>1077.54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24</v>
      </c>
      <c r="C11" s="50">
        <v>24</v>
      </c>
      <c r="D11" s="50">
        <v>24</v>
      </c>
      <c r="E11" s="50">
        <v>23</v>
      </c>
      <c r="F11" s="50">
        <v>23</v>
      </c>
      <c r="G11" s="50">
        <v>23</v>
      </c>
      <c r="H11" s="50">
        <v>23</v>
      </c>
      <c r="I11" s="50">
        <v>23</v>
      </c>
      <c r="J11" s="50">
        <v>23</v>
      </c>
      <c r="K11" s="50">
        <v>23</v>
      </c>
      <c r="L11" s="50">
        <v>23</v>
      </c>
      <c r="M11" s="50">
        <v>23</v>
      </c>
      <c r="N11" s="50">
        <v>23</v>
      </c>
      <c r="O11" s="50">
        <v>23</v>
      </c>
      <c r="P11" s="50">
        <v>22</v>
      </c>
      <c r="Q11" s="50">
        <v>22</v>
      </c>
      <c r="R11" s="50">
        <v>22</v>
      </c>
      <c r="S11" s="50">
        <v>22</v>
      </c>
      <c r="T11" s="50">
        <v>22</v>
      </c>
      <c r="U11" s="50">
        <v>22</v>
      </c>
      <c r="V11" s="50">
        <v>22</v>
      </c>
      <c r="W11" s="50">
        <v>22</v>
      </c>
      <c r="X11" s="50">
        <v>22</v>
      </c>
      <c r="Y11" s="50">
        <v>22</v>
      </c>
      <c r="Z11" s="50">
        <v>22</v>
      </c>
      <c r="AA11" s="50">
        <v>22</v>
      </c>
      <c r="AB11" s="50">
        <v>22</v>
      </c>
      <c r="AC11" s="50">
        <v>22</v>
      </c>
      <c r="AD11" s="50">
        <v>22</v>
      </c>
      <c r="AE11" s="50">
        <v>22</v>
      </c>
      <c r="AF11" s="50">
        <v>22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22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14.5</v>
      </c>
      <c r="C12" s="50">
        <v>14.5</v>
      </c>
      <c r="D12" s="50">
        <v>14.5</v>
      </c>
      <c r="E12" s="50">
        <v>14.5</v>
      </c>
      <c r="F12" s="50">
        <v>14.1</v>
      </c>
      <c r="G12" s="50">
        <v>14.1</v>
      </c>
      <c r="H12" s="50">
        <v>14.1</v>
      </c>
      <c r="I12" s="50">
        <v>14.1</v>
      </c>
      <c r="J12" s="50">
        <v>14.1</v>
      </c>
      <c r="K12" s="50">
        <v>14.1</v>
      </c>
      <c r="L12" s="50">
        <v>14</v>
      </c>
      <c r="M12" s="50">
        <v>14</v>
      </c>
      <c r="N12" s="50">
        <v>14</v>
      </c>
      <c r="O12" s="50">
        <v>14</v>
      </c>
      <c r="P12" s="50">
        <v>14</v>
      </c>
      <c r="Q12" s="50">
        <v>14</v>
      </c>
      <c r="R12" s="50">
        <v>14</v>
      </c>
      <c r="S12" s="50">
        <v>14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14</v>
      </c>
      <c r="AA12" s="50">
        <v>14</v>
      </c>
      <c r="AB12" s="50">
        <v>13.5</v>
      </c>
      <c r="AC12" s="50">
        <v>13.5</v>
      </c>
      <c r="AD12" s="50">
        <v>13.6</v>
      </c>
      <c r="AE12" s="50">
        <v>13.6</v>
      </c>
      <c r="AF12" s="50">
        <v>13.6</v>
      </c>
      <c r="AG12" s="51">
        <v>52.4</v>
      </c>
      <c r="AH12" s="52">
        <f t="shared" si="2"/>
        <v>14.5</v>
      </c>
      <c r="AI12" s="53">
        <f t="shared" si="3"/>
        <v>13.5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28.1</v>
      </c>
      <c r="C13" s="50">
        <v>28.1</v>
      </c>
      <c r="D13" s="50">
        <v>28.1</v>
      </c>
      <c r="E13" s="50">
        <v>28.1</v>
      </c>
      <c r="F13" s="50">
        <v>31.3</v>
      </c>
      <c r="G13" s="50">
        <v>31.3</v>
      </c>
      <c r="H13" s="50">
        <v>31.3</v>
      </c>
      <c r="I13" s="50">
        <v>31.3</v>
      </c>
      <c r="J13" s="50">
        <v>31.3</v>
      </c>
      <c r="K13" s="50">
        <v>31.3</v>
      </c>
      <c r="L13" s="50">
        <v>30.7</v>
      </c>
      <c r="M13" s="50">
        <v>30.7</v>
      </c>
      <c r="N13" s="50">
        <v>30.7</v>
      </c>
      <c r="O13" s="50">
        <v>30.7</v>
      </c>
      <c r="P13" s="50">
        <v>30</v>
      </c>
      <c r="Q13" s="50">
        <v>30</v>
      </c>
      <c r="R13" s="50">
        <v>30</v>
      </c>
      <c r="S13" s="50">
        <v>30</v>
      </c>
      <c r="T13" s="50">
        <v>30</v>
      </c>
      <c r="U13" s="50">
        <v>30</v>
      </c>
      <c r="V13" s="50">
        <v>30</v>
      </c>
      <c r="W13" s="50">
        <v>30</v>
      </c>
      <c r="X13" s="50">
        <v>30</v>
      </c>
      <c r="Y13" s="50">
        <v>30</v>
      </c>
      <c r="Z13" s="50">
        <v>30</v>
      </c>
      <c r="AA13" s="50">
        <v>30</v>
      </c>
      <c r="AB13" s="50">
        <v>28.7</v>
      </c>
      <c r="AC13" s="50">
        <v>28.7</v>
      </c>
      <c r="AD13" s="50">
        <v>29</v>
      </c>
      <c r="AE13" s="50">
        <v>29</v>
      </c>
      <c r="AF13" s="50">
        <v>29</v>
      </c>
      <c r="AG13" s="55">
        <v>50</v>
      </c>
      <c r="AH13" s="52">
        <f t="shared" si="2"/>
        <v>31.3</v>
      </c>
      <c r="AI13" s="53">
        <f t="shared" si="3"/>
        <v>28.1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19.100000000000001</v>
      </c>
      <c r="C14" s="50">
        <v>19.100000000000001</v>
      </c>
      <c r="D14" s="50">
        <v>19.100000000000001</v>
      </c>
      <c r="E14" s="50">
        <v>19.100000000000001</v>
      </c>
      <c r="F14" s="50">
        <v>16</v>
      </c>
      <c r="G14" s="50">
        <v>16</v>
      </c>
      <c r="H14" s="50">
        <v>16</v>
      </c>
      <c r="I14" s="50">
        <v>16</v>
      </c>
      <c r="J14" s="50">
        <v>16</v>
      </c>
      <c r="K14" s="50">
        <v>16</v>
      </c>
      <c r="L14" s="50">
        <v>15.4</v>
      </c>
      <c r="M14" s="50">
        <v>15.4</v>
      </c>
      <c r="N14" s="50">
        <v>15.4</v>
      </c>
      <c r="O14" s="50">
        <v>15.4</v>
      </c>
      <c r="P14" s="50">
        <v>15.6</v>
      </c>
      <c r="Q14" s="50">
        <v>15.6</v>
      </c>
      <c r="R14" s="50">
        <v>15.6</v>
      </c>
      <c r="S14" s="50">
        <v>15.6</v>
      </c>
      <c r="T14" s="50">
        <v>15.6</v>
      </c>
      <c r="U14" s="50">
        <v>15.6</v>
      </c>
      <c r="V14" s="50">
        <v>15.6</v>
      </c>
      <c r="W14" s="50">
        <v>15.6</v>
      </c>
      <c r="X14" s="50">
        <v>15.6</v>
      </c>
      <c r="Y14" s="50">
        <v>15.6</v>
      </c>
      <c r="Z14" s="50">
        <v>15.6</v>
      </c>
      <c r="AA14" s="50">
        <v>15.6</v>
      </c>
      <c r="AB14" s="50">
        <v>15.4</v>
      </c>
      <c r="AC14" s="50">
        <v>15.4</v>
      </c>
      <c r="AD14" s="50">
        <v>19.100000000000001</v>
      </c>
      <c r="AE14" s="50">
        <v>19.100000000000001</v>
      </c>
      <c r="AF14" s="50">
        <v>19.100000000000001</v>
      </c>
      <c r="AG14" s="55">
        <v>45</v>
      </c>
      <c r="AH14" s="52">
        <f t="shared" si="2"/>
        <v>19.100000000000001</v>
      </c>
      <c r="AI14" s="53">
        <f t="shared" si="3"/>
        <v>15.4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7</v>
      </c>
      <c r="C15" s="50">
        <v>7</v>
      </c>
      <c r="D15" s="50">
        <v>7</v>
      </c>
      <c r="E15" s="50">
        <v>7</v>
      </c>
      <c r="F15" s="50">
        <v>7.9989999999999997</v>
      </c>
      <c r="G15" s="50">
        <v>7.9989999999999997</v>
      </c>
      <c r="H15" s="50">
        <v>7.9989999999999997</v>
      </c>
      <c r="I15" s="50">
        <v>7.9989999999999997</v>
      </c>
      <c r="J15" s="50">
        <v>7.9989999999999997</v>
      </c>
      <c r="K15" s="50">
        <v>7.9989999999999997</v>
      </c>
      <c r="L15" s="50">
        <v>8</v>
      </c>
      <c r="M15" s="50">
        <v>8</v>
      </c>
      <c r="N15" s="50">
        <v>8</v>
      </c>
      <c r="O15" s="50">
        <v>8</v>
      </c>
      <c r="P15" s="50">
        <v>7.5</v>
      </c>
      <c r="Q15" s="50">
        <v>7.5</v>
      </c>
      <c r="R15" s="50">
        <v>7.5</v>
      </c>
      <c r="S15" s="50">
        <v>7.5</v>
      </c>
      <c r="T15" s="50">
        <v>7.5</v>
      </c>
      <c r="U15" s="50">
        <v>7.5</v>
      </c>
      <c r="V15" s="50">
        <v>7.5</v>
      </c>
      <c r="W15" s="50">
        <v>7.5</v>
      </c>
      <c r="X15" s="50">
        <v>7.5</v>
      </c>
      <c r="Y15" s="50">
        <v>7.5</v>
      </c>
      <c r="Z15" s="50">
        <v>7.5</v>
      </c>
      <c r="AA15" s="50">
        <v>7.5</v>
      </c>
      <c r="AB15" s="50">
        <v>8</v>
      </c>
      <c r="AC15" s="50">
        <v>8</v>
      </c>
      <c r="AD15" s="50">
        <v>8</v>
      </c>
      <c r="AE15" s="50">
        <v>8</v>
      </c>
      <c r="AF15" s="50">
        <v>8</v>
      </c>
      <c r="AG15" s="55">
        <v>42</v>
      </c>
      <c r="AH15" s="52">
        <f t="shared" si="2"/>
        <v>8</v>
      </c>
      <c r="AI15" s="53">
        <f t="shared" si="3"/>
        <v>7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0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0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0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7.5</v>
      </c>
      <c r="C18" s="50">
        <v>7.5</v>
      </c>
      <c r="D18" s="50">
        <v>7.5</v>
      </c>
      <c r="E18" s="50">
        <v>7.5</v>
      </c>
      <c r="F18" s="50">
        <v>7.5</v>
      </c>
      <c r="G18" s="50">
        <v>7.5</v>
      </c>
      <c r="H18" s="50">
        <v>7.5</v>
      </c>
      <c r="I18" s="50">
        <v>7.5</v>
      </c>
      <c r="J18" s="50">
        <v>7.5</v>
      </c>
      <c r="K18" s="50">
        <v>7.5</v>
      </c>
      <c r="L18" s="50">
        <v>7.5</v>
      </c>
      <c r="M18" s="50">
        <v>7.5</v>
      </c>
      <c r="N18" s="50">
        <v>7.5</v>
      </c>
      <c r="O18" s="50">
        <v>7.5</v>
      </c>
      <c r="P18" s="50">
        <v>7.5</v>
      </c>
      <c r="Q18" s="50">
        <v>7.5</v>
      </c>
      <c r="R18" s="50">
        <v>7.5</v>
      </c>
      <c r="S18" s="50">
        <v>7.5</v>
      </c>
      <c r="T18" s="50">
        <v>7.5</v>
      </c>
      <c r="U18" s="50">
        <v>7.5</v>
      </c>
      <c r="V18" s="50">
        <v>7.5</v>
      </c>
      <c r="W18" s="50">
        <v>7.5</v>
      </c>
      <c r="X18" s="50">
        <v>7.5</v>
      </c>
      <c r="Y18" s="50">
        <v>7.5</v>
      </c>
      <c r="Z18" s="50">
        <v>7.5</v>
      </c>
      <c r="AA18" s="50">
        <v>7.5</v>
      </c>
      <c r="AB18" s="50">
        <v>7.2</v>
      </c>
      <c r="AC18" s="50">
        <v>7.2</v>
      </c>
      <c r="AD18" s="50">
        <v>7.3</v>
      </c>
      <c r="AE18" s="50">
        <v>7.3</v>
      </c>
      <c r="AF18" s="50">
        <v>7.3</v>
      </c>
      <c r="AG18" s="56">
        <v>30</v>
      </c>
      <c r="AH18" s="52">
        <f t="shared" si="2"/>
        <v>7.5</v>
      </c>
      <c r="AI18" s="53">
        <f t="shared" si="3"/>
        <v>7.2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6.4</v>
      </c>
      <c r="Q19" s="50">
        <v>6.4</v>
      </c>
      <c r="R19" s="50">
        <v>6.4</v>
      </c>
      <c r="S19" s="50">
        <v>6.4</v>
      </c>
      <c r="T19" s="50">
        <v>6.4</v>
      </c>
      <c r="U19" s="50">
        <v>6.4</v>
      </c>
      <c r="V19" s="50">
        <v>6.4</v>
      </c>
      <c r="W19" s="50">
        <v>6.4</v>
      </c>
      <c r="X19" s="50">
        <v>6.4</v>
      </c>
      <c r="Y19" s="50">
        <v>6.4</v>
      </c>
      <c r="Z19" s="50">
        <v>6.4</v>
      </c>
      <c r="AA19" s="50">
        <v>6.4</v>
      </c>
      <c r="AB19" s="50">
        <v>6.7</v>
      </c>
      <c r="AC19" s="50">
        <v>6.7</v>
      </c>
      <c r="AD19" s="50">
        <v>6.7</v>
      </c>
      <c r="AE19" s="50">
        <v>6.7</v>
      </c>
      <c r="AF19" s="50">
        <v>6.7</v>
      </c>
      <c r="AG19" s="55">
        <v>24.2</v>
      </c>
      <c r="AH19" s="52">
        <f t="shared" si="2"/>
        <v>6.7</v>
      </c>
      <c r="AI19" s="53">
        <f t="shared" si="3"/>
        <v>6.4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6</v>
      </c>
      <c r="C22" s="50">
        <v>6</v>
      </c>
      <c r="D22" s="50">
        <v>6</v>
      </c>
      <c r="E22" s="50">
        <v>6</v>
      </c>
      <c r="F22" s="50">
        <v>6</v>
      </c>
      <c r="G22" s="50">
        <v>6</v>
      </c>
      <c r="H22" s="50">
        <v>6</v>
      </c>
      <c r="I22" s="50">
        <v>6</v>
      </c>
      <c r="J22" s="50">
        <v>6</v>
      </c>
      <c r="K22" s="50">
        <v>6</v>
      </c>
      <c r="L22" s="50">
        <v>6</v>
      </c>
      <c r="M22" s="50">
        <v>6</v>
      </c>
      <c r="N22" s="50">
        <v>6</v>
      </c>
      <c r="O22" s="50">
        <v>6</v>
      </c>
      <c r="P22" s="50">
        <v>6.5</v>
      </c>
      <c r="Q22" s="50">
        <v>6.5</v>
      </c>
      <c r="R22" s="50">
        <v>6.5</v>
      </c>
      <c r="S22" s="50">
        <v>6.5</v>
      </c>
      <c r="T22" s="50">
        <v>6.5</v>
      </c>
      <c r="U22" s="50">
        <v>6.5</v>
      </c>
      <c r="V22" s="50">
        <v>6.5</v>
      </c>
      <c r="W22" s="50">
        <v>6.5</v>
      </c>
      <c r="X22" s="50">
        <v>6.5</v>
      </c>
      <c r="Y22" s="50">
        <v>6.5</v>
      </c>
      <c r="Z22" s="50">
        <v>6.5</v>
      </c>
      <c r="AA22" s="50">
        <v>6.5</v>
      </c>
      <c r="AB22" s="50">
        <v>8</v>
      </c>
      <c r="AC22" s="50">
        <v>8</v>
      </c>
      <c r="AD22" s="50">
        <v>8</v>
      </c>
      <c r="AE22" s="50">
        <v>8</v>
      </c>
      <c r="AF22" s="50">
        <v>8</v>
      </c>
      <c r="AG22" s="55">
        <v>25</v>
      </c>
      <c r="AH22" s="52">
        <f t="shared" si="2"/>
        <v>8</v>
      </c>
      <c r="AI22" s="53">
        <f t="shared" si="3"/>
        <v>6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7.1</v>
      </c>
      <c r="C26" s="50">
        <v>7.1</v>
      </c>
      <c r="D26" s="50">
        <v>7.1</v>
      </c>
      <c r="E26" s="50">
        <v>7.1</v>
      </c>
      <c r="F26" s="50">
        <v>7.1</v>
      </c>
      <c r="G26" s="50">
        <v>7.1</v>
      </c>
      <c r="H26" s="50">
        <v>7.1</v>
      </c>
      <c r="I26" s="50">
        <v>7.1</v>
      </c>
      <c r="J26" s="50">
        <v>7.1</v>
      </c>
      <c r="K26" s="50">
        <v>7.1</v>
      </c>
      <c r="L26" s="50">
        <v>7.1</v>
      </c>
      <c r="M26" s="50">
        <v>7.1</v>
      </c>
      <c r="N26" s="50">
        <v>7.1</v>
      </c>
      <c r="O26" s="50">
        <v>7.1</v>
      </c>
      <c r="P26" s="50">
        <v>6.3</v>
      </c>
      <c r="Q26" s="50">
        <v>6.3</v>
      </c>
      <c r="R26" s="50">
        <v>6.3</v>
      </c>
      <c r="S26" s="50">
        <v>6.3</v>
      </c>
      <c r="T26" s="50">
        <v>6.3</v>
      </c>
      <c r="U26" s="50">
        <v>6.3</v>
      </c>
      <c r="V26" s="50">
        <v>6.3</v>
      </c>
      <c r="W26" s="50">
        <v>6.3</v>
      </c>
      <c r="X26" s="50">
        <v>6.3</v>
      </c>
      <c r="Y26" s="50">
        <v>6.3</v>
      </c>
      <c r="Z26" s="50">
        <v>6.3</v>
      </c>
      <c r="AA26" s="50">
        <v>6.3</v>
      </c>
      <c r="AB26" s="50">
        <v>5.8</v>
      </c>
      <c r="AC26" s="50">
        <v>5.8</v>
      </c>
      <c r="AD26" s="50">
        <v>5.9</v>
      </c>
      <c r="AE26" s="50">
        <v>5.9</v>
      </c>
      <c r="AF26" s="50">
        <v>5.9</v>
      </c>
      <c r="AG26" s="55">
        <v>23.5</v>
      </c>
      <c r="AH26" s="52">
        <f t="shared" si="2"/>
        <v>7.1</v>
      </c>
      <c r="AI26" s="53">
        <f t="shared" si="3"/>
        <v>5.8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7</v>
      </c>
      <c r="C28" s="50">
        <v>7</v>
      </c>
      <c r="D28" s="50">
        <v>7</v>
      </c>
      <c r="E28" s="50">
        <v>7</v>
      </c>
      <c r="F28" s="50">
        <v>7</v>
      </c>
      <c r="G28" s="50">
        <v>7</v>
      </c>
      <c r="H28" s="50">
        <v>7</v>
      </c>
      <c r="I28" s="50">
        <v>7</v>
      </c>
      <c r="J28" s="50">
        <v>7</v>
      </c>
      <c r="K28" s="50">
        <v>7</v>
      </c>
      <c r="L28" s="50">
        <v>7</v>
      </c>
      <c r="M28" s="50">
        <v>7</v>
      </c>
      <c r="N28" s="50">
        <v>7</v>
      </c>
      <c r="O28" s="50">
        <v>7</v>
      </c>
      <c r="P28" s="50">
        <v>7</v>
      </c>
      <c r="Q28" s="50">
        <v>7</v>
      </c>
      <c r="R28" s="50">
        <v>7</v>
      </c>
      <c r="S28" s="50">
        <v>7</v>
      </c>
      <c r="T28" s="50">
        <v>7</v>
      </c>
      <c r="U28" s="50">
        <v>7</v>
      </c>
      <c r="V28" s="50">
        <v>7</v>
      </c>
      <c r="W28" s="50">
        <v>7</v>
      </c>
      <c r="X28" s="50">
        <v>7</v>
      </c>
      <c r="Y28" s="50">
        <v>7</v>
      </c>
      <c r="Z28" s="50">
        <v>7</v>
      </c>
      <c r="AA28" s="50">
        <v>7</v>
      </c>
      <c r="AB28" s="50">
        <v>7</v>
      </c>
      <c r="AC28" s="50">
        <v>7</v>
      </c>
      <c r="AD28" s="50">
        <v>7</v>
      </c>
      <c r="AE28" s="50">
        <v>7</v>
      </c>
      <c r="AF28" s="50">
        <v>7</v>
      </c>
      <c r="AG28" s="55">
        <v>22.1</v>
      </c>
      <c r="AH28" s="52">
        <f t="shared" si="2"/>
        <v>7</v>
      </c>
      <c r="AI28" s="53">
        <f t="shared" si="3"/>
        <v>7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55">
        <v>22</v>
      </c>
      <c r="AH29" s="52">
        <f t="shared" si="2"/>
        <v>8</v>
      </c>
      <c r="AI29" s="53">
        <f t="shared" si="3"/>
        <v>8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7</v>
      </c>
      <c r="C30" s="50">
        <v>7</v>
      </c>
      <c r="D30" s="50">
        <v>7</v>
      </c>
      <c r="E30" s="50">
        <v>7</v>
      </c>
      <c r="F30" s="50">
        <v>7</v>
      </c>
      <c r="G30" s="50">
        <v>7</v>
      </c>
      <c r="H30" s="50">
        <v>7</v>
      </c>
      <c r="I30" s="50">
        <v>7</v>
      </c>
      <c r="J30" s="50">
        <v>7</v>
      </c>
      <c r="K30" s="50">
        <v>7</v>
      </c>
      <c r="L30" s="50">
        <v>7</v>
      </c>
      <c r="M30" s="50">
        <v>7</v>
      </c>
      <c r="N30" s="50">
        <v>7</v>
      </c>
      <c r="O30" s="50">
        <v>7</v>
      </c>
      <c r="P30" s="50">
        <v>9</v>
      </c>
      <c r="Q30" s="50">
        <v>9</v>
      </c>
      <c r="R30" s="50">
        <v>9</v>
      </c>
      <c r="S30" s="50">
        <v>9</v>
      </c>
      <c r="T30" s="50">
        <v>9</v>
      </c>
      <c r="U30" s="50">
        <v>9</v>
      </c>
      <c r="V30" s="50">
        <v>9</v>
      </c>
      <c r="W30" s="50">
        <v>9</v>
      </c>
      <c r="X30" s="50">
        <v>9</v>
      </c>
      <c r="Y30" s="50">
        <v>9</v>
      </c>
      <c r="Z30" s="50">
        <v>9</v>
      </c>
      <c r="AA30" s="50">
        <v>9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5">
        <v>22</v>
      </c>
      <c r="AH30" s="52">
        <f t="shared" si="2"/>
        <v>10</v>
      </c>
      <c r="AI30" s="53">
        <f t="shared" si="3"/>
        <v>7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5">
        <v>13.6</v>
      </c>
      <c r="AH35" s="52">
        <f t="shared" si="2"/>
        <v>0</v>
      </c>
      <c r="AI35" s="53">
        <f t="shared" si="3"/>
        <v>0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4.8</v>
      </c>
      <c r="C38" s="50">
        <v>4.8</v>
      </c>
      <c r="D38" s="50">
        <v>4.8</v>
      </c>
      <c r="E38" s="50">
        <v>4.8</v>
      </c>
      <c r="F38" s="50">
        <v>4.8</v>
      </c>
      <c r="G38" s="50">
        <v>4.8</v>
      </c>
      <c r="H38" s="50">
        <v>4.8</v>
      </c>
      <c r="I38" s="50">
        <v>4.8</v>
      </c>
      <c r="J38" s="50">
        <v>4.8</v>
      </c>
      <c r="K38" s="50">
        <v>4.8</v>
      </c>
      <c r="L38" s="50">
        <v>4.8</v>
      </c>
      <c r="M38" s="50">
        <v>4.8</v>
      </c>
      <c r="N38" s="50">
        <v>4.8</v>
      </c>
      <c r="O38" s="50">
        <v>4.8</v>
      </c>
      <c r="P38" s="50">
        <v>4.8</v>
      </c>
      <c r="Q38" s="50">
        <v>4.8</v>
      </c>
      <c r="R38" s="50">
        <v>4.8</v>
      </c>
      <c r="S38" s="50">
        <v>4.8</v>
      </c>
      <c r="T38" s="50">
        <v>4.8</v>
      </c>
      <c r="U38" s="50">
        <v>4.8</v>
      </c>
      <c r="V38" s="50">
        <v>4.8</v>
      </c>
      <c r="W38" s="50">
        <v>4.8</v>
      </c>
      <c r="X38" s="50">
        <v>4.8</v>
      </c>
      <c r="Y38" s="50">
        <v>4.8</v>
      </c>
      <c r="Z38" s="50">
        <v>4.8</v>
      </c>
      <c r="AA38" s="50">
        <v>4.8</v>
      </c>
      <c r="AB38" s="50">
        <v>4.8</v>
      </c>
      <c r="AC38" s="50">
        <v>4.8</v>
      </c>
      <c r="AD38" s="50">
        <v>4.8</v>
      </c>
      <c r="AE38" s="50">
        <v>4.8</v>
      </c>
      <c r="AF38" s="50">
        <v>4.8</v>
      </c>
      <c r="AG38" s="55">
        <v>12</v>
      </c>
      <c r="AH38" s="52">
        <f t="shared" si="2"/>
        <v>4.8</v>
      </c>
      <c r="AI38" s="53">
        <f t="shared" si="3"/>
        <v>4.8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5.2</v>
      </c>
      <c r="C41" s="50">
        <v>5.2</v>
      </c>
      <c r="D41" s="50">
        <v>5.2</v>
      </c>
      <c r="E41" s="50">
        <v>5.2</v>
      </c>
      <c r="F41" s="50">
        <v>5.2</v>
      </c>
      <c r="G41" s="50">
        <v>5.2</v>
      </c>
      <c r="H41" s="50">
        <v>5.2</v>
      </c>
      <c r="I41" s="50">
        <v>5.2</v>
      </c>
      <c r="J41" s="50">
        <v>5.2</v>
      </c>
      <c r="K41" s="50">
        <v>5.2</v>
      </c>
      <c r="L41" s="50">
        <v>5.2</v>
      </c>
      <c r="M41" s="50">
        <v>5.2</v>
      </c>
      <c r="N41" s="50">
        <v>5.2</v>
      </c>
      <c r="O41" s="50">
        <v>5.2</v>
      </c>
      <c r="P41" s="50">
        <v>5.2</v>
      </c>
      <c r="Q41" s="50">
        <v>5.2</v>
      </c>
      <c r="R41" s="50">
        <v>5.2</v>
      </c>
      <c r="S41" s="50">
        <v>5.2</v>
      </c>
      <c r="T41" s="50">
        <v>5.2</v>
      </c>
      <c r="U41" s="50">
        <v>5.2</v>
      </c>
      <c r="V41" s="50">
        <v>5.2</v>
      </c>
      <c r="W41" s="50">
        <v>5.2</v>
      </c>
      <c r="X41" s="50">
        <v>5.2</v>
      </c>
      <c r="Y41" s="50">
        <v>5.2</v>
      </c>
      <c r="Z41" s="50">
        <v>5.2</v>
      </c>
      <c r="AA41" s="50">
        <v>5.2</v>
      </c>
      <c r="AB41" s="50">
        <v>5.2</v>
      </c>
      <c r="AC41" s="50">
        <v>5.2</v>
      </c>
      <c r="AD41" s="50">
        <v>5.2</v>
      </c>
      <c r="AE41" s="50">
        <v>5.2</v>
      </c>
      <c r="AF41" s="50">
        <v>5.2</v>
      </c>
      <c r="AG41" s="56">
        <v>11.88</v>
      </c>
      <c r="AH41" s="52">
        <f t="shared" si="2"/>
        <v>5.2</v>
      </c>
      <c r="AI41" s="53">
        <f t="shared" si="3"/>
        <v>5.2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3.5</v>
      </c>
      <c r="C44" s="50">
        <v>3.5</v>
      </c>
      <c r="D44" s="50">
        <v>3.5</v>
      </c>
      <c r="E44" s="50">
        <v>3.5</v>
      </c>
      <c r="F44" s="50">
        <v>3.5</v>
      </c>
      <c r="G44" s="50">
        <v>3.5</v>
      </c>
      <c r="H44" s="50">
        <v>3.5</v>
      </c>
      <c r="I44" s="50">
        <v>3.5</v>
      </c>
      <c r="J44" s="50">
        <v>3.5</v>
      </c>
      <c r="K44" s="50">
        <v>3.5</v>
      </c>
      <c r="L44" s="50">
        <v>3.5</v>
      </c>
      <c r="M44" s="50">
        <v>3.5</v>
      </c>
      <c r="N44" s="50">
        <v>3.5</v>
      </c>
      <c r="O44" s="50">
        <v>3.5</v>
      </c>
      <c r="P44" s="50">
        <v>3.5</v>
      </c>
      <c r="Q44" s="50">
        <v>3.5</v>
      </c>
      <c r="R44" s="50">
        <v>3.5</v>
      </c>
      <c r="S44" s="50">
        <v>3.5</v>
      </c>
      <c r="T44" s="50">
        <v>3.5</v>
      </c>
      <c r="U44" s="50">
        <v>3.5</v>
      </c>
      <c r="V44" s="50">
        <v>3.5</v>
      </c>
      <c r="W44" s="50">
        <v>3.5</v>
      </c>
      <c r="X44" s="50">
        <v>3.5</v>
      </c>
      <c r="Y44" s="50">
        <v>3.5</v>
      </c>
      <c r="Z44" s="50">
        <v>3.5</v>
      </c>
      <c r="AA44" s="50">
        <v>3.5</v>
      </c>
      <c r="AB44" s="50">
        <v>3.5</v>
      </c>
      <c r="AC44" s="50">
        <v>3.5</v>
      </c>
      <c r="AD44" s="50">
        <v>3.5</v>
      </c>
      <c r="AE44" s="50">
        <v>3.5</v>
      </c>
      <c r="AF44" s="50">
        <v>3.5</v>
      </c>
      <c r="AG44" s="61">
        <v>10</v>
      </c>
      <c r="AH44" s="52">
        <f t="shared" si="2"/>
        <v>3.5</v>
      </c>
      <c r="AI44" s="53">
        <f t="shared" si="3"/>
        <v>3.5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1</v>
      </c>
      <c r="O45" s="50">
        <v>1</v>
      </c>
      <c r="P45" s="50">
        <v>1</v>
      </c>
      <c r="Q45" s="50">
        <v>1</v>
      </c>
      <c r="R45" s="50">
        <v>1</v>
      </c>
      <c r="S45" s="50">
        <v>1</v>
      </c>
      <c r="T45" s="50">
        <v>1</v>
      </c>
      <c r="U45" s="50">
        <v>1</v>
      </c>
      <c r="V45" s="50">
        <v>1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1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341.7</v>
      </c>
      <c r="C48" s="67">
        <f t="shared" si="4"/>
        <v>341.7</v>
      </c>
      <c r="D48" s="67">
        <f t="shared" si="4"/>
        <v>341.7</v>
      </c>
      <c r="E48" s="67">
        <f t="shared" si="4"/>
        <v>341.7</v>
      </c>
      <c r="F48" s="67">
        <f t="shared" si="4"/>
        <v>342.399</v>
      </c>
      <c r="G48" s="67">
        <f t="shared" si="4"/>
        <v>342.399</v>
      </c>
      <c r="H48" s="67">
        <f t="shared" si="4"/>
        <v>342.399</v>
      </c>
      <c r="I48" s="67">
        <f t="shared" si="4"/>
        <v>342.399</v>
      </c>
      <c r="J48" s="67">
        <f t="shared" si="4"/>
        <v>342.399</v>
      </c>
      <c r="K48" s="67">
        <f t="shared" si="4"/>
        <v>342.399</v>
      </c>
      <c r="L48" s="67">
        <f t="shared" si="4"/>
        <v>341.1</v>
      </c>
      <c r="M48" s="67">
        <f t="shared" si="4"/>
        <v>348.1</v>
      </c>
      <c r="N48" s="67">
        <f t="shared" si="4"/>
        <v>349.1</v>
      </c>
      <c r="O48" s="67">
        <f t="shared" si="4"/>
        <v>349.1</v>
      </c>
      <c r="P48" s="67">
        <f t="shared" si="4"/>
        <v>349.6</v>
      </c>
      <c r="Q48" s="67">
        <f t="shared" si="4"/>
        <v>349.6</v>
      </c>
      <c r="R48" s="67">
        <f t="shared" si="4"/>
        <v>349.6</v>
      </c>
      <c r="S48" s="67">
        <f t="shared" si="4"/>
        <v>349.6</v>
      </c>
      <c r="T48" s="67">
        <f t="shared" si="4"/>
        <v>342.6</v>
      </c>
      <c r="U48" s="67">
        <f t="shared" si="4"/>
        <v>349.6</v>
      </c>
      <c r="V48" s="67">
        <f t="shared" si="4"/>
        <v>349.6</v>
      </c>
      <c r="W48" s="67">
        <f t="shared" si="4"/>
        <v>348.6</v>
      </c>
      <c r="X48" s="67">
        <f t="shared" si="4"/>
        <v>348.6</v>
      </c>
      <c r="Y48" s="67">
        <f t="shared" si="4"/>
        <v>348.6</v>
      </c>
      <c r="Z48" s="67">
        <f t="shared" si="4"/>
        <v>348.6</v>
      </c>
      <c r="AA48" s="67">
        <f t="shared" si="4"/>
        <v>348.6</v>
      </c>
      <c r="AB48" s="67">
        <f t="shared" ref="AB48" si="5">SUM(AB12:AB46)</f>
        <v>349.1</v>
      </c>
      <c r="AC48" s="67">
        <f t="shared" si="4"/>
        <v>349.1</v>
      </c>
      <c r="AD48" s="67">
        <f t="shared" ref="AD48:AE48" si="6">SUM(AD12:AD46)</f>
        <v>353.4</v>
      </c>
      <c r="AE48" s="67">
        <f t="shared" si="6"/>
        <v>353.4</v>
      </c>
      <c r="AF48" s="67">
        <f t="shared" si="4"/>
        <v>353.4</v>
      </c>
      <c r="AG48" s="68">
        <f t="shared" si="4"/>
        <v>875.68</v>
      </c>
      <c r="AH48" s="52">
        <f t="shared" si="2"/>
        <v>353.4</v>
      </c>
      <c r="AI48" s="53">
        <f t="shared" si="3"/>
        <v>341.1</v>
      </c>
      <c r="AK48" s="54"/>
    </row>
    <row r="49" spans="1:41" x14ac:dyDescent="0.25">
      <c r="A49" s="69" t="s">
        <v>53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30</v>
      </c>
      <c r="I49" s="50">
        <v>80</v>
      </c>
      <c r="J49" s="50">
        <v>150</v>
      </c>
      <c r="K49" s="50">
        <v>160</v>
      </c>
      <c r="L49" s="50">
        <v>165</v>
      </c>
      <c r="M49" s="70">
        <v>125</v>
      </c>
      <c r="N49" s="70">
        <v>50</v>
      </c>
      <c r="O49" s="50">
        <v>50</v>
      </c>
      <c r="P49" s="50">
        <v>60</v>
      </c>
      <c r="Q49" s="50">
        <v>80</v>
      </c>
      <c r="R49" s="50">
        <v>100</v>
      </c>
      <c r="S49" s="50">
        <v>110</v>
      </c>
      <c r="T49" s="50">
        <v>110</v>
      </c>
      <c r="U49" s="50">
        <v>100</v>
      </c>
      <c r="V49" s="50">
        <v>90</v>
      </c>
      <c r="W49" s="50">
        <v>75</v>
      </c>
      <c r="X49" s="50">
        <v>100</v>
      </c>
      <c r="Y49" s="50">
        <v>145</v>
      </c>
      <c r="Z49" s="50">
        <v>160</v>
      </c>
      <c r="AA49" s="50">
        <v>180</v>
      </c>
      <c r="AB49" s="50">
        <v>155</v>
      </c>
      <c r="AC49" s="50">
        <v>150</v>
      </c>
      <c r="AD49" s="50">
        <v>135</v>
      </c>
      <c r="AE49" s="50">
        <v>55</v>
      </c>
      <c r="AF49" s="50">
        <v>35</v>
      </c>
      <c r="AG49" s="56">
        <v>456</v>
      </c>
      <c r="AH49" s="52">
        <f t="shared" si="2"/>
        <v>180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9.5</v>
      </c>
      <c r="C51" s="74">
        <v>9.5</v>
      </c>
      <c r="D51" s="74">
        <v>9.5</v>
      </c>
      <c r="E51" s="74">
        <v>9.5</v>
      </c>
      <c r="F51" s="74">
        <v>9.6</v>
      </c>
      <c r="G51" s="74">
        <v>9.6</v>
      </c>
      <c r="H51" s="74">
        <v>9.6</v>
      </c>
      <c r="I51" s="74">
        <v>9.6</v>
      </c>
      <c r="J51" s="74">
        <v>10.1</v>
      </c>
      <c r="K51" s="74">
        <v>10.1</v>
      </c>
      <c r="L51" s="74">
        <v>10.1</v>
      </c>
      <c r="M51" s="74">
        <v>10.199999999999999</v>
      </c>
      <c r="N51" s="74">
        <v>10.1</v>
      </c>
      <c r="O51" s="74">
        <v>10.199999999999999</v>
      </c>
      <c r="P51" s="74">
        <v>10.199999999999999</v>
      </c>
      <c r="Q51" s="74">
        <v>10.199999999999999</v>
      </c>
      <c r="R51" s="74">
        <v>10.199999999999999</v>
      </c>
      <c r="S51" s="74">
        <v>10.199999999999999</v>
      </c>
      <c r="T51" s="74">
        <v>10.199999999999999</v>
      </c>
      <c r="U51" s="74">
        <v>10.199999999999999</v>
      </c>
      <c r="V51" s="74">
        <v>10.199999999999999</v>
      </c>
      <c r="W51" s="74">
        <v>10.199999999999999</v>
      </c>
      <c r="X51" s="74">
        <v>10.199999999999999</v>
      </c>
      <c r="Y51" s="74">
        <v>10.199999999999999</v>
      </c>
      <c r="Z51" s="74">
        <v>10.199999999999999</v>
      </c>
      <c r="AA51" s="74">
        <v>10.199999999999999</v>
      </c>
      <c r="AB51" s="74">
        <v>10.199999999999999</v>
      </c>
      <c r="AC51" s="74">
        <v>10.199999999999999</v>
      </c>
      <c r="AD51" s="74">
        <v>10.199999999999999</v>
      </c>
      <c r="AE51" s="74">
        <v>10.199999999999999</v>
      </c>
      <c r="AF51" s="74">
        <v>10.199999999999999</v>
      </c>
      <c r="AG51" s="75">
        <v>22.1</v>
      </c>
      <c r="AH51" s="52">
        <f t="shared" si="2"/>
        <v>10.199999999999999</v>
      </c>
      <c r="AI51" s="53">
        <f t="shared" si="3"/>
        <v>9.5</v>
      </c>
      <c r="AK51" s="54"/>
    </row>
    <row r="52" spans="1:41" ht="15.75" thickBot="1" x14ac:dyDescent="0.3">
      <c r="A52" s="76" t="s">
        <v>56</v>
      </c>
      <c r="B52" s="67">
        <f t="shared" ref="B52:AG52" si="7">SUM(B49:B51)</f>
        <v>34.5</v>
      </c>
      <c r="C52" s="67">
        <f t="shared" si="7"/>
        <v>34.5</v>
      </c>
      <c r="D52" s="67">
        <f t="shared" si="7"/>
        <v>34.5</v>
      </c>
      <c r="E52" s="67">
        <f t="shared" si="7"/>
        <v>34.5</v>
      </c>
      <c r="F52" s="67">
        <f t="shared" si="7"/>
        <v>34.6</v>
      </c>
      <c r="G52" s="67">
        <f t="shared" si="7"/>
        <v>34.6</v>
      </c>
      <c r="H52" s="67">
        <f t="shared" si="7"/>
        <v>64.599999999999994</v>
      </c>
      <c r="I52" s="67">
        <f t="shared" si="7"/>
        <v>114.6</v>
      </c>
      <c r="J52" s="67">
        <f t="shared" si="7"/>
        <v>185.1</v>
      </c>
      <c r="K52" s="67">
        <f t="shared" si="7"/>
        <v>195.1</v>
      </c>
      <c r="L52" s="67">
        <f t="shared" si="7"/>
        <v>200.1</v>
      </c>
      <c r="M52" s="67">
        <f t="shared" si="7"/>
        <v>160.19999999999999</v>
      </c>
      <c r="N52" s="67">
        <f t="shared" si="7"/>
        <v>85.1</v>
      </c>
      <c r="O52" s="67">
        <f t="shared" si="7"/>
        <v>85.2</v>
      </c>
      <c r="P52" s="67">
        <f t="shared" si="7"/>
        <v>95.2</v>
      </c>
      <c r="Q52" s="67">
        <f t="shared" si="7"/>
        <v>115.2</v>
      </c>
      <c r="R52" s="67">
        <f t="shared" si="7"/>
        <v>135.19999999999999</v>
      </c>
      <c r="S52" s="67">
        <f>SUM(S49:S51)</f>
        <v>145.19999999999999</v>
      </c>
      <c r="T52" s="67">
        <f t="shared" si="7"/>
        <v>145.19999999999999</v>
      </c>
      <c r="U52" s="67">
        <f t="shared" si="7"/>
        <v>135.19999999999999</v>
      </c>
      <c r="V52" s="67">
        <f t="shared" si="7"/>
        <v>125.2</v>
      </c>
      <c r="W52" s="67">
        <f t="shared" si="7"/>
        <v>110.2</v>
      </c>
      <c r="X52" s="67">
        <f t="shared" si="7"/>
        <v>135.19999999999999</v>
      </c>
      <c r="Y52" s="67">
        <f t="shared" si="7"/>
        <v>180.2</v>
      </c>
      <c r="Z52" s="67">
        <f t="shared" si="7"/>
        <v>195.2</v>
      </c>
      <c r="AA52" s="67">
        <f t="shared" si="7"/>
        <v>215.2</v>
      </c>
      <c r="AB52" s="67">
        <f t="shared" si="7"/>
        <v>190.2</v>
      </c>
      <c r="AC52" s="67">
        <f t="shared" si="7"/>
        <v>185.2</v>
      </c>
      <c r="AD52" s="67">
        <f t="shared" ref="AD52" si="8">SUM(AD49:AD51)</f>
        <v>170.2</v>
      </c>
      <c r="AE52" s="67">
        <f t="shared" si="7"/>
        <v>90.2</v>
      </c>
      <c r="AF52" s="67">
        <f t="shared" si="7"/>
        <v>70.2</v>
      </c>
      <c r="AG52" s="68">
        <f t="shared" si="7"/>
        <v>538.1</v>
      </c>
      <c r="AH52" s="52">
        <f t="shared" si="2"/>
        <v>215.2</v>
      </c>
      <c r="AI52" s="53">
        <f t="shared" si="3"/>
        <v>34.5</v>
      </c>
      <c r="AK52" s="54"/>
    </row>
    <row r="53" spans="1:41" x14ac:dyDescent="0.25">
      <c r="A53" s="49" t="s">
        <v>57</v>
      </c>
      <c r="B53" s="50">
        <v>30</v>
      </c>
      <c r="C53" s="50">
        <v>30</v>
      </c>
      <c r="D53" s="50">
        <v>30</v>
      </c>
      <c r="E53" s="50">
        <v>0</v>
      </c>
      <c r="F53" s="50">
        <v>0</v>
      </c>
      <c r="G53" s="50">
        <v>0</v>
      </c>
      <c r="H53" s="50">
        <v>35</v>
      </c>
      <c r="I53" s="50">
        <v>42.4</v>
      </c>
      <c r="J53" s="50">
        <v>81.2</v>
      </c>
      <c r="K53" s="50">
        <v>93.1</v>
      </c>
      <c r="L53" s="50">
        <v>93.2</v>
      </c>
      <c r="M53" s="50">
        <v>93.2</v>
      </c>
      <c r="N53" s="50">
        <v>72.5</v>
      </c>
      <c r="O53" s="50">
        <v>61.1</v>
      </c>
      <c r="P53" s="50">
        <v>72</v>
      </c>
      <c r="Q53" s="50">
        <v>92.2</v>
      </c>
      <c r="R53" s="50">
        <v>73.099999999999994</v>
      </c>
      <c r="S53" s="50">
        <v>61.3</v>
      </c>
      <c r="T53" s="50">
        <v>61.3</v>
      </c>
      <c r="U53" s="50">
        <v>72.8</v>
      </c>
      <c r="V53" s="50">
        <v>72.8</v>
      </c>
      <c r="W53" s="50">
        <v>60</v>
      </c>
      <c r="X53" s="50">
        <v>93.1</v>
      </c>
      <c r="Y53" s="50">
        <v>124.5</v>
      </c>
      <c r="Z53" s="50">
        <v>139.4</v>
      </c>
      <c r="AA53" s="50">
        <v>110</v>
      </c>
      <c r="AB53" s="50">
        <v>70.5</v>
      </c>
      <c r="AC53" s="50">
        <v>49.1</v>
      </c>
      <c r="AD53" s="50">
        <v>35.5</v>
      </c>
      <c r="AE53" s="50">
        <v>30.6</v>
      </c>
      <c r="AF53" s="50">
        <v>0</v>
      </c>
      <c r="AG53" s="56">
        <v>144</v>
      </c>
      <c r="AH53" s="52">
        <f t="shared" si="2"/>
        <v>139.4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21.4</v>
      </c>
      <c r="I55" s="72">
        <v>21.4</v>
      </c>
      <c r="J55" s="72">
        <v>47.4</v>
      </c>
      <c r="K55" s="72">
        <v>55.5</v>
      </c>
      <c r="L55" s="72">
        <v>42</v>
      </c>
      <c r="M55" s="72">
        <v>41.4</v>
      </c>
      <c r="N55" s="72">
        <v>32.9</v>
      </c>
      <c r="O55" s="72">
        <v>33.200000000000003</v>
      </c>
      <c r="P55" s="72">
        <v>40.200000000000003</v>
      </c>
      <c r="Q55" s="72">
        <v>46.4</v>
      </c>
      <c r="R55" s="50">
        <v>46.7</v>
      </c>
      <c r="S55" s="50">
        <v>46.5</v>
      </c>
      <c r="T55" s="50">
        <v>46.5</v>
      </c>
      <c r="U55" s="50">
        <v>36.1</v>
      </c>
      <c r="V55" s="50">
        <v>36.1</v>
      </c>
      <c r="W55" s="50">
        <v>36.1</v>
      </c>
      <c r="X55" s="50">
        <v>40</v>
      </c>
      <c r="Y55" s="50">
        <v>64.2</v>
      </c>
      <c r="Z55" s="50">
        <v>64.2</v>
      </c>
      <c r="AA55" s="50">
        <v>64.2</v>
      </c>
      <c r="AB55" s="72">
        <v>56.1</v>
      </c>
      <c r="AC55" s="72">
        <v>56.2</v>
      </c>
      <c r="AD55" s="72">
        <v>56.2</v>
      </c>
      <c r="AE55" s="72">
        <v>40.700000000000003</v>
      </c>
      <c r="AF55" s="72">
        <v>40.6</v>
      </c>
      <c r="AG55" s="61">
        <v>69</v>
      </c>
      <c r="AH55" s="52">
        <f t="shared" si="2"/>
        <v>64.2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37</v>
      </c>
      <c r="C56" s="72">
        <v>37</v>
      </c>
      <c r="D56" s="72">
        <v>37</v>
      </c>
      <c r="E56" s="63">
        <v>38.299999999999997</v>
      </c>
      <c r="F56" s="63">
        <v>38.299999999999997</v>
      </c>
      <c r="G56" s="63">
        <v>38.299999999999997</v>
      </c>
      <c r="H56" s="63">
        <v>38.4</v>
      </c>
      <c r="I56" s="63">
        <v>38.9</v>
      </c>
      <c r="J56" s="63">
        <v>38.299999999999997</v>
      </c>
      <c r="K56" s="63">
        <v>38.299999999999997</v>
      </c>
      <c r="L56" s="63">
        <v>38.299999999999997</v>
      </c>
      <c r="M56" s="72">
        <v>38.1</v>
      </c>
      <c r="N56" s="72">
        <v>38.299999999999997</v>
      </c>
      <c r="O56" s="72">
        <v>38.299999999999997</v>
      </c>
      <c r="P56" s="72">
        <v>38.299999999999997</v>
      </c>
      <c r="Q56" s="72">
        <v>39.1</v>
      </c>
      <c r="R56" s="50">
        <v>38.799999999999997</v>
      </c>
      <c r="S56" s="50">
        <v>38.799999999999997</v>
      </c>
      <c r="T56" s="50">
        <v>38.799999999999997</v>
      </c>
      <c r="U56" s="50">
        <v>38.799999999999997</v>
      </c>
      <c r="V56" s="50">
        <v>38.799999999999997</v>
      </c>
      <c r="W56" s="50">
        <v>38.799999999999997</v>
      </c>
      <c r="X56" s="50">
        <v>38.799999999999997</v>
      </c>
      <c r="Y56" s="50">
        <v>38.799999999999997</v>
      </c>
      <c r="Z56" s="50">
        <v>38.799999999999997</v>
      </c>
      <c r="AA56" s="50">
        <v>38.799999999999997</v>
      </c>
      <c r="AB56" s="72">
        <v>38</v>
      </c>
      <c r="AC56" s="72">
        <v>38</v>
      </c>
      <c r="AD56" s="72">
        <v>36.299999999999997</v>
      </c>
      <c r="AE56" s="72">
        <v>36.299999999999997</v>
      </c>
      <c r="AF56" s="72">
        <v>38</v>
      </c>
      <c r="AG56" s="61">
        <v>60</v>
      </c>
      <c r="AH56" s="52">
        <f t="shared" si="2"/>
        <v>39.1</v>
      </c>
      <c r="AI56" s="53">
        <f t="shared" si="3"/>
        <v>36.299999999999997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0</v>
      </c>
      <c r="F57" s="63">
        <v>0</v>
      </c>
      <c r="G57" s="63">
        <v>13</v>
      </c>
      <c r="H57" s="63">
        <v>13</v>
      </c>
      <c r="I57" s="63">
        <v>13.5</v>
      </c>
      <c r="J57" s="63">
        <v>13.6</v>
      </c>
      <c r="K57" s="63">
        <v>15</v>
      </c>
      <c r="L57" s="63">
        <v>15</v>
      </c>
      <c r="M57" s="63">
        <v>15</v>
      </c>
      <c r="N57" s="72">
        <v>13.3</v>
      </c>
      <c r="O57" s="72">
        <v>12.9</v>
      </c>
      <c r="P57" s="72">
        <v>13.2</v>
      </c>
      <c r="Q57" s="72">
        <v>13.2</v>
      </c>
      <c r="R57" s="50">
        <v>13.1</v>
      </c>
      <c r="S57" s="50">
        <v>13.1</v>
      </c>
      <c r="T57" s="50">
        <v>10</v>
      </c>
      <c r="U57" s="50">
        <v>10</v>
      </c>
      <c r="V57" s="50">
        <v>13.3</v>
      </c>
      <c r="W57" s="50">
        <v>15</v>
      </c>
      <c r="X57" s="50">
        <v>15</v>
      </c>
      <c r="Y57" s="50">
        <v>20</v>
      </c>
      <c r="Z57" s="50">
        <v>25.4</v>
      </c>
      <c r="AA57" s="50">
        <v>25.4</v>
      </c>
      <c r="AB57" s="72">
        <v>9.5</v>
      </c>
      <c r="AC57" s="72">
        <v>9.5</v>
      </c>
      <c r="AD57" s="72">
        <v>10.3</v>
      </c>
      <c r="AE57" s="72">
        <v>9.9</v>
      </c>
      <c r="AF57" s="72">
        <v>0</v>
      </c>
      <c r="AG57" s="61">
        <v>30</v>
      </c>
      <c r="AH57" s="52">
        <f t="shared" si="2"/>
        <v>25.4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2</v>
      </c>
      <c r="M58" s="50">
        <v>4</v>
      </c>
      <c r="N58" s="72">
        <v>6</v>
      </c>
      <c r="O58" s="72">
        <v>8</v>
      </c>
      <c r="P58" s="72">
        <v>9.02</v>
      </c>
      <c r="Q58" s="72">
        <v>10</v>
      </c>
      <c r="R58" s="50">
        <v>10</v>
      </c>
      <c r="S58" s="50">
        <v>10</v>
      </c>
      <c r="T58" s="50">
        <v>10</v>
      </c>
      <c r="U58" s="50">
        <v>10</v>
      </c>
      <c r="V58" s="50">
        <v>10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12</v>
      </c>
      <c r="AI59" s="53">
        <f t="shared" si="3"/>
        <v>12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3.41</v>
      </c>
      <c r="J60" s="72">
        <v>3.41</v>
      </c>
      <c r="K60" s="72">
        <v>3.41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3.41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8.9</v>
      </c>
      <c r="C61" s="72">
        <v>8.9</v>
      </c>
      <c r="D61" s="72">
        <v>8.9</v>
      </c>
      <c r="E61" s="72">
        <v>9.1</v>
      </c>
      <c r="F61" s="72">
        <v>6.8</v>
      </c>
      <c r="G61" s="72">
        <v>6.8</v>
      </c>
      <c r="H61" s="72">
        <v>6.8</v>
      </c>
      <c r="I61" s="72">
        <v>9.8000000000000007</v>
      </c>
      <c r="J61" s="72">
        <v>9.8000000000000007</v>
      </c>
      <c r="K61" s="72">
        <v>9.8000000000000007</v>
      </c>
      <c r="L61" s="72">
        <v>9.8000000000000007</v>
      </c>
      <c r="M61" s="72">
        <v>9.8000000000000007</v>
      </c>
      <c r="N61" s="72">
        <v>9.8000000000000007</v>
      </c>
      <c r="O61" s="72">
        <v>9.8000000000000007</v>
      </c>
      <c r="P61" s="72">
        <v>9.8000000000000007</v>
      </c>
      <c r="Q61" s="72">
        <v>9.8000000000000007</v>
      </c>
      <c r="R61" s="72">
        <v>9.8000000000000007</v>
      </c>
      <c r="S61" s="72">
        <v>9.8000000000000007</v>
      </c>
      <c r="T61" s="72">
        <v>9.8000000000000007</v>
      </c>
      <c r="U61" s="72">
        <v>9.8000000000000007</v>
      </c>
      <c r="V61" s="72">
        <v>9.8000000000000007</v>
      </c>
      <c r="W61" s="72">
        <v>9.8000000000000007</v>
      </c>
      <c r="X61" s="72">
        <v>9.8000000000000007</v>
      </c>
      <c r="Y61" s="72">
        <v>9.8000000000000007</v>
      </c>
      <c r="Z61" s="72">
        <v>9.8000000000000007</v>
      </c>
      <c r="AA61" s="72">
        <v>9.8000000000000007</v>
      </c>
      <c r="AB61" s="72">
        <v>9.8000000000000007</v>
      </c>
      <c r="AC61" s="72">
        <v>9.8000000000000007</v>
      </c>
      <c r="AD61" s="72">
        <v>9.8000000000000007</v>
      </c>
      <c r="AE61" s="72">
        <v>9.8000000000000007</v>
      </c>
      <c r="AF61" s="72">
        <v>9.8000000000000007</v>
      </c>
      <c r="AG61" s="61">
        <v>14.1</v>
      </c>
      <c r="AH61" s="52">
        <f t="shared" si="2"/>
        <v>9.8000000000000007</v>
      </c>
      <c r="AI61" s="53">
        <f t="shared" si="3"/>
        <v>6.8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</v>
      </c>
      <c r="C62" s="72">
        <v>3</v>
      </c>
      <c r="D62" s="72">
        <v>3</v>
      </c>
      <c r="E62" s="72">
        <v>3</v>
      </c>
      <c r="F62" s="72">
        <v>3.2</v>
      </c>
      <c r="G62" s="72">
        <v>3.2</v>
      </c>
      <c r="H62" s="72">
        <v>3.2</v>
      </c>
      <c r="I62" s="72">
        <v>5.3</v>
      </c>
      <c r="J62" s="72">
        <v>5.3</v>
      </c>
      <c r="K62" s="72">
        <v>5.3</v>
      </c>
      <c r="L62" s="72">
        <v>4.9000000000000004</v>
      </c>
      <c r="M62" s="72">
        <v>4.9000000000000004</v>
      </c>
      <c r="N62" s="72">
        <v>2.7</v>
      </c>
      <c r="O62" s="72">
        <v>2.7</v>
      </c>
      <c r="P62" s="72">
        <v>2.7</v>
      </c>
      <c r="Q62" s="72">
        <v>2.7</v>
      </c>
      <c r="R62" s="72">
        <v>2.7</v>
      </c>
      <c r="S62" s="72">
        <v>2.7</v>
      </c>
      <c r="T62" s="72">
        <v>2.7</v>
      </c>
      <c r="U62" s="72">
        <v>2.7</v>
      </c>
      <c r="V62" s="72">
        <v>2.7</v>
      </c>
      <c r="W62" s="72">
        <v>3.2</v>
      </c>
      <c r="X62" s="72">
        <v>3.2</v>
      </c>
      <c r="Y62" s="72">
        <v>3.2</v>
      </c>
      <c r="Z62" s="72">
        <v>3.2</v>
      </c>
      <c r="AA62" s="72">
        <v>3.2</v>
      </c>
      <c r="AB62" s="72">
        <v>3.2</v>
      </c>
      <c r="AC62" s="72">
        <v>3.2</v>
      </c>
      <c r="AD62" s="72">
        <v>3.2</v>
      </c>
      <c r="AE62" s="72">
        <v>3.2</v>
      </c>
      <c r="AF62" s="72">
        <v>3.2</v>
      </c>
      <c r="AG62" s="61">
        <v>14</v>
      </c>
      <c r="AH62" s="52">
        <f t="shared" si="2"/>
        <v>5.3</v>
      </c>
      <c r="AI62" s="53">
        <f t="shared" si="3"/>
        <v>2.7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9">SUM(B53:B65)</f>
        <v>103.44000000000001</v>
      </c>
      <c r="C66" s="67">
        <f t="shared" si="9"/>
        <v>103.44000000000001</v>
      </c>
      <c r="D66" s="67">
        <f t="shared" si="9"/>
        <v>103.44000000000001</v>
      </c>
      <c r="E66" s="67">
        <f t="shared" si="9"/>
        <v>74.94</v>
      </c>
      <c r="F66" s="67">
        <f t="shared" si="9"/>
        <v>72.839999999999989</v>
      </c>
      <c r="G66" s="67">
        <f t="shared" si="9"/>
        <v>85.84</v>
      </c>
      <c r="H66" s="67">
        <f t="shared" si="9"/>
        <v>142.33999999999997</v>
      </c>
      <c r="I66" s="67">
        <f t="shared" si="9"/>
        <v>155.85</v>
      </c>
      <c r="J66" s="67">
        <f t="shared" si="9"/>
        <v>220.14999999999998</v>
      </c>
      <c r="K66" s="67">
        <f t="shared" si="9"/>
        <v>241.54999999999998</v>
      </c>
      <c r="L66" s="67">
        <f t="shared" si="9"/>
        <v>229.74</v>
      </c>
      <c r="M66" s="67">
        <f t="shared" si="9"/>
        <v>230.94</v>
      </c>
      <c r="N66" s="67">
        <f t="shared" si="9"/>
        <v>200.04</v>
      </c>
      <c r="O66" s="67">
        <f t="shared" si="9"/>
        <v>190.54000000000002</v>
      </c>
      <c r="P66" s="67">
        <f t="shared" si="9"/>
        <v>209.76</v>
      </c>
      <c r="Q66" s="67">
        <f t="shared" si="9"/>
        <v>237.93999999999997</v>
      </c>
      <c r="R66" s="67">
        <f t="shared" si="9"/>
        <v>218.73999999999998</v>
      </c>
      <c r="S66" s="67">
        <f>SUM(S53:S65)</f>
        <v>206.73999999999998</v>
      </c>
      <c r="T66" s="67">
        <f t="shared" si="9"/>
        <v>203.64</v>
      </c>
      <c r="U66" s="67">
        <f t="shared" si="9"/>
        <v>204.73999999999998</v>
      </c>
      <c r="V66" s="67">
        <f t="shared" si="9"/>
        <v>208.04</v>
      </c>
      <c r="W66" s="67">
        <f t="shared" si="9"/>
        <v>187.43999999999997</v>
      </c>
      <c r="X66" s="67">
        <f t="shared" si="9"/>
        <v>224.43999999999997</v>
      </c>
      <c r="Y66" s="67">
        <f t="shared" si="9"/>
        <v>285.04000000000002</v>
      </c>
      <c r="Z66" s="67">
        <f t="shared" si="9"/>
        <v>305.34000000000003</v>
      </c>
      <c r="AA66" s="67">
        <f t="shared" si="9"/>
        <v>275.94000000000005</v>
      </c>
      <c r="AB66" s="67">
        <f t="shared" si="9"/>
        <v>211.64</v>
      </c>
      <c r="AC66" s="67">
        <f t="shared" si="9"/>
        <v>190.34</v>
      </c>
      <c r="AD66" s="67">
        <f t="shared" ref="AD66:AE66" si="10">SUM(AD53:AD65)</f>
        <v>175.84</v>
      </c>
      <c r="AE66" s="67">
        <f t="shared" si="10"/>
        <v>155.04</v>
      </c>
      <c r="AF66" s="67">
        <f t="shared" si="9"/>
        <v>116.14</v>
      </c>
      <c r="AG66" s="68">
        <f t="shared" si="9"/>
        <v>489.91</v>
      </c>
      <c r="AH66" s="52">
        <f t="shared" si="2"/>
        <v>305.34000000000003</v>
      </c>
      <c r="AI66" s="53">
        <f t="shared" si="3"/>
        <v>72.839999999999989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15</v>
      </c>
      <c r="R67" s="50">
        <v>15</v>
      </c>
      <c r="S67" s="50">
        <v>25</v>
      </c>
      <c r="T67" s="50">
        <v>30</v>
      </c>
      <c r="U67" s="50">
        <v>30</v>
      </c>
      <c r="V67" s="50">
        <v>30</v>
      </c>
      <c r="W67" s="50">
        <v>25</v>
      </c>
      <c r="X67" s="50">
        <v>20</v>
      </c>
      <c r="Y67" s="50">
        <v>50</v>
      </c>
      <c r="Z67" s="50">
        <v>45</v>
      </c>
      <c r="AA67" s="50">
        <v>30</v>
      </c>
      <c r="AB67" s="50">
        <v>25</v>
      </c>
      <c r="AC67" s="50">
        <v>15</v>
      </c>
      <c r="AD67" s="50">
        <v>15</v>
      </c>
      <c r="AE67" s="50">
        <v>0</v>
      </c>
      <c r="AF67" s="50">
        <v>0</v>
      </c>
      <c r="AG67" s="56">
        <v>60</v>
      </c>
      <c r="AH67" s="52">
        <f t="shared" si="2"/>
        <v>50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50">
        <v>6</v>
      </c>
      <c r="R68" s="50">
        <v>5.3</v>
      </c>
      <c r="S68" s="72">
        <v>11.2</v>
      </c>
      <c r="T68" s="72">
        <v>14.6</v>
      </c>
      <c r="U68" s="72">
        <v>14.6</v>
      </c>
      <c r="V68" s="72">
        <v>14.6</v>
      </c>
      <c r="W68" s="72">
        <v>13.3</v>
      </c>
      <c r="X68" s="72">
        <v>10</v>
      </c>
      <c r="Y68" s="72">
        <v>19.8</v>
      </c>
      <c r="Z68" s="72">
        <v>15.8</v>
      </c>
      <c r="AA68" s="72">
        <v>14.3</v>
      </c>
      <c r="AB68" s="72">
        <v>13.9</v>
      </c>
      <c r="AC68" s="72">
        <v>10</v>
      </c>
      <c r="AD68" s="72">
        <v>8.3000000000000007</v>
      </c>
      <c r="AE68" s="72">
        <v>0</v>
      </c>
      <c r="AF68" s="50">
        <v>0</v>
      </c>
      <c r="AG68" s="61">
        <v>32</v>
      </c>
      <c r="AH68" s="52">
        <f t="shared" si="2"/>
        <v>19.8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50">
        <v>2.2000000000000002</v>
      </c>
      <c r="R69" s="50">
        <v>1.9</v>
      </c>
      <c r="S69" s="74">
        <v>4.0999999999999996</v>
      </c>
      <c r="T69" s="74">
        <v>5.3</v>
      </c>
      <c r="U69" s="74">
        <v>5.3</v>
      </c>
      <c r="V69" s="74">
        <v>5.3</v>
      </c>
      <c r="W69" s="74">
        <v>4.8</v>
      </c>
      <c r="X69" s="74">
        <v>3.7</v>
      </c>
      <c r="Y69" s="74">
        <v>7.2</v>
      </c>
      <c r="Z69" s="74">
        <v>5.8</v>
      </c>
      <c r="AA69" s="74">
        <v>5.2</v>
      </c>
      <c r="AB69" s="74">
        <v>5.0999999999999996</v>
      </c>
      <c r="AC69" s="74">
        <v>3.7</v>
      </c>
      <c r="AD69" s="74">
        <v>3</v>
      </c>
      <c r="AE69" s="74">
        <v>0</v>
      </c>
      <c r="AF69" s="50">
        <v>0</v>
      </c>
      <c r="AG69" s="75">
        <v>14</v>
      </c>
      <c r="AH69" s="52">
        <f t="shared" si="2"/>
        <v>7.2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1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2">M67+M68+M69</f>
        <v>0</v>
      </c>
      <c r="N70" s="67">
        <f t="shared" si="12"/>
        <v>0</v>
      </c>
      <c r="O70" s="67">
        <f t="shared" si="12"/>
        <v>0</v>
      </c>
      <c r="P70" s="67">
        <f t="shared" si="12"/>
        <v>0</v>
      </c>
      <c r="Q70" s="67">
        <f t="shared" si="12"/>
        <v>23.2</v>
      </c>
      <c r="R70" s="67">
        <f t="shared" si="12"/>
        <v>22.2</v>
      </c>
      <c r="S70" s="67">
        <f t="shared" si="12"/>
        <v>40.300000000000004</v>
      </c>
      <c r="T70" s="67">
        <f t="shared" si="12"/>
        <v>49.9</v>
      </c>
      <c r="U70" s="67">
        <f t="shared" si="12"/>
        <v>49.9</v>
      </c>
      <c r="V70" s="67">
        <f t="shared" si="12"/>
        <v>49.9</v>
      </c>
      <c r="W70" s="67">
        <f t="shared" si="12"/>
        <v>43.099999999999994</v>
      </c>
      <c r="X70" s="67">
        <f t="shared" si="12"/>
        <v>33.700000000000003</v>
      </c>
      <c r="Y70" s="67">
        <f t="shared" si="12"/>
        <v>77</v>
      </c>
      <c r="Z70" s="67">
        <f t="shared" si="12"/>
        <v>66.599999999999994</v>
      </c>
      <c r="AA70" s="67">
        <f t="shared" si="12"/>
        <v>49.5</v>
      </c>
      <c r="AB70" s="67">
        <f t="shared" si="12"/>
        <v>44</v>
      </c>
      <c r="AC70" s="67">
        <f t="shared" si="12"/>
        <v>28.7</v>
      </c>
      <c r="AD70" s="67">
        <f t="shared" ref="AD70" si="13">AD67+AD68+AD69</f>
        <v>26.3</v>
      </c>
      <c r="AE70" s="67">
        <f t="shared" si="12"/>
        <v>0</v>
      </c>
      <c r="AF70" s="67">
        <f t="shared" si="12"/>
        <v>0</v>
      </c>
      <c r="AG70" s="68">
        <f>SUM(AG67:AG69)</f>
        <v>106</v>
      </c>
      <c r="AH70" s="52">
        <f t="shared" si="2"/>
        <v>77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56</v>
      </c>
      <c r="C71" s="50">
        <v>50</v>
      </c>
      <c r="D71" s="50">
        <v>56</v>
      </c>
      <c r="E71" s="50">
        <v>62</v>
      </c>
      <c r="F71" s="50">
        <v>65</v>
      </c>
      <c r="G71" s="50">
        <v>69.099999999999994</v>
      </c>
      <c r="H71" s="50">
        <v>66</v>
      </c>
      <c r="I71" s="50">
        <v>60</v>
      </c>
      <c r="J71" s="50">
        <v>66</v>
      </c>
      <c r="K71" s="50">
        <v>65</v>
      </c>
      <c r="L71" s="50">
        <v>59</v>
      </c>
      <c r="M71" s="50">
        <v>65</v>
      </c>
      <c r="N71" s="50">
        <v>71.900000000000006</v>
      </c>
      <c r="O71" s="50">
        <v>74.900000000000006</v>
      </c>
      <c r="P71" s="50">
        <v>68.900000000000006</v>
      </c>
      <c r="Q71" s="50">
        <v>59</v>
      </c>
      <c r="R71" s="50">
        <v>60</v>
      </c>
      <c r="S71" s="50">
        <v>72.099999999999994</v>
      </c>
      <c r="T71" s="50">
        <v>70.8</v>
      </c>
      <c r="U71" s="50">
        <v>65.400000000000006</v>
      </c>
      <c r="V71" s="50">
        <v>65.7</v>
      </c>
      <c r="W71" s="50">
        <v>69.400000000000006</v>
      </c>
      <c r="X71" s="50">
        <v>72.099999999999994</v>
      </c>
      <c r="Y71" s="50">
        <v>71</v>
      </c>
      <c r="Z71" s="50">
        <v>62.8</v>
      </c>
      <c r="AA71" s="50">
        <v>55.3</v>
      </c>
      <c r="AB71" s="50">
        <v>71.2</v>
      </c>
      <c r="AC71" s="50">
        <v>69.5</v>
      </c>
      <c r="AD71" s="50">
        <v>63.5</v>
      </c>
      <c r="AE71" s="50">
        <v>56.2</v>
      </c>
      <c r="AF71" s="50">
        <v>57</v>
      </c>
      <c r="AG71" s="56"/>
      <c r="AH71" s="52">
        <f t="shared" si="2"/>
        <v>74.900000000000006</v>
      </c>
      <c r="AI71" s="53">
        <f t="shared" si="3"/>
        <v>50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324</v>
      </c>
      <c r="C73" s="72">
        <v>329</v>
      </c>
      <c r="D73" s="72">
        <v>371</v>
      </c>
      <c r="E73" s="72">
        <v>368</v>
      </c>
      <c r="F73" s="72">
        <v>354</v>
      </c>
      <c r="G73" s="72">
        <v>352</v>
      </c>
      <c r="H73" s="72">
        <v>350</v>
      </c>
      <c r="I73" s="72">
        <v>339</v>
      </c>
      <c r="J73" s="72">
        <v>300</v>
      </c>
      <c r="K73" s="72">
        <v>286</v>
      </c>
      <c r="L73" s="72">
        <v>287</v>
      </c>
      <c r="M73" s="72">
        <v>332</v>
      </c>
      <c r="N73" s="72">
        <v>344</v>
      </c>
      <c r="O73" s="72">
        <v>336.1</v>
      </c>
      <c r="P73" s="72">
        <v>350.9</v>
      </c>
      <c r="Q73" s="72">
        <v>347</v>
      </c>
      <c r="R73" s="72">
        <v>344.7</v>
      </c>
      <c r="S73" s="72">
        <v>351.1</v>
      </c>
      <c r="T73" s="72">
        <v>372</v>
      </c>
      <c r="U73" s="72">
        <v>330.5</v>
      </c>
      <c r="V73" s="72">
        <v>356</v>
      </c>
      <c r="W73" s="72">
        <v>324</v>
      </c>
      <c r="X73" s="72">
        <v>322</v>
      </c>
      <c r="Y73" s="72">
        <v>300</v>
      </c>
      <c r="Z73" s="72">
        <v>278</v>
      </c>
      <c r="AA73" s="72">
        <v>258</v>
      </c>
      <c r="AB73" s="72">
        <v>305.8</v>
      </c>
      <c r="AC73" s="72">
        <v>314.60000000000002</v>
      </c>
      <c r="AD73" s="72">
        <v>310.8</v>
      </c>
      <c r="AE73" s="72">
        <v>340</v>
      </c>
      <c r="AF73" s="72">
        <v>341</v>
      </c>
      <c r="AG73" s="82"/>
      <c r="AH73" s="52">
        <f t="shared" si="2"/>
        <v>372</v>
      </c>
      <c r="AI73" s="53">
        <f t="shared" si="3"/>
        <v>258</v>
      </c>
      <c r="AK73" s="54"/>
    </row>
    <row r="74" spans="1:40" x14ac:dyDescent="0.25">
      <c r="A74" s="60" t="s">
        <v>78</v>
      </c>
      <c r="B74" s="72">
        <v>64</v>
      </c>
      <c r="C74" s="72">
        <v>59</v>
      </c>
      <c r="D74" s="72">
        <v>62</v>
      </c>
      <c r="E74" s="83">
        <v>60.4</v>
      </c>
      <c r="F74" s="83">
        <v>21.4</v>
      </c>
      <c r="G74" s="83">
        <v>51.6</v>
      </c>
      <c r="H74" s="83">
        <v>62.5</v>
      </c>
      <c r="I74" s="83">
        <v>66</v>
      </c>
      <c r="J74" s="83">
        <v>65</v>
      </c>
      <c r="K74" s="83">
        <v>67</v>
      </c>
      <c r="L74" s="83">
        <v>69.3</v>
      </c>
      <c r="M74" s="83">
        <v>68.2</v>
      </c>
      <c r="N74" s="83">
        <v>69.5</v>
      </c>
      <c r="O74" s="83">
        <v>70.5</v>
      </c>
      <c r="P74" s="83">
        <v>70.7</v>
      </c>
      <c r="Q74" s="83">
        <v>70.099999999999994</v>
      </c>
      <c r="R74" s="83">
        <v>63.6</v>
      </c>
      <c r="S74" s="83">
        <v>64.7</v>
      </c>
      <c r="T74" s="83">
        <v>68</v>
      </c>
      <c r="U74" s="83">
        <v>66</v>
      </c>
      <c r="V74" s="83">
        <v>60</v>
      </c>
      <c r="W74" s="83">
        <v>57</v>
      </c>
      <c r="X74" s="83">
        <v>53</v>
      </c>
      <c r="Y74" s="72">
        <v>61</v>
      </c>
      <c r="Z74" s="72">
        <v>62.7</v>
      </c>
      <c r="AA74" s="72">
        <v>61.3</v>
      </c>
      <c r="AB74" s="72">
        <v>57.69</v>
      </c>
      <c r="AC74" s="72">
        <v>57.3</v>
      </c>
      <c r="AD74" s="72">
        <v>54.6</v>
      </c>
      <c r="AE74" s="72">
        <v>54.2</v>
      </c>
      <c r="AF74" s="72">
        <v>60.8</v>
      </c>
      <c r="AG74" s="82"/>
      <c r="AH74" s="52">
        <f t="shared" si="2"/>
        <v>70.7</v>
      </c>
      <c r="AI74" s="53">
        <f t="shared" si="3"/>
        <v>21.4</v>
      </c>
      <c r="AK74" s="54"/>
    </row>
    <row r="75" spans="1:40" x14ac:dyDescent="0.25">
      <c r="A75" s="60" t="s">
        <v>79</v>
      </c>
      <c r="B75" s="50">
        <v>90</v>
      </c>
      <c r="C75" s="50">
        <v>82</v>
      </c>
      <c r="D75" s="50">
        <v>21</v>
      </c>
      <c r="E75" s="50">
        <v>24</v>
      </c>
      <c r="F75" s="50">
        <v>81</v>
      </c>
      <c r="G75" s="50">
        <v>80.7</v>
      </c>
      <c r="H75" s="50">
        <v>79.5</v>
      </c>
      <c r="I75" s="50">
        <v>84.8</v>
      </c>
      <c r="J75" s="50">
        <v>77.400000000000006</v>
      </c>
      <c r="K75" s="50">
        <v>49.1</v>
      </c>
      <c r="L75" s="50">
        <v>53.4</v>
      </c>
      <c r="M75" s="50">
        <v>61.2</v>
      </c>
      <c r="N75" s="50">
        <v>78</v>
      </c>
      <c r="O75" s="50">
        <v>69.900000000000006</v>
      </c>
      <c r="P75" s="50">
        <v>79.099999999999994</v>
      </c>
      <c r="Q75" s="50">
        <v>81.7</v>
      </c>
      <c r="R75" s="50">
        <v>69.5</v>
      </c>
      <c r="S75" s="50">
        <v>80.7</v>
      </c>
      <c r="T75" s="50">
        <v>72</v>
      </c>
      <c r="U75" s="50">
        <v>89.6</v>
      </c>
      <c r="V75" s="50">
        <v>70</v>
      </c>
      <c r="W75" s="50">
        <v>83</v>
      </c>
      <c r="X75" s="50">
        <v>71</v>
      </c>
      <c r="Y75" s="50">
        <v>76</v>
      </c>
      <c r="Z75" s="50">
        <v>76</v>
      </c>
      <c r="AA75" s="50">
        <v>67.3</v>
      </c>
      <c r="AB75" s="50">
        <v>72</v>
      </c>
      <c r="AC75" s="50">
        <v>83.9</v>
      </c>
      <c r="AD75" s="50">
        <v>91.1</v>
      </c>
      <c r="AE75" s="50">
        <v>89.5</v>
      </c>
      <c r="AF75" s="50">
        <v>74</v>
      </c>
      <c r="AG75" s="82"/>
      <c r="AH75" s="52">
        <f t="shared" ref="AH75:AH117" si="14">MAX(B75:AF75)</f>
        <v>91.1</v>
      </c>
      <c r="AI75" s="53">
        <f t="shared" ref="AI75:AI117" si="15">MIN(B75:AF75)</f>
        <v>21</v>
      </c>
      <c r="AK75" s="54"/>
    </row>
    <row r="76" spans="1:40" x14ac:dyDescent="0.25">
      <c r="A76" s="60" t="s">
        <v>80</v>
      </c>
      <c r="B76" s="84">
        <v>5</v>
      </c>
      <c r="C76" s="84">
        <v>5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4"/>
        <v>5</v>
      </c>
      <c r="AI76" s="53">
        <f t="shared" si="15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4"/>
        <v>0</v>
      </c>
      <c r="AI77" s="53">
        <f t="shared" si="15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4"/>
        <v>0</v>
      </c>
      <c r="AI78" s="53">
        <f t="shared" si="15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4"/>
        <v>0</v>
      </c>
      <c r="AI79" s="53">
        <f t="shared" si="15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4"/>
        <v>0</v>
      </c>
      <c r="AI80" s="53">
        <f t="shared" si="15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4"/>
        <v>0</v>
      </c>
      <c r="AI81" s="53">
        <f t="shared" si="15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6">SUMIF(B71:B81,"&gt;0")</f>
        <v>539</v>
      </c>
      <c r="C82" s="67">
        <f t="shared" si="16"/>
        <v>525</v>
      </c>
      <c r="D82" s="67">
        <f t="shared" si="16"/>
        <v>510</v>
      </c>
      <c r="E82" s="67">
        <f t="shared" si="16"/>
        <v>514.4</v>
      </c>
      <c r="F82" s="67">
        <f t="shared" si="16"/>
        <v>521.4</v>
      </c>
      <c r="G82" s="67">
        <f t="shared" si="16"/>
        <v>553.40000000000009</v>
      </c>
      <c r="H82" s="67">
        <f t="shared" si="16"/>
        <v>558</v>
      </c>
      <c r="I82" s="67">
        <f t="shared" si="16"/>
        <v>549.79999999999995</v>
      </c>
      <c r="J82" s="67">
        <f t="shared" si="16"/>
        <v>508.4</v>
      </c>
      <c r="K82" s="67">
        <f t="shared" si="16"/>
        <v>467.1</v>
      </c>
      <c r="L82" s="67">
        <f t="shared" si="16"/>
        <v>468.7</v>
      </c>
      <c r="M82" s="67">
        <f t="shared" si="16"/>
        <v>526.4</v>
      </c>
      <c r="N82" s="67">
        <f t="shared" si="16"/>
        <v>563.4</v>
      </c>
      <c r="O82" s="67">
        <f t="shared" si="16"/>
        <v>556.4</v>
      </c>
      <c r="P82" s="67">
        <f t="shared" si="16"/>
        <v>574.59999999999991</v>
      </c>
      <c r="Q82" s="67">
        <f t="shared" si="16"/>
        <v>562.80000000000007</v>
      </c>
      <c r="R82" s="67">
        <f t="shared" si="16"/>
        <v>542.79999999999995</v>
      </c>
      <c r="S82" s="67">
        <f t="shared" si="16"/>
        <v>573.6</v>
      </c>
      <c r="T82" s="67">
        <f t="shared" si="16"/>
        <v>587.79999999999995</v>
      </c>
      <c r="U82" s="67">
        <f t="shared" si="16"/>
        <v>556.5</v>
      </c>
      <c r="V82" s="67">
        <f t="shared" si="16"/>
        <v>556.70000000000005</v>
      </c>
      <c r="W82" s="67">
        <f t="shared" si="16"/>
        <v>538.4</v>
      </c>
      <c r="X82" s="67">
        <f t="shared" si="16"/>
        <v>523.1</v>
      </c>
      <c r="Y82" s="67">
        <f t="shared" si="16"/>
        <v>513</v>
      </c>
      <c r="Z82" s="67">
        <f t="shared" si="16"/>
        <v>484.5</v>
      </c>
      <c r="AA82" s="67">
        <f t="shared" si="16"/>
        <v>446.90000000000003</v>
      </c>
      <c r="AB82" s="67">
        <f t="shared" si="16"/>
        <v>511.69</v>
      </c>
      <c r="AC82" s="67">
        <f t="shared" si="16"/>
        <v>530.30000000000007</v>
      </c>
      <c r="AD82" s="67">
        <f t="shared" ref="AD82" si="17">SUMIF(AD71:AD81,"&gt;0")</f>
        <v>525</v>
      </c>
      <c r="AE82" s="67">
        <f t="shared" si="16"/>
        <v>544.9</v>
      </c>
      <c r="AF82" s="67">
        <f t="shared" si="16"/>
        <v>537.79999999999995</v>
      </c>
      <c r="AG82" s="95">
        <f>SUM(AG71:AG81)</f>
        <v>0</v>
      </c>
      <c r="AH82" s="52">
        <f t="shared" si="14"/>
        <v>587.79999999999995</v>
      </c>
      <c r="AI82" s="53">
        <f t="shared" si="15"/>
        <v>446.90000000000003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4"/>
        <v>0</v>
      </c>
      <c r="AI83" s="53">
        <f t="shared" si="15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4"/>
        <v>0</v>
      </c>
      <c r="AI84" s="53">
        <f t="shared" si="15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4"/>
        <v>0</v>
      </c>
      <c r="AI85" s="53">
        <f t="shared" si="15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4"/>
        <v>0</v>
      </c>
      <c r="AI86" s="53">
        <f t="shared" si="15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8">B48+B52+B70+B66+B82+B86</f>
        <v>1018.64</v>
      </c>
      <c r="C87" s="102">
        <f t="shared" si="18"/>
        <v>1004.64</v>
      </c>
      <c r="D87" s="102">
        <f t="shared" si="18"/>
        <v>989.64</v>
      </c>
      <c r="E87" s="102">
        <f t="shared" si="18"/>
        <v>965.54</v>
      </c>
      <c r="F87" s="102">
        <f t="shared" si="18"/>
        <v>971.23900000000003</v>
      </c>
      <c r="G87" s="102">
        <f t="shared" si="18"/>
        <v>1016.2390000000001</v>
      </c>
      <c r="H87" s="102">
        <f t="shared" si="18"/>
        <v>1107.3389999999999</v>
      </c>
      <c r="I87" s="102">
        <f t="shared" si="18"/>
        <v>1162.6489999999999</v>
      </c>
      <c r="J87" s="102">
        <f t="shared" si="18"/>
        <v>1256.049</v>
      </c>
      <c r="K87" s="102">
        <f t="shared" si="18"/>
        <v>1246.1489999999999</v>
      </c>
      <c r="L87" s="102">
        <f t="shared" si="18"/>
        <v>1239.6400000000001</v>
      </c>
      <c r="M87" s="102">
        <f t="shared" si="18"/>
        <v>1265.6399999999999</v>
      </c>
      <c r="N87" s="102">
        <f t="shared" si="18"/>
        <v>1197.6399999999999</v>
      </c>
      <c r="O87" s="102">
        <f t="shared" si="18"/>
        <v>1181.24</v>
      </c>
      <c r="P87" s="102">
        <f t="shared" si="18"/>
        <v>1229.1599999999999</v>
      </c>
      <c r="Q87" s="102">
        <f t="shared" si="18"/>
        <v>1288.74</v>
      </c>
      <c r="R87" s="102">
        <f t="shared" si="18"/>
        <v>1268.54</v>
      </c>
      <c r="S87" s="102">
        <f t="shared" si="18"/>
        <v>1315.44</v>
      </c>
      <c r="T87" s="102">
        <f t="shared" si="18"/>
        <v>1329.1399999999999</v>
      </c>
      <c r="U87" s="102">
        <f t="shared" si="18"/>
        <v>1295.94</v>
      </c>
      <c r="V87" s="102">
        <f t="shared" si="18"/>
        <v>1289.44</v>
      </c>
      <c r="W87" s="102">
        <f t="shared" si="18"/>
        <v>1227.7399999999998</v>
      </c>
      <c r="X87" s="102">
        <f t="shared" si="18"/>
        <v>1265.04</v>
      </c>
      <c r="Y87" s="102">
        <f t="shared" si="18"/>
        <v>1403.84</v>
      </c>
      <c r="Z87" s="102">
        <f t="shared" si="18"/>
        <v>1400.24</v>
      </c>
      <c r="AA87" s="102">
        <f t="shared" si="18"/>
        <v>1336.14</v>
      </c>
      <c r="AB87" s="102">
        <f t="shared" si="18"/>
        <v>1306.6299999999999</v>
      </c>
      <c r="AC87" s="102">
        <f t="shared" si="18"/>
        <v>1283.6400000000001</v>
      </c>
      <c r="AD87" s="102">
        <f t="shared" si="18"/>
        <v>1250.7399999999998</v>
      </c>
      <c r="AE87" s="102">
        <f t="shared" si="18"/>
        <v>1143.54</v>
      </c>
      <c r="AF87" s="102">
        <f t="shared" si="18"/>
        <v>1077.54</v>
      </c>
      <c r="AG87" s="68">
        <f t="shared" si="18"/>
        <v>2065.09</v>
      </c>
      <c r="AH87" s="52">
        <f>MAX(B87:AF87)</f>
        <v>1403.84</v>
      </c>
      <c r="AI87" s="53">
        <f>MIN(B87:AF87)</f>
        <v>965.54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150</v>
      </c>
      <c r="L88" s="104">
        <v>150</v>
      </c>
      <c r="M88" s="104">
        <v>150</v>
      </c>
      <c r="N88" s="104">
        <v>150</v>
      </c>
      <c r="O88" s="104">
        <v>150</v>
      </c>
      <c r="P88" s="104">
        <v>100</v>
      </c>
      <c r="Q88" s="104">
        <v>50</v>
      </c>
      <c r="R88" s="104">
        <v>50</v>
      </c>
      <c r="S88" s="104"/>
      <c r="T88" s="104"/>
      <c r="U88" s="104"/>
      <c r="V88" s="104"/>
      <c r="W88" s="104">
        <v>100</v>
      </c>
      <c r="X88" s="104">
        <v>150</v>
      </c>
      <c r="Y88" s="104">
        <v>150</v>
      </c>
      <c r="Z88" s="104">
        <v>150</v>
      </c>
      <c r="AA88" s="104">
        <v>150</v>
      </c>
      <c r="AB88" s="104">
        <v>150</v>
      </c>
      <c r="AC88" s="104">
        <v>130</v>
      </c>
      <c r="AD88" s="104">
        <v>100</v>
      </c>
      <c r="AE88" s="104">
        <v>50</v>
      </c>
      <c r="AF88" s="104"/>
      <c r="AG88" s="95"/>
      <c r="AH88" s="52">
        <f t="shared" si="14"/>
        <v>150</v>
      </c>
      <c r="AI88" s="53">
        <f t="shared" si="15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9">B87+B88</f>
        <v>1018.64</v>
      </c>
      <c r="C89" s="102">
        <f t="shared" si="19"/>
        <v>1004.64</v>
      </c>
      <c r="D89" s="102">
        <f t="shared" si="19"/>
        <v>989.64</v>
      </c>
      <c r="E89" s="102">
        <f t="shared" si="19"/>
        <v>965.54</v>
      </c>
      <c r="F89" s="102">
        <f t="shared" si="19"/>
        <v>971.23900000000003</v>
      </c>
      <c r="G89" s="102">
        <f t="shared" si="19"/>
        <v>1016.2390000000001</v>
      </c>
      <c r="H89" s="102">
        <f t="shared" si="19"/>
        <v>1107.3389999999999</v>
      </c>
      <c r="I89" s="102">
        <f t="shared" si="19"/>
        <v>1162.6489999999999</v>
      </c>
      <c r="J89" s="102">
        <f t="shared" si="19"/>
        <v>1256.049</v>
      </c>
      <c r="K89" s="102">
        <f t="shared" si="19"/>
        <v>1396.1489999999999</v>
      </c>
      <c r="L89" s="102">
        <f t="shared" si="19"/>
        <v>1389.64</v>
      </c>
      <c r="M89" s="102">
        <f t="shared" si="19"/>
        <v>1415.6399999999999</v>
      </c>
      <c r="N89" s="102">
        <f t="shared" si="19"/>
        <v>1347.6399999999999</v>
      </c>
      <c r="O89" s="102">
        <f t="shared" si="19"/>
        <v>1331.24</v>
      </c>
      <c r="P89" s="102">
        <f t="shared" si="19"/>
        <v>1329.1599999999999</v>
      </c>
      <c r="Q89" s="102">
        <f t="shared" si="19"/>
        <v>1338.74</v>
      </c>
      <c r="R89" s="102">
        <f t="shared" si="19"/>
        <v>1318.54</v>
      </c>
      <c r="S89" s="102">
        <f t="shared" si="19"/>
        <v>1315.44</v>
      </c>
      <c r="T89" s="102">
        <f t="shared" si="19"/>
        <v>1329.1399999999999</v>
      </c>
      <c r="U89" s="102">
        <f t="shared" si="19"/>
        <v>1295.94</v>
      </c>
      <c r="V89" s="102">
        <f t="shared" si="19"/>
        <v>1289.44</v>
      </c>
      <c r="W89" s="102">
        <f t="shared" si="19"/>
        <v>1327.7399999999998</v>
      </c>
      <c r="X89" s="102">
        <f t="shared" si="19"/>
        <v>1415.04</v>
      </c>
      <c r="Y89" s="102">
        <f t="shared" si="19"/>
        <v>1553.84</v>
      </c>
      <c r="Z89" s="102">
        <f t="shared" si="19"/>
        <v>1550.24</v>
      </c>
      <c r="AA89" s="102">
        <f t="shared" si="19"/>
        <v>1486.14</v>
      </c>
      <c r="AB89" s="102">
        <f t="shared" si="19"/>
        <v>1456.6299999999999</v>
      </c>
      <c r="AC89" s="102">
        <f t="shared" si="19"/>
        <v>1413.64</v>
      </c>
      <c r="AD89" s="102">
        <f t="shared" si="19"/>
        <v>1350.7399999999998</v>
      </c>
      <c r="AE89" s="102">
        <f t="shared" si="19"/>
        <v>1193.54</v>
      </c>
      <c r="AF89" s="102">
        <f t="shared" si="19"/>
        <v>1077.54</v>
      </c>
      <c r="AG89" s="95">
        <f>AG86+AG82+AG70+AG66+AG48+AG88</f>
        <v>1526.99</v>
      </c>
      <c r="AH89" s="52">
        <f t="shared" si="14"/>
        <v>1553.84</v>
      </c>
      <c r="AI89" s="53">
        <f t="shared" si="15"/>
        <v>965.54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20">B89-B97</f>
        <v>1018.64</v>
      </c>
      <c r="C90" s="102">
        <f t="shared" si="20"/>
        <v>1004.64</v>
      </c>
      <c r="D90" s="102">
        <f t="shared" si="20"/>
        <v>989.64</v>
      </c>
      <c r="E90" s="102">
        <f t="shared" si="20"/>
        <v>965.54</v>
      </c>
      <c r="F90" s="102">
        <f t="shared" si="20"/>
        <v>971.23900000000003</v>
      </c>
      <c r="G90" s="102">
        <f t="shared" si="20"/>
        <v>1016.2390000000001</v>
      </c>
      <c r="H90" s="102">
        <f t="shared" si="20"/>
        <v>1107.3389999999999</v>
      </c>
      <c r="I90" s="102">
        <f t="shared" si="20"/>
        <v>1162.6489999999999</v>
      </c>
      <c r="J90" s="102">
        <f t="shared" si="20"/>
        <v>1256.049</v>
      </c>
      <c r="K90" s="102">
        <f t="shared" si="20"/>
        <v>1396.1489999999999</v>
      </c>
      <c r="L90" s="102">
        <f t="shared" si="20"/>
        <v>1389.64</v>
      </c>
      <c r="M90" s="102">
        <f t="shared" si="20"/>
        <v>1415.6399999999999</v>
      </c>
      <c r="N90" s="102">
        <f t="shared" si="20"/>
        <v>1347.6399999999999</v>
      </c>
      <c r="O90" s="102">
        <f t="shared" si="20"/>
        <v>1331.24</v>
      </c>
      <c r="P90" s="102">
        <f t="shared" si="20"/>
        <v>1329.1599999999999</v>
      </c>
      <c r="Q90" s="102">
        <f t="shared" si="20"/>
        <v>1338.74</v>
      </c>
      <c r="R90" s="102">
        <f t="shared" si="20"/>
        <v>1318.54</v>
      </c>
      <c r="S90" s="102">
        <f t="shared" si="20"/>
        <v>1315.44</v>
      </c>
      <c r="T90" s="102">
        <f t="shared" si="20"/>
        <v>1329.1399999999999</v>
      </c>
      <c r="U90" s="102">
        <f t="shared" si="20"/>
        <v>1295.94</v>
      </c>
      <c r="V90" s="102">
        <f t="shared" si="20"/>
        <v>1289.44</v>
      </c>
      <c r="W90" s="102">
        <f t="shared" si="20"/>
        <v>1327.7399999999998</v>
      </c>
      <c r="X90" s="102">
        <f t="shared" si="20"/>
        <v>1415.04</v>
      </c>
      <c r="Y90" s="102">
        <f t="shared" si="20"/>
        <v>1553.84</v>
      </c>
      <c r="Z90" s="102">
        <f t="shared" si="20"/>
        <v>1550.24</v>
      </c>
      <c r="AA90" s="102">
        <f t="shared" si="20"/>
        <v>1486.14</v>
      </c>
      <c r="AB90" s="102">
        <f t="shared" si="20"/>
        <v>1456.6299999999999</v>
      </c>
      <c r="AC90" s="102">
        <f t="shared" si="20"/>
        <v>1413.64</v>
      </c>
      <c r="AD90" s="102">
        <f t="shared" si="20"/>
        <v>1350.7399999999998</v>
      </c>
      <c r="AE90" s="102">
        <f t="shared" si="20"/>
        <v>1193.54</v>
      </c>
      <c r="AF90" s="102">
        <f t="shared" si="20"/>
        <v>1077.54</v>
      </c>
      <c r="AG90" s="95"/>
      <c r="AH90" s="52">
        <f t="shared" si="14"/>
        <v>1553.84</v>
      </c>
      <c r="AI90" s="53">
        <f t="shared" si="15"/>
        <v>965.54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4"/>
        <v>0</v>
      </c>
      <c r="AI91" s="53">
        <f t="shared" si="15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4"/>
        <v>0</v>
      </c>
      <c r="AI92" s="53">
        <f t="shared" si="15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4"/>
        <v>0</v>
      </c>
      <c r="AI93" s="53">
        <f t="shared" si="15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4"/>
        <v>0</v>
      </c>
      <c r="AI94" s="53">
        <f t="shared" si="15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4"/>
        <v>0</v>
      </c>
      <c r="AI95" s="53">
        <f t="shared" si="15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4"/>
        <v>0</v>
      </c>
      <c r="AI96" s="53">
        <f t="shared" si="15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4"/>
        <v>0</v>
      </c>
      <c r="AI97" s="53">
        <f t="shared" si="15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1">B82-B97</f>
        <v>539</v>
      </c>
      <c r="C98" s="67">
        <f t="shared" si="21"/>
        <v>525</v>
      </c>
      <c r="D98" s="67">
        <f t="shared" si="21"/>
        <v>510</v>
      </c>
      <c r="E98" s="67">
        <f t="shared" si="21"/>
        <v>514.4</v>
      </c>
      <c r="F98" s="67">
        <f t="shared" si="21"/>
        <v>521.4</v>
      </c>
      <c r="G98" s="67">
        <f t="shared" si="21"/>
        <v>553.40000000000009</v>
      </c>
      <c r="H98" s="67">
        <f t="shared" si="21"/>
        <v>558</v>
      </c>
      <c r="I98" s="67">
        <f t="shared" si="21"/>
        <v>549.79999999999995</v>
      </c>
      <c r="J98" s="67">
        <f t="shared" si="21"/>
        <v>508.4</v>
      </c>
      <c r="K98" s="67">
        <f t="shared" si="21"/>
        <v>467.1</v>
      </c>
      <c r="L98" s="67">
        <f t="shared" si="21"/>
        <v>468.7</v>
      </c>
      <c r="M98" s="67">
        <f t="shared" si="21"/>
        <v>526.4</v>
      </c>
      <c r="N98" s="67">
        <f t="shared" si="21"/>
        <v>563.4</v>
      </c>
      <c r="O98" s="67">
        <f t="shared" si="21"/>
        <v>556.4</v>
      </c>
      <c r="P98" s="67">
        <f t="shared" si="21"/>
        <v>574.59999999999991</v>
      </c>
      <c r="Q98" s="67">
        <f t="shared" si="21"/>
        <v>562.80000000000007</v>
      </c>
      <c r="R98" s="67">
        <f t="shared" si="21"/>
        <v>542.79999999999995</v>
      </c>
      <c r="S98" s="67">
        <f t="shared" si="21"/>
        <v>573.6</v>
      </c>
      <c r="T98" s="67">
        <f t="shared" si="21"/>
        <v>587.79999999999995</v>
      </c>
      <c r="U98" s="67">
        <f t="shared" si="21"/>
        <v>556.5</v>
      </c>
      <c r="V98" s="67">
        <f t="shared" si="21"/>
        <v>556.70000000000005</v>
      </c>
      <c r="W98" s="67">
        <f t="shared" si="21"/>
        <v>538.4</v>
      </c>
      <c r="X98" s="67">
        <f t="shared" si="21"/>
        <v>523.1</v>
      </c>
      <c r="Y98" s="67">
        <f t="shared" si="21"/>
        <v>513</v>
      </c>
      <c r="Z98" s="67">
        <f t="shared" si="21"/>
        <v>484.5</v>
      </c>
      <c r="AA98" s="67">
        <f t="shared" si="21"/>
        <v>446.90000000000003</v>
      </c>
      <c r="AB98" s="67">
        <f t="shared" si="21"/>
        <v>511.69</v>
      </c>
      <c r="AC98" s="67">
        <f t="shared" si="21"/>
        <v>530.30000000000007</v>
      </c>
      <c r="AD98" s="67">
        <f t="shared" si="21"/>
        <v>525</v>
      </c>
      <c r="AE98" s="67">
        <f t="shared" si="21"/>
        <v>544.9</v>
      </c>
      <c r="AF98" s="67">
        <f t="shared" si="21"/>
        <v>537.79999999999995</v>
      </c>
      <c r="AG98" s="95"/>
      <c r="AH98" s="52">
        <f t="shared" si="14"/>
        <v>587.79999999999995</v>
      </c>
      <c r="AI98" s="53">
        <f t="shared" si="15"/>
        <v>446.90000000000003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50.034999999999997</v>
      </c>
      <c r="C99" s="108">
        <v>49.99</v>
      </c>
      <c r="D99" s="108">
        <v>49.994999999999997</v>
      </c>
      <c r="E99" s="108">
        <v>49.957000000000001</v>
      </c>
      <c r="F99" s="108">
        <v>49.941000000000003</v>
      </c>
      <c r="G99" s="108">
        <v>49.96</v>
      </c>
      <c r="H99" s="108">
        <v>49.975999999999999</v>
      </c>
      <c r="I99" s="108">
        <v>50.027000000000001</v>
      </c>
      <c r="J99" s="108">
        <v>50.034999999999997</v>
      </c>
      <c r="K99" s="108">
        <v>49.957000000000001</v>
      </c>
      <c r="L99" s="108">
        <v>49.920999999999999</v>
      </c>
      <c r="M99" s="108">
        <v>50.067</v>
      </c>
      <c r="N99" s="108">
        <v>49.954999999999998</v>
      </c>
      <c r="O99" s="108">
        <v>49.960999999999999</v>
      </c>
      <c r="P99" s="108">
        <v>50.01</v>
      </c>
      <c r="Q99" s="108">
        <v>50.015000000000001</v>
      </c>
      <c r="R99" s="108">
        <v>50.014000000000003</v>
      </c>
      <c r="S99" s="108">
        <v>49.899000000000001</v>
      </c>
      <c r="T99" s="108">
        <v>50.009</v>
      </c>
      <c r="U99" s="108">
        <v>50.018000000000001</v>
      </c>
      <c r="V99" s="108">
        <v>49.851999999999997</v>
      </c>
      <c r="W99" s="108">
        <v>50.082000000000001</v>
      </c>
      <c r="X99" s="108">
        <v>49.963999999999999</v>
      </c>
      <c r="Y99" s="108">
        <v>50.12</v>
      </c>
      <c r="Z99" s="108">
        <v>49.970999999999997</v>
      </c>
      <c r="AA99" s="108">
        <v>50.03</v>
      </c>
      <c r="AB99" s="108">
        <v>50.04</v>
      </c>
      <c r="AC99" s="108">
        <v>50</v>
      </c>
      <c r="AD99" s="108">
        <v>49.96</v>
      </c>
      <c r="AE99" s="108">
        <v>50.088999999999999</v>
      </c>
      <c r="AF99" s="108">
        <v>49.95</v>
      </c>
      <c r="AG99" s="109"/>
      <c r="AH99" s="52">
        <f t="shared" si="14"/>
        <v>50.12</v>
      </c>
      <c r="AI99" s="53">
        <f t="shared" si="15"/>
        <v>49.851999999999997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129.69999999999999</v>
      </c>
      <c r="C100" s="72">
        <v>130.30000000000001</v>
      </c>
      <c r="D100" s="72">
        <v>129</v>
      </c>
      <c r="E100" s="72">
        <v>127.8</v>
      </c>
      <c r="F100" s="72">
        <v>128.80000000000001</v>
      </c>
      <c r="G100" s="72">
        <v>128.69999999999999</v>
      </c>
      <c r="H100" s="72">
        <v>128.4</v>
      </c>
      <c r="I100" s="72">
        <v>126.9</v>
      </c>
      <c r="J100" s="72">
        <v>125.6</v>
      </c>
      <c r="K100" s="72">
        <v>126.8</v>
      </c>
      <c r="L100" s="72">
        <v>126.2</v>
      </c>
      <c r="M100" s="72">
        <v>126.4</v>
      </c>
      <c r="N100" s="72">
        <v>126.3</v>
      </c>
      <c r="O100" s="72">
        <v>126.8</v>
      </c>
      <c r="P100" s="72">
        <v>125.8</v>
      </c>
      <c r="Q100" s="72">
        <v>126</v>
      </c>
      <c r="R100" s="72">
        <v>124.7</v>
      </c>
      <c r="S100" s="72">
        <v>124.8</v>
      </c>
      <c r="T100" s="72">
        <v>126</v>
      </c>
      <c r="U100" s="72">
        <v>127</v>
      </c>
      <c r="V100" s="72">
        <v>127.8</v>
      </c>
      <c r="W100" s="72">
        <v>130</v>
      </c>
      <c r="X100" s="72">
        <v>129.19999999999999</v>
      </c>
      <c r="Y100" s="72">
        <v>130.5</v>
      </c>
      <c r="Z100" s="72">
        <v>129.5</v>
      </c>
      <c r="AA100" s="72">
        <v>129.6</v>
      </c>
      <c r="AB100" s="72">
        <v>131.1</v>
      </c>
      <c r="AC100" s="72">
        <v>130.5</v>
      </c>
      <c r="AD100" s="72">
        <v>130.9</v>
      </c>
      <c r="AE100" s="72">
        <v>129.80000000000001</v>
      </c>
      <c r="AF100" s="72">
        <v>130</v>
      </c>
      <c r="AG100" s="111"/>
      <c r="AH100" s="52">
        <f t="shared" si="14"/>
        <v>131.1</v>
      </c>
      <c r="AI100" s="53">
        <f t="shared" si="15"/>
        <v>124.7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132.4</v>
      </c>
      <c r="C101" s="72">
        <v>133.30000000000001</v>
      </c>
      <c r="D101" s="72">
        <v>132.30000000000001</v>
      </c>
      <c r="E101" s="72">
        <v>131.6</v>
      </c>
      <c r="F101" s="72">
        <v>131.6</v>
      </c>
      <c r="G101" s="72">
        <v>131.69</v>
      </c>
      <c r="H101" s="72">
        <v>131.4</v>
      </c>
      <c r="I101" s="72">
        <v>130</v>
      </c>
      <c r="J101" s="72">
        <v>128.1</v>
      </c>
      <c r="K101" s="72">
        <v>128.80000000000001</v>
      </c>
      <c r="L101" s="72">
        <v>127.8</v>
      </c>
      <c r="M101" s="72">
        <v>128.4</v>
      </c>
      <c r="N101" s="72">
        <v>128.69999999999999</v>
      </c>
      <c r="O101" s="72">
        <v>129.19999999999999</v>
      </c>
      <c r="P101" s="72">
        <v>128.69999999999999</v>
      </c>
      <c r="Q101" s="72">
        <v>129</v>
      </c>
      <c r="R101" s="72">
        <v>127.8</v>
      </c>
      <c r="S101" s="72">
        <v>128.1</v>
      </c>
      <c r="T101" s="72">
        <v>129</v>
      </c>
      <c r="U101" s="72">
        <v>129.69999999999999</v>
      </c>
      <c r="V101" s="72">
        <v>130</v>
      </c>
      <c r="W101" s="72">
        <v>131.6</v>
      </c>
      <c r="X101" s="72">
        <v>131.5</v>
      </c>
      <c r="Y101" s="72">
        <v>132.1</v>
      </c>
      <c r="Z101" s="72">
        <v>131.19999999999999</v>
      </c>
      <c r="AA101" s="72">
        <v>131.69999999999999</v>
      </c>
      <c r="AB101" s="72">
        <v>132.9</v>
      </c>
      <c r="AC101" s="72">
        <v>132.9</v>
      </c>
      <c r="AD101" s="72">
        <v>133</v>
      </c>
      <c r="AE101" s="72">
        <v>132.30000000000001</v>
      </c>
      <c r="AF101" s="72">
        <v>132.80000000000001</v>
      </c>
      <c r="AG101" s="111"/>
      <c r="AH101" s="52">
        <f t="shared" si="14"/>
        <v>133.30000000000001</v>
      </c>
      <c r="AI101" s="53">
        <f t="shared" si="15"/>
        <v>127.8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130.6</v>
      </c>
      <c r="C102" s="72">
        <v>130.80000000000001</v>
      </c>
      <c r="D102" s="72">
        <v>134</v>
      </c>
      <c r="E102" s="72">
        <v>131.5</v>
      </c>
      <c r="F102" s="72">
        <v>133.30000000000001</v>
      </c>
      <c r="G102" s="72">
        <v>129.9</v>
      </c>
      <c r="H102" s="72">
        <v>127.7</v>
      </c>
      <c r="I102" s="72">
        <v>127.2</v>
      </c>
      <c r="J102" s="72">
        <v>128.30000000000001</v>
      </c>
      <c r="K102" s="72">
        <v>128.4</v>
      </c>
      <c r="L102" s="72">
        <v>125.3</v>
      </c>
      <c r="M102" s="72">
        <v>127</v>
      </c>
      <c r="N102" s="72">
        <v>129.69999999999999</v>
      </c>
      <c r="O102" s="72">
        <v>127.3</v>
      </c>
      <c r="P102" s="72">
        <v>124.9</v>
      </c>
      <c r="Q102" s="72">
        <v>130.1</v>
      </c>
      <c r="R102" s="72">
        <v>127</v>
      </c>
      <c r="S102" s="72">
        <v>125.3</v>
      </c>
      <c r="T102" s="72">
        <v>127</v>
      </c>
      <c r="U102" s="72">
        <v>128.6</v>
      </c>
      <c r="V102" s="72">
        <v>131</v>
      </c>
      <c r="W102" s="72">
        <v>130</v>
      </c>
      <c r="X102" s="72">
        <v>129.4</v>
      </c>
      <c r="Y102" s="72">
        <v>129.1</v>
      </c>
      <c r="Z102" s="72">
        <v>130.19999999999999</v>
      </c>
      <c r="AA102" s="72">
        <v>127.3</v>
      </c>
      <c r="AB102" s="72">
        <v>130.19999999999999</v>
      </c>
      <c r="AC102" s="72">
        <v>129.5</v>
      </c>
      <c r="AD102" s="72">
        <v>130.9</v>
      </c>
      <c r="AE102" s="72">
        <v>129.4</v>
      </c>
      <c r="AF102" s="72">
        <v>131</v>
      </c>
      <c r="AG102" s="111"/>
      <c r="AH102" s="52">
        <f t="shared" si="14"/>
        <v>134</v>
      </c>
      <c r="AI102" s="53">
        <f t="shared" si="15"/>
        <v>124.9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4"/>
        <v>0</v>
      </c>
      <c r="AI103" s="53">
        <f t="shared" si="15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130.9</v>
      </c>
      <c r="C104" s="113">
        <v>133.19999999999999</v>
      </c>
      <c r="D104" s="113">
        <v>132.5</v>
      </c>
      <c r="E104" s="113">
        <v>129.9</v>
      </c>
      <c r="F104" s="113">
        <v>130.80000000000001</v>
      </c>
      <c r="G104" s="113">
        <v>133.6</v>
      </c>
      <c r="H104" s="113">
        <v>132.80000000000001</v>
      </c>
      <c r="I104" s="113">
        <v>132.30000000000001</v>
      </c>
      <c r="J104" s="113">
        <v>131.80000000000001</v>
      </c>
      <c r="K104" s="113">
        <v>135.1</v>
      </c>
      <c r="L104" s="113">
        <v>134.5</v>
      </c>
      <c r="M104" s="113">
        <v>133.80000000000001</v>
      </c>
      <c r="N104" s="113">
        <v>131.80000000000001</v>
      </c>
      <c r="O104" s="113">
        <v>133.5</v>
      </c>
      <c r="P104" s="113">
        <v>130.5</v>
      </c>
      <c r="Q104" s="113">
        <v>133.69999999999999</v>
      </c>
      <c r="R104" s="113">
        <v>130.5</v>
      </c>
      <c r="S104" s="113">
        <v>132.30000000000001</v>
      </c>
      <c r="T104" s="113">
        <v>131</v>
      </c>
      <c r="U104" s="113">
        <v>134.80000000000001</v>
      </c>
      <c r="V104" s="113">
        <v>134</v>
      </c>
      <c r="W104" s="113">
        <v>138</v>
      </c>
      <c r="X104" s="113">
        <v>135.69999999999999</v>
      </c>
      <c r="Y104" s="113">
        <v>135.19999999999999</v>
      </c>
      <c r="Z104" s="113">
        <v>134.6</v>
      </c>
      <c r="AA104" s="113">
        <v>136.5</v>
      </c>
      <c r="AB104" s="113">
        <v>135.9</v>
      </c>
      <c r="AC104" s="113">
        <v>133.80000000000001</v>
      </c>
      <c r="AD104" s="113">
        <v>133.4</v>
      </c>
      <c r="AE104" s="113">
        <v>132.30000000000001</v>
      </c>
      <c r="AF104" s="113">
        <v>135.19999999999999</v>
      </c>
      <c r="AG104" s="114"/>
      <c r="AH104" s="52">
        <f t="shared" si="14"/>
        <v>138</v>
      </c>
      <c r="AI104" s="53">
        <f t="shared" si="15"/>
        <v>129.9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134.9</v>
      </c>
      <c r="C105" s="72">
        <v>135.30000000000001</v>
      </c>
      <c r="D105" s="72">
        <v>125.4</v>
      </c>
      <c r="E105" s="72">
        <v>129.4</v>
      </c>
      <c r="F105" s="72">
        <v>126.9</v>
      </c>
      <c r="G105" s="72">
        <v>128.69999999999999</v>
      </c>
      <c r="H105" s="72">
        <v>126</v>
      </c>
      <c r="I105" s="72">
        <v>130.69999999999999</v>
      </c>
      <c r="J105" s="72">
        <v>126.9</v>
      </c>
      <c r="K105" s="72">
        <v>128.19999999999999</v>
      </c>
      <c r="L105" s="72">
        <v>132</v>
      </c>
      <c r="M105" s="72">
        <v>131.19999999999999</v>
      </c>
      <c r="N105" s="72">
        <v>130.4</v>
      </c>
      <c r="O105" s="72">
        <v>128.4</v>
      </c>
      <c r="P105" s="72">
        <v>130.6</v>
      </c>
      <c r="Q105" s="72">
        <v>132.69999999999999</v>
      </c>
      <c r="R105" s="72">
        <v>134.6</v>
      </c>
      <c r="S105" s="72">
        <v>129.69999999999999</v>
      </c>
      <c r="T105" s="72">
        <v>133</v>
      </c>
      <c r="U105" s="72">
        <v>134.19999999999999</v>
      </c>
      <c r="V105" s="72">
        <v>128</v>
      </c>
      <c r="W105" s="72">
        <v>136</v>
      </c>
      <c r="X105" s="72">
        <v>131.4</v>
      </c>
      <c r="Y105" s="72">
        <v>133.5</v>
      </c>
      <c r="Z105" s="72">
        <v>135.30000000000001</v>
      </c>
      <c r="AA105" s="72">
        <v>131.69999999999999</v>
      </c>
      <c r="AB105" s="72">
        <v>135.30000000000001</v>
      </c>
      <c r="AC105" s="72">
        <v>130.19999999999999</v>
      </c>
      <c r="AD105" s="72">
        <v>132.6</v>
      </c>
      <c r="AE105" s="72">
        <v>135.1</v>
      </c>
      <c r="AF105" s="72">
        <v>134.1</v>
      </c>
      <c r="AG105" s="111"/>
      <c r="AH105" s="52">
        <f t="shared" si="14"/>
        <v>136</v>
      </c>
      <c r="AI105" s="53">
        <f t="shared" si="15"/>
        <v>125.4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66.3</v>
      </c>
      <c r="C106" s="99">
        <v>66.7</v>
      </c>
      <c r="D106" s="99">
        <v>66.3</v>
      </c>
      <c r="E106" s="99">
        <v>65.5</v>
      </c>
      <c r="F106" s="99">
        <v>65.8</v>
      </c>
      <c r="G106" s="99">
        <v>66.2</v>
      </c>
      <c r="H106" s="99">
        <v>66</v>
      </c>
      <c r="I106" s="99">
        <v>65.3</v>
      </c>
      <c r="J106" s="99">
        <v>64.3</v>
      </c>
      <c r="K106" s="99">
        <v>64.599999999999994</v>
      </c>
      <c r="L106" s="99">
        <v>64</v>
      </c>
      <c r="M106" s="99">
        <v>64.7</v>
      </c>
      <c r="N106" s="99">
        <v>64.8</v>
      </c>
      <c r="O106" s="99">
        <v>64.900000000000006</v>
      </c>
      <c r="P106" s="99">
        <v>64.599999999999994</v>
      </c>
      <c r="Q106" s="99">
        <v>65</v>
      </c>
      <c r="R106" s="99">
        <v>64.400000000000006</v>
      </c>
      <c r="S106" s="99">
        <v>64.400000000000006</v>
      </c>
      <c r="T106" s="99">
        <v>65</v>
      </c>
      <c r="U106" s="99">
        <v>65.099999999999994</v>
      </c>
      <c r="V106" s="99">
        <v>65</v>
      </c>
      <c r="W106" s="99">
        <v>66.099999999999994</v>
      </c>
      <c r="X106" s="99">
        <v>66</v>
      </c>
      <c r="Y106" s="99">
        <v>66</v>
      </c>
      <c r="Z106" s="99">
        <v>65.7</v>
      </c>
      <c r="AA106" s="99">
        <v>65.900000000000006</v>
      </c>
      <c r="AB106" s="99">
        <v>66.5</v>
      </c>
      <c r="AC106" s="99">
        <v>66.5</v>
      </c>
      <c r="AD106" s="99">
        <v>66.5</v>
      </c>
      <c r="AE106" s="99">
        <v>66.3</v>
      </c>
      <c r="AF106" s="99">
        <v>66.5</v>
      </c>
      <c r="AG106" s="115"/>
      <c r="AH106" s="52">
        <f t="shared" si="14"/>
        <v>66.7</v>
      </c>
      <c r="AI106" s="53">
        <f t="shared" si="15"/>
        <v>64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4"/>
        <v>0</v>
      </c>
      <c r="AI107" s="53">
        <f t="shared" si="15"/>
        <v>0</v>
      </c>
    </row>
    <row r="108" spans="1:88" ht="15.75" thickBot="1" x14ac:dyDescent="0.3">
      <c r="A108" s="117" t="s">
        <v>112</v>
      </c>
      <c r="B108" s="118">
        <f t="shared" ref="B108:AF108" si="22">SUM(B18,B24,B27:B28,B56,B58:B59,B61,B63,B109:B113,B135,B141,B147,B156,B158,B170,B177,B180:B181,B188,B190,B192,B196:B198,B200:B202,B207,B213:B214,B216:B218,B226,B231)</f>
        <v>117.00000000000001</v>
      </c>
      <c r="C108" s="118">
        <f t="shared" si="22"/>
        <v>104.14</v>
      </c>
      <c r="D108" s="118">
        <f t="shared" si="22"/>
        <v>103.94</v>
      </c>
      <c r="E108" s="118">
        <f t="shared" si="22"/>
        <v>103.94</v>
      </c>
      <c r="F108" s="118">
        <f t="shared" si="22"/>
        <v>111.53999999999999</v>
      </c>
      <c r="G108" s="118">
        <f t="shared" si="22"/>
        <v>139.33999999999997</v>
      </c>
      <c r="H108" s="118">
        <f t="shared" si="22"/>
        <v>160.24</v>
      </c>
      <c r="I108" s="118">
        <f t="shared" si="22"/>
        <v>198.54000000000002</v>
      </c>
      <c r="J108" s="118">
        <f t="shared" si="22"/>
        <v>242.14000000000001</v>
      </c>
      <c r="K108" s="118">
        <f t="shared" si="22"/>
        <v>304.03999999999996</v>
      </c>
      <c r="L108" s="118">
        <f t="shared" si="22"/>
        <v>302.44</v>
      </c>
      <c r="M108" s="118">
        <f t="shared" si="22"/>
        <v>319.23999999999995</v>
      </c>
      <c r="N108" s="118">
        <f t="shared" si="22"/>
        <v>296.24</v>
      </c>
      <c r="O108" s="118">
        <f t="shared" si="22"/>
        <v>283.33999999999997</v>
      </c>
      <c r="P108" s="118">
        <v>42</v>
      </c>
      <c r="Q108" s="118">
        <f t="shared" si="22"/>
        <v>257.10000000000002</v>
      </c>
      <c r="R108" s="118">
        <f t="shared" si="22"/>
        <v>238.8</v>
      </c>
      <c r="S108" s="118">
        <f t="shared" si="22"/>
        <v>230.2</v>
      </c>
      <c r="T108" s="118">
        <f t="shared" si="22"/>
        <v>253.29999999999998</v>
      </c>
      <c r="U108" s="118">
        <f t="shared" si="22"/>
        <v>272</v>
      </c>
      <c r="V108" s="118">
        <f t="shared" si="22"/>
        <v>274.10000000000002</v>
      </c>
      <c r="W108" s="118">
        <f t="shared" si="22"/>
        <v>271.5</v>
      </c>
      <c r="X108" s="118">
        <f t="shared" si="22"/>
        <v>296.7</v>
      </c>
      <c r="Y108" s="118">
        <f t="shared" si="22"/>
        <v>354.1</v>
      </c>
      <c r="Z108" s="118">
        <f t="shared" si="22"/>
        <v>369.6</v>
      </c>
      <c r="AA108" s="118">
        <f t="shared" si="22"/>
        <v>347.4</v>
      </c>
      <c r="AB108" s="118">
        <f t="shared" si="22"/>
        <v>308.79999999999995</v>
      </c>
      <c r="AC108" s="118">
        <f t="shared" si="22"/>
        <v>246.10000000000002</v>
      </c>
      <c r="AD108" s="118">
        <f t="shared" si="22"/>
        <v>253.4</v>
      </c>
      <c r="AE108" s="118">
        <f t="shared" si="22"/>
        <v>187.99999999999997</v>
      </c>
      <c r="AF108" s="118">
        <f t="shared" si="22"/>
        <v>-63.100000000000037</v>
      </c>
      <c r="AG108" s="119"/>
      <c r="AH108" s="52">
        <f t="shared" si="14"/>
        <v>369.6</v>
      </c>
      <c r="AI108" s="53">
        <f t="shared" si="15"/>
        <v>-63.100000000000037</v>
      </c>
    </row>
    <row r="109" spans="1:88" x14ac:dyDescent="0.25">
      <c r="A109" s="107" t="s">
        <v>113</v>
      </c>
      <c r="B109" s="120">
        <v>-10.1</v>
      </c>
      <c r="C109" s="120">
        <v>-14.3</v>
      </c>
      <c r="D109" s="120">
        <v>-15.4</v>
      </c>
      <c r="E109" s="120">
        <v>-20.7</v>
      </c>
      <c r="F109" s="120">
        <v>-25.4</v>
      </c>
      <c r="G109" s="120">
        <v>-14.9</v>
      </c>
      <c r="H109" s="120">
        <v>-10.4</v>
      </c>
      <c r="I109" s="120">
        <v>-9</v>
      </c>
      <c r="J109" s="120">
        <v>5.2</v>
      </c>
      <c r="K109" s="120">
        <v>18.100000000000001</v>
      </c>
      <c r="L109" s="120">
        <v>15.7</v>
      </c>
      <c r="M109" s="120">
        <v>19.5</v>
      </c>
      <c r="N109" s="120">
        <v>13.3</v>
      </c>
      <c r="O109" s="120">
        <v>10.6</v>
      </c>
      <c r="P109" s="120">
        <v>13.2</v>
      </c>
      <c r="Q109" s="120">
        <v>10</v>
      </c>
      <c r="R109" s="120">
        <v>3.2</v>
      </c>
      <c r="S109" s="120">
        <v>-1.2</v>
      </c>
      <c r="T109" s="120">
        <v>-5.2</v>
      </c>
      <c r="U109" s="120">
        <v>0</v>
      </c>
      <c r="V109" s="120">
        <v>-2</v>
      </c>
      <c r="W109" s="120">
        <v>2.4</v>
      </c>
      <c r="X109" s="120">
        <v>11.6</v>
      </c>
      <c r="Y109" s="120">
        <v>17</v>
      </c>
      <c r="Z109" s="120">
        <v>19.100000000000001</v>
      </c>
      <c r="AA109" s="120">
        <v>18.3</v>
      </c>
      <c r="AB109" s="120">
        <v>8.3000000000000007</v>
      </c>
      <c r="AC109" s="120">
        <v>1.9</v>
      </c>
      <c r="AD109" s="120">
        <v>3.4</v>
      </c>
      <c r="AE109" s="120">
        <v>-4.9000000000000004</v>
      </c>
      <c r="AF109" s="120">
        <v>-21.3</v>
      </c>
      <c r="AG109" s="121">
        <v>75</v>
      </c>
      <c r="AH109" s="52">
        <f t="shared" si="14"/>
        <v>19.5</v>
      </c>
      <c r="AI109" s="53">
        <f t="shared" si="15"/>
        <v>-25.4</v>
      </c>
    </row>
    <row r="110" spans="1:88" x14ac:dyDescent="0.25">
      <c r="A110" s="110" t="s">
        <v>114</v>
      </c>
      <c r="B110" s="122">
        <v>-9.3000000000000007</v>
      </c>
      <c r="C110" s="122">
        <v>-15.7</v>
      </c>
      <c r="D110" s="122">
        <v>-17.7</v>
      </c>
      <c r="E110" s="122">
        <v>-24.5</v>
      </c>
      <c r="F110" s="122">
        <v>-32.4</v>
      </c>
      <c r="G110" s="122">
        <v>-18.100000000000001</v>
      </c>
      <c r="H110" s="122">
        <v>-13.4</v>
      </c>
      <c r="I110" s="122">
        <v>-14</v>
      </c>
      <c r="J110" s="122">
        <v>5</v>
      </c>
      <c r="K110" s="122">
        <v>16.3</v>
      </c>
      <c r="L110" s="122">
        <v>15</v>
      </c>
      <c r="M110" s="122">
        <v>18.899999999999999</v>
      </c>
      <c r="N110" s="122">
        <v>11.9</v>
      </c>
      <c r="O110" s="122">
        <v>8.4</v>
      </c>
      <c r="P110" s="122">
        <v>12.2</v>
      </c>
      <c r="Q110" s="122">
        <v>8.8000000000000007</v>
      </c>
      <c r="R110" s="122">
        <v>0</v>
      </c>
      <c r="S110" s="122">
        <v>-7.3</v>
      </c>
      <c r="T110" s="122">
        <v>-13</v>
      </c>
      <c r="U110" s="122">
        <v>-5.3</v>
      </c>
      <c r="V110" s="122">
        <v>-9</v>
      </c>
      <c r="W110" s="122">
        <v>-3</v>
      </c>
      <c r="X110" s="122">
        <v>9</v>
      </c>
      <c r="Y110" s="122">
        <v>15</v>
      </c>
      <c r="Z110" s="122">
        <v>17.399999999999999</v>
      </c>
      <c r="AA110" s="122">
        <v>17</v>
      </c>
      <c r="AB110" s="122">
        <v>2.7</v>
      </c>
      <c r="AC110" s="122">
        <v>-4.5999999999999996</v>
      </c>
      <c r="AD110" s="122">
        <v>-4</v>
      </c>
      <c r="AE110" s="122">
        <v>-12.2</v>
      </c>
      <c r="AF110" s="122">
        <v>-229.4</v>
      </c>
      <c r="AG110" s="121">
        <v>240</v>
      </c>
      <c r="AH110" s="52">
        <f t="shared" si="14"/>
        <v>18.899999999999999</v>
      </c>
      <c r="AI110" s="53">
        <f t="shared" si="15"/>
        <v>-229.4</v>
      </c>
    </row>
    <row r="111" spans="1:88" x14ac:dyDescent="0.25">
      <c r="A111" s="110" t="s">
        <v>115</v>
      </c>
      <c r="B111" s="122">
        <v>-16</v>
      </c>
      <c r="C111" s="122">
        <v>-17</v>
      </c>
      <c r="D111" s="122">
        <v>-24</v>
      </c>
      <c r="E111" s="122">
        <v>-22.2</v>
      </c>
      <c r="F111" s="122">
        <v>0</v>
      </c>
      <c r="G111" s="122">
        <v>-0.7</v>
      </c>
      <c r="H111" s="122">
        <v>2.5</v>
      </c>
      <c r="I111" s="122">
        <v>13.9</v>
      </c>
      <c r="J111" s="122">
        <v>18.100000000000001</v>
      </c>
      <c r="K111" s="122">
        <v>43.2</v>
      </c>
      <c r="L111" s="122">
        <v>44.5</v>
      </c>
      <c r="M111" s="122">
        <v>50.1</v>
      </c>
      <c r="N111" s="122">
        <v>42</v>
      </c>
      <c r="O111" s="122">
        <v>40</v>
      </c>
      <c r="P111" s="122">
        <v>31.2</v>
      </c>
      <c r="Q111" s="122">
        <v>17</v>
      </c>
      <c r="R111" s="122">
        <v>9.1999999999999993</v>
      </c>
      <c r="S111" s="122">
        <v>6.1</v>
      </c>
      <c r="T111" s="122">
        <v>30</v>
      </c>
      <c r="U111" s="122">
        <v>36</v>
      </c>
      <c r="V111" s="122">
        <v>40</v>
      </c>
      <c r="W111" s="122">
        <v>43</v>
      </c>
      <c r="X111" s="122">
        <v>56</v>
      </c>
      <c r="Y111" s="122">
        <v>65</v>
      </c>
      <c r="Z111" s="122">
        <v>72</v>
      </c>
      <c r="AA111" s="122">
        <v>74</v>
      </c>
      <c r="AB111" s="122">
        <f>34.5+33.2</f>
        <v>67.7</v>
      </c>
      <c r="AC111" s="122">
        <f>-15.4+28.7</f>
        <v>13.299999999999999</v>
      </c>
      <c r="AD111" s="122">
        <f>24.5+23.8</f>
        <v>48.3</v>
      </c>
      <c r="AE111" s="122">
        <v>16</v>
      </c>
      <c r="AF111" s="122">
        <v>2.7</v>
      </c>
      <c r="AG111" s="121">
        <v>240</v>
      </c>
      <c r="AH111" s="52">
        <f t="shared" si="14"/>
        <v>74</v>
      </c>
      <c r="AI111" s="53">
        <f t="shared" si="15"/>
        <v>-24</v>
      </c>
    </row>
    <row r="112" spans="1:88" x14ac:dyDescent="0.25">
      <c r="A112" s="110" t="s">
        <v>116</v>
      </c>
      <c r="B112" s="122">
        <v>0</v>
      </c>
      <c r="C112" s="122">
        <v>-3.5</v>
      </c>
      <c r="D112" s="122">
        <v>-5.0999999999999996</v>
      </c>
      <c r="E112" s="122">
        <v>-6.4</v>
      </c>
      <c r="F112" s="122">
        <v>-5.9</v>
      </c>
      <c r="G112" s="122">
        <v>1.3</v>
      </c>
      <c r="H112" s="122">
        <v>1.2</v>
      </c>
      <c r="I112" s="122">
        <v>4.5</v>
      </c>
      <c r="J112" s="122">
        <v>9.3000000000000007</v>
      </c>
      <c r="K112" s="122">
        <v>18.7</v>
      </c>
      <c r="L112" s="122">
        <v>20.7</v>
      </c>
      <c r="M112" s="122">
        <v>21.4</v>
      </c>
      <c r="N112" s="122">
        <v>19.8</v>
      </c>
      <c r="O112" s="122">
        <v>14.6</v>
      </c>
      <c r="P112" s="122">
        <v>11.4</v>
      </c>
      <c r="Q112" s="122">
        <v>15.9</v>
      </c>
      <c r="R112" s="122">
        <v>15.9</v>
      </c>
      <c r="S112" s="122">
        <v>19.100000000000001</v>
      </c>
      <c r="T112" s="122">
        <v>25.4</v>
      </c>
      <c r="U112" s="122">
        <v>26.2</v>
      </c>
      <c r="V112" s="122">
        <v>30</v>
      </c>
      <c r="W112" s="122">
        <v>31</v>
      </c>
      <c r="X112" s="122">
        <v>30</v>
      </c>
      <c r="Y112" s="122">
        <v>53</v>
      </c>
      <c r="Z112" s="122">
        <v>50</v>
      </c>
      <c r="AA112" s="122">
        <v>37</v>
      </c>
      <c r="AB112" s="122">
        <v>29.1</v>
      </c>
      <c r="AC112" s="122">
        <v>30.5</v>
      </c>
      <c r="AD112" s="122">
        <v>24.9</v>
      </c>
      <c r="AE112" s="122">
        <v>6.1</v>
      </c>
      <c r="AF112" s="122">
        <v>1.1000000000000001</v>
      </c>
      <c r="AG112" s="121">
        <v>60</v>
      </c>
      <c r="AH112" s="52">
        <f t="shared" si="14"/>
        <v>53</v>
      </c>
      <c r="AI112" s="53">
        <f t="shared" si="15"/>
        <v>-6.4</v>
      </c>
    </row>
    <row r="113" spans="1:37" x14ac:dyDescent="0.25">
      <c r="A113" s="123" t="s">
        <v>117</v>
      </c>
      <c r="B113" s="124">
        <v>63</v>
      </c>
      <c r="C113" s="124">
        <v>64.3</v>
      </c>
      <c r="D113" s="124">
        <v>75.8</v>
      </c>
      <c r="E113" s="124">
        <v>85.9</v>
      </c>
      <c r="F113" s="124">
        <v>85.7</v>
      </c>
      <c r="G113" s="124">
        <v>82.2</v>
      </c>
      <c r="H113" s="124">
        <v>90.7</v>
      </c>
      <c r="I113" s="124">
        <v>110</v>
      </c>
      <c r="J113" s="124">
        <v>112</v>
      </c>
      <c r="K113" s="124">
        <v>115.2</v>
      </c>
      <c r="L113" s="124">
        <v>112</v>
      </c>
      <c r="M113" s="124">
        <v>113</v>
      </c>
      <c r="N113" s="124">
        <v>110.7</v>
      </c>
      <c r="O113" s="124">
        <v>109.2</v>
      </c>
      <c r="P113" s="124">
        <v>107.6</v>
      </c>
      <c r="Q113" s="124">
        <v>103</v>
      </c>
      <c r="R113" s="124">
        <v>108.4</v>
      </c>
      <c r="S113" s="124">
        <v>111.4</v>
      </c>
      <c r="T113" s="124">
        <v>114</v>
      </c>
      <c r="U113" s="124">
        <v>113</v>
      </c>
      <c r="V113" s="124">
        <v>113</v>
      </c>
      <c r="W113" s="124">
        <v>106</v>
      </c>
      <c r="X113" s="124">
        <v>98</v>
      </c>
      <c r="Y113" s="124">
        <v>112</v>
      </c>
      <c r="Z113" s="124">
        <v>119</v>
      </c>
      <c r="AA113" s="124">
        <v>109</v>
      </c>
      <c r="AB113" s="124">
        <v>110</v>
      </c>
      <c r="AC113" s="124">
        <v>114</v>
      </c>
      <c r="AD113" s="124">
        <v>91.4</v>
      </c>
      <c r="AE113" s="124">
        <v>93.6</v>
      </c>
      <c r="AF113" s="124">
        <v>92.7</v>
      </c>
      <c r="AG113" s="125">
        <v>120</v>
      </c>
      <c r="AH113" s="52">
        <f t="shared" si="14"/>
        <v>119</v>
      </c>
      <c r="AI113" s="53">
        <f t="shared" si="15"/>
        <v>63</v>
      </c>
    </row>
    <row r="114" spans="1:37" x14ac:dyDescent="0.25">
      <c r="A114" s="123" t="s">
        <v>118</v>
      </c>
      <c r="B114" s="124">
        <v>61</v>
      </c>
      <c r="C114" s="124">
        <v>64.900000000000006</v>
      </c>
      <c r="D114" s="124">
        <v>82.5</v>
      </c>
      <c r="E114" s="124">
        <v>92.5</v>
      </c>
      <c r="F114" s="124">
        <v>81.5</v>
      </c>
      <c r="G114" s="124">
        <v>73.2</v>
      </c>
      <c r="H114" s="124">
        <v>80.400000000000006</v>
      </c>
      <c r="I114" s="124">
        <v>90.5</v>
      </c>
      <c r="J114" s="124">
        <v>85.3</v>
      </c>
      <c r="K114" s="124">
        <v>82.9</v>
      </c>
      <c r="L114" s="124">
        <v>90</v>
      </c>
      <c r="M114" s="124">
        <v>92.2</v>
      </c>
      <c r="N114" s="124">
        <v>88.2</v>
      </c>
      <c r="O114" s="124">
        <v>84.8</v>
      </c>
      <c r="P114" s="124">
        <v>86.2</v>
      </c>
      <c r="Q114" s="124">
        <v>86</v>
      </c>
      <c r="R114" s="124">
        <v>89.5</v>
      </c>
      <c r="S114" s="124">
        <v>90</v>
      </c>
      <c r="T114" s="124">
        <v>94</v>
      </c>
      <c r="U114" s="124">
        <v>91</v>
      </c>
      <c r="V114" s="124">
        <v>89</v>
      </c>
      <c r="W114" s="124">
        <v>81</v>
      </c>
      <c r="X114" s="124">
        <v>91</v>
      </c>
      <c r="Y114" s="124">
        <v>79</v>
      </c>
      <c r="Z114" s="124">
        <v>85</v>
      </c>
      <c r="AA114" s="124">
        <v>91</v>
      </c>
      <c r="AB114" s="124">
        <v>90.6</v>
      </c>
      <c r="AC114" s="124">
        <v>94.1</v>
      </c>
      <c r="AD114" s="124">
        <v>86.9</v>
      </c>
      <c r="AE114" s="124">
        <v>81</v>
      </c>
      <c r="AF114" s="124">
        <v>85</v>
      </c>
      <c r="AG114" s="125"/>
      <c r="AH114" s="52">
        <f t="shared" si="14"/>
        <v>94.1</v>
      </c>
      <c r="AI114" s="53">
        <f t="shared" si="15"/>
        <v>61</v>
      </c>
    </row>
    <row r="115" spans="1:37" x14ac:dyDescent="0.25">
      <c r="A115" s="123" t="s">
        <v>119</v>
      </c>
      <c r="B115" s="124">
        <v>34.299999999999997</v>
      </c>
      <c r="C115" s="124">
        <v>39.1</v>
      </c>
      <c r="D115" s="124">
        <v>39.6</v>
      </c>
      <c r="E115" s="124">
        <v>41.2</v>
      </c>
      <c r="F115" s="124">
        <v>52.6</v>
      </c>
      <c r="G115" s="124">
        <v>34.4</v>
      </c>
      <c r="H115" s="124">
        <v>39</v>
      </c>
      <c r="I115" s="124">
        <v>39.6</v>
      </c>
      <c r="J115" s="124">
        <v>26.4</v>
      </c>
      <c r="K115" s="124">
        <v>12.6</v>
      </c>
      <c r="L115" s="124">
        <v>12</v>
      </c>
      <c r="M115" s="124">
        <v>8.6999999999999993</v>
      </c>
      <c r="N115" s="124">
        <v>14.8</v>
      </c>
      <c r="O115" s="124">
        <v>17.899999999999999</v>
      </c>
      <c r="P115" s="124">
        <v>24.2</v>
      </c>
      <c r="Q115" s="124">
        <v>25.8</v>
      </c>
      <c r="R115" s="124">
        <v>34.4</v>
      </c>
      <c r="S115" s="124">
        <v>39.4</v>
      </c>
      <c r="T115" s="124">
        <v>44</v>
      </c>
      <c r="U115" s="124">
        <v>35</v>
      </c>
      <c r="V115" s="124">
        <v>34</v>
      </c>
      <c r="W115" s="124">
        <v>26</v>
      </c>
      <c r="X115" s="124">
        <v>18</v>
      </c>
      <c r="Y115" s="124">
        <v>20</v>
      </c>
      <c r="Z115" s="124">
        <v>15</v>
      </c>
      <c r="AA115" s="124">
        <v>19</v>
      </c>
      <c r="AB115" s="124">
        <v>29.6</v>
      </c>
      <c r="AC115" s="124">
        <v>39.799999999999997</v>
      </c>
      <c r="AD115" s="124">
        <v>38.9</v>
      </c>
      <c r="AE115" s="124">
        <v>45.6</v>
      </c>
      <c r="AF115" s="124">
        <v>51.6</v>
      </c>
      <c r="AG115" s="126"/>
      <c r="AH115" s="52">
        <f t="shared" si="14"/>
        <v>52.6</v>
      </c>
      <c r="AI115" s="53">
        <f t="shared" si="15"/>
        <v>8.6999999999999993</v>
      </c>
    </row>
    <row r="116" spans="1:37" x14ac:dyDescent="0.25">
      <c r="A116" s="127" t="s">
        <v>120</v>
      </c>
      <c r="B116" s="113">
        <v>-18</v>
      </c>
      <c r="C116" s="113">
        <v>-17.2</v>
      </c>
      <c r="D116" s="113">
        <v>-14.9</v>
      </c>
      <c r="E116" s="113">
        <v>-11</v>
      </c>
      <c r="F116" s="113">
        <v>-12.7</v>
      </c>
      <c r="G116" s="113">
        <v>-18.2</v>
      </c>
      <c r="H116" s="113">
        <v>-27.6</v>
      </c>
      <c r="I116" s="113">
        <v>45.6</v>
      </c>
      <c r="J116" s="113">
        <v>-64.3</v>
      </c>
      <c r="K116" s="113">
        <v>-77.599999999999994</v>
      </c>
      <c r="L116" s="113">
        <v>-87.8</v>
      </c>
      <c r="M116" s="113">
        <v>-80.400000000000006</v>
      </c>
      <c r="N116" s="113">
        <v>-58.8</v>
      </c>
      <c r="O116" s="113">
        <v>-68.400000000000006</v>
      </c>
      <c r="P116" s="113">
        <v>-69</v>
      </c>
      <c r="Q116" s="113">
        <v>-70.400000000000006</v>
      </c>
      <c r="R116" s="113">
        <v>-61.1</v>
      </c>
      <c r="S116" s="113">
        <v>-56.9</v>
      </c>
      <c r="T116" s="113">
        <v>-48</v>
      </c>
      <c r="U116" s="113">
        <v>-77</v>
      </c>
      <c r="V116" s="113">
        <v>-69</v>
      </c>
      <c r="W116" s="113">
        <v>-42</v>
      </c>
      <c r="X116" s="113">
        <v>-50</v>
      </c>
      <c r="Y116" s="113">
        <v>-53</v>
      </c>
      <c r="Z116" s="113">
        <v>-32</v>
      </c>
      <c r="AA116" s="113">
        <v>-17</v>
      </c>
      <c r="AB116" s="113">
        <v>-26.8</v>
      </c>
      <c r="AC116" s="113">
        <v>-27.2</v>
      </c>
      <c r="AD116" s="113">
        <v>-31</v>
      </c>
      <c r="AE116" s="113">
        <v>-6.4</v>
      </c>
      <c r="AF116" s="113">
        <v>-9.8000000000000007</v>
      </c>
      <c r="AG116" s="126"/>
      <c r="AH116" s="52">
        <f t="shared" si="14"/>
        <v>45.6</v>
      </c>
      <c r="AI116" s="53">
        <f t="shared" si="15"/>
        <v>-87.8</v>
      </c>
    </row>
    <row r="117" spans="1:37" ht="15.75" thickBot="1" x14ac:dyDescent="0.3">
      <c r="A117" s="127" t="s">
        <v>121</v>
      </c>
      <c r="B117" s="113">
        <v>78.5</v>
      </c>
      <c r="C117" s="113">
        <v>78.3</v>
      </c>
      <c r="D117" s="113">
        <v>71</v>
      </c>
      <c r="E117" s="113">
        <v>67</v>
      </c>
      <c r="F117" s="113">
        <v>65</v>
      </c>
      <c r="G117" s="113">
        <v>74</v>
      </c>
      <c r="H117" s="113">
        <v>83.5</v>
      </c>
      <c r="I117" s="113">
        <v>82.5</v>
      </c>
      <c r="J117" s="113">
        <v>94.1</v>
      </c>
      <c r="K117" s="113">
        <v>89</v>
      </c>
      <c r="L117" s="113">
        <v>88.9</v>
      </c>
      <c r="M117" s="113">
        <v>85.3</v>
      </c>
      <c r="N117" s="113">
        <v>75.099999999999994</v>
      </c>
      <c r="O117" s="113">
        <v>75.7</v>
      </c>
      <c r="P117" s="113">
        <v>81.2</v>
      </c>
      <c r="Q117" s="113">
        <v>88.2</v>
      </c>
      <c r="R117" s="113">
        <v>96.4</v>
      </c>
      <c r="S117" s="113">
        <v>96.3</v>
      </c>
      <c r="T117" s="113">
        <v>103</v>
      </c>
      <c r="U117" s="113">
        <v>90</v>
      </c>
      <c r="V117" s="113">
        <v>89</v>
      </c>
      <c r="W117" s="113">
        <v>80</v>
      </c>
      <c r="X117" s="113">
        <v>89</v>
      </c>
      <c r="Y117" s="113">
        <v>97</v>
      </c>
      <c r="Z117" s="113">
        <v>82</v>
      </c>
      <c r="AA117" s="113">
        <v>83</v>
      </c>
      <c r="AB117" s="113">
        <v>90.3</v>
      </c>
      <c r="AC117" s="113">
        <v>94.6</v>
      </c>
      <c r="AD117" s="113">
        <v>95.1</v>
      </c>
      <c r="AE117" s="113">
        <v>76.8</v>
      </c>
      <c r="AF117" s="113">
        <v>74.400000000000006</v>
      </c>
      <c r="AG117" s="126"/>
      <c r="AH117" s="52">
        <f t="shared" si="14"/>
        <v>103</v>
      </c>
      <c r="AI117" s="53">
        <f t="shared" si="15"/>
        <v>65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3">SUM(B119:B223)</f>
        <v>0</v>
      </c>
      <c r="C224" s="144">
        <f t="shared" si="23"/>
        <v>0</v>
      </c>
      <c r="D224" s="144">
        <f t="shared" si="23"/>
        <v>0</v>
      </c>
      <c r="E224" s="144">
        <f t="shared" si="23"/>
        <v>0</v>
      </c>
      <c r="F224" s="144">
        <f t="shared" si="23"/>
        <v>0</v>
      </c>
      <c r="G224" s="144">
        <f t="shared" si="23"/>
        <v>0</v>
      </c>
      <c r="H224" s="144">
        <f t="shared" si="23"/>
        <v>0</v>
      </c>
      <c r="I224" s="144">
        <f t="shared" si="23"/>
        <v>0</v>
      </c>
      <c r="J224" s="144">
        <f t="shared" si="23"/>
        <v>0</v>
      </c>
      <c r="K224" s="144">
        <f t="shared" si="23"/>
        <v>0</v>
      </c>
      <c r="L224" s="144">
        <f t="shared" si="23"/>
        <v>0</v>
      </c>
      <c r="M224" s="144">
        <f t="shared" si="23"/>
        <v>0</v>
      </c>
      <c r="N224" s="144">
        <f t="shared" si="23"/>
        <v>0</v>
      </c>
      <c r="O224" s="144">
        <f t="shared" si="23"/>
        <v>0</v>
      </c>
      <c r="P224" s="144">
        <f t="shared" si="23"/>
        <v>0</v>
      </c>
      <c r="Q224" s="144">
        <f t="shared" si="23"/>
        <v>0</v>
      </c>
      <c r="R224" s="144">
        <f t="shared" si="23"/>
        <v>0</v>
      </c>
      <c r="S224" s="144">
        <f t="shared" si="23"/>
        <v>0</v>
      </c>
      <c r="T224" s="144">
        <f t="shared" si="23"/>
        <v>0</v>
      </c>
      <c r="U224" s="144">
        <f t="shared" si="23"/>
        <v>0</v>
      </c>
      <c r="V224" s="144">
        <f t="shared" si="23"/>
        <v>0</v>
      </c>
      <c r="W224" s="144">
        <f t="shared" si="23"/>
        <v>0</v>
      </c>
      <c r="X224" s="144">
        <f t="shared" si="23"/>
        <v>0</v>
      </c>
      <c r="Y224" s="144">
        <f t="shared" si="23"/>
        <v>0</v>
      </c>
      <c r="Z224" s="144">
        <f t="shared" si="23"/>
        <v>0</v>
      </c>
      <c r="AA224" s="144">
        <f t="shared" si="23"/>
        <v>0</v>
      </c>
      <c r="AB224" s="144">
        <f t="shared" si="23"/>
        <v>0</v>
      </c>
      <c r="AC224" s="144">
        <f t="shared" si="23"/>
        <v>0</v>
      </c>
      <c r="AD224" s="144">
        <f t="shared" si="23"/>
        <v>0</v>
      </c>
      <c r="AE224" s="144">
        <f t="shared" si="23"/>
        <v>0</v>
      </c>
      <c r="AF224" s="145">
        <f t="shared" si="23"/>
        <v>0</v>
      </c>
      <c r="AG224" s="146">
        <f t="shared" si="23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4">AF226</f>
        <v>0</v>
      </c>
      <c r="C226" s="149">
        <v>0.3</v>
      </c>
      <c r="D226" s="149">
        <f t="shared" ref="D226:P231" si="25">C226</f>
        <v>0.3</v>
      </c>
      <c r="E226" s="149">
        <f t="shared" si="25"/>
        <v>0.3</v>
      </c>
      <c r="F226" s="149">
        <f t="shared" si="25"/>
        <v>0.3</v>
      </c>
      <c r="G226" s="149">
        <f t="shared" si="25"/>
        <v>0.3</v>
      </c>
      <c r="H226" s="149">
        <f t="shared" si="25"/>
        <v>0.3</v>
      </c>
      <c r="I226" s="149">
        <f t="shared" si="25"/>
        <v>0.3</v>
      </c>
      <c r="J226" s="149">
        <f t="shared" si="25"/>
        <v>0.3</v>
      </c>
      <c r="K226" s="149">
        <f t="shared" si="25"/>
        <v>0.3</v>
      </c>
      <c r="L226" s="149">
        <f t="shared" si="25"/>
        <v>0.3</v>
      </c>
      <c r="M226" s="149">
        <f t="shared" si="25"/>
        <v>0.3</v>
      </c>
      <c r="N226" s="149">
        <f t="shared" si="25"/>
        <v>0.3</v>
      </c>
      <c r="O226" s="149">
        <f t="shared" si="25"/>
        <v>0.3</v>
      </c>
      <c r="P226" s="149">
        <f t="shared" si="25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4"/>
        <v>0</v>
      </c>
      <c r="C227" s="136">
        <v>0.4</v>
      </c>
      <c r="D227" s="136">
        <f t="shared" si="25"/>
        <v>0.4</v>
      </c>
      <c r="E227" s="136">
        <f t="shared" si="25"/>
        <v>0.4</v>
      </c>
      <c r="F227" s="136">
        <f t="shared" si="25"/>
        <v>0.4</v>
      </c>
      <c r="G227" s="136">
        <f t="shared" si="25"/>
        <v>0.4</v>
      </c>
      <c r="H227" s="136">
        <f t="shared" si="25"/>
        <v>0.4</v>
      </c>
      <c r="I227" s="136">
        <f t="shared" si="25"/>
        <v>0.4</v>
      </c>
      <c r="J227" s="136">
        <f t="shared" si="25"/>
        <v>0.4</v>
      </c>
      <c r="K227" s="136">
        <f t="shared" si="25"/>
        <v>0.4</v>
      </c>
      <c r="L227" s="136">
        <f t="shared" si="25"/>
        <v>0.4</v>
      </c>
      <c r="M227" s="136">
        <f t="shared" si="25"/>
        <v>0.4</v>
      </c>
      <c r="N227" s="136">
        <f t="shared" si="25"/>
        <v>0.4</v>
      </c>
      <c r="O227" s="136">
        <f t="shared" si="25"/>
        <v>0.4</v>
      </c>
      <c r="P227" s="136">
        <f t="shared" si="25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4"/>
        <v>0</v>
      </c>
      <c r="C228" s="136">
        <v>1.5</v>
      </c>
      <c r="D228" s="136">
        <f t="shared" si="25"/>
        <v>1.5</v>
      </c>
      <c r="E228" s="136">
        <f t="shared" si="25"/>
        <v>1.5</v>
      </c>
      <c r="F228" s="136">
        <f t="shared" si="25"/>
        <v>1.5</v>
      </c>
      <c r="G228" s="136">
        <f t="shared" si="25"/>
        <v>1.5</v>
      </c>
      <c r="H228" s="136">
        <f t="shared" si="25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5"/>
        <v>1.5</v>
      </c>
      <c r="K228" s="136">
        <f t="shared" ca="1" si="25"/>
        <v>1.5</v>
      </c>
      <c r="L228" s="136">
        <f t="shared" ca="1" si="25"/>
        <v>1.5</v>
      </c>
      <c r="M228" s="136">
        <f t="shared" ca="1" si="25"/>
        <v>1.5</v>
      </c>
      <c r="N228" s="136">
        <f t="shared" ca="1" si="25"/>
        <v>1.5</v>
      </c>
      <c r="O228" s="136">
        <f t="shared" ca="1" si="25"/>
        <v>1.5</v>
      </c>
      <c r="P228" s="136">
        <f t="shared" ca="1" si="25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4"/>
        <v>0</v>
      </c>
      <c r="C229" s="136">
        <v>0.3</v>
      </c>
      <c r="D229" s="136">
        <f t="shared" si="25"/>
        <v>0.3</v>
      </c>
      <c r="E229" s="136">
        <f t="shared" si="25"/>
        <v>0.3</v>
      </c>
      <c r="F229" s="136">
        <f t="shared" si="25"/>
        <v>0.3</v>
      </c>
      <c r="G229" s="136">
        <f t="shared" si="25"/>
        <v>0.3</v>
      </c>
      <c r="H229" s="136">
        <f t="shared" si="25"/>
        <v>0.3</v>
      </c>
      <c r="I229" s="136">
        <f t="shared" si="25"/>
        <v>0.3</v>
      </c>
      <c r="J229" s="136">
        <f t="shared" si="25"/>
        <v>0.3</v>
      </c>
      <c r="K229" s="136">
        <f t="shared" si="25"/>
        <v>0.3</v>
      </c>
      <c r="L229" s="136">
        <f t="shared" si="25"/>
        <v>0.3</v>
      </c>
      <c r="M229" s="136">
        <f t="shared" si="25"/>
        <v>0.3</v>
      </c>
      <c r="N229" s="136">
        <f t="shared" si="25"/>
        <v>0.3</v>
      </c>
      <c r="O229" s="136">
        <f t="shared" si="25"/>
        <v>0.3</v>
      </c>
      <c r="P229" s="136">
        <f t="shared" si="25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4"/>
        <v>0</v>
      </c>
      <c r="C230" s="136">
        <v>0.4</v>
      </c>
      <c r="D230" s="136">
        <f t="shared" si="25"/>
        <v>0.4</v>
      </c>
      <c r="E230" s="136">
        <f t="shared" si="25"/>
        <v>0.4</v>
      </c>
      <c r="F230" s="136">
        <f t="shared" si="25"/>
        <v>0.4</v>
      </c>
      <c r="G230" s="136">
        <f t="shared" si="25"/>
        <v>0.4</v>
      </c>
      <c r="H230" s="136">
        <f t="shared" si="25"/>
        <v>0.4</v>
      </c>
      <c r="I230" s="136">
        <f t="shared" si="25"/>
        <v>0.4</v>
      </c>
      <c r="J230" s="136">
        <f t="shared" si="25"/>
        <v>0.4</v>
      </c>
      <c r="K230" s="136">
        <f t="shared" si="25"/>
        <v>0.4</v>
      </c>
      <c r="L230" s="136">
        <f t="shared" si="25"/>
        <v>0.4</v>
      </c>
      <c r="M230" s="136">
        <f t="shared" si="25"/>
        <v>0.4</v>
      </c>
      <c r="N230" s="136">
        <f t="shared" si="25"/>
        <v>0.4</v>
      </c>
      <c r="O230" s="136">
        <f t="shared" si="25"/>
        <v>0.4</v>
      </c>
      <c r="P230" s="136">
        <f t="shared" si="25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4"/>
        <v>0</v>
      </c>
      <c r="C231" s="140">
        <v>0.64</v>
      </c>
      <c r="D231" s="140">
        <f t="shared" si="25"/>
        <v>0.64</v>
      </c>
      <c r="E231" s="140">
        <f t="shared" si="25"/>
        <v>0.64</v>
      </c>
      <c r="F231" s="140">
        <f t="shared" si="25"/>
        <v>0.64</v>
      </c>
      <c r="G231" s="140">
        <f t="shared" si="25"/>
        <v>0.64</v>
      </c>
      <c r="H231" s="140">
        <f t="shared" si="25"/>
        <v>0.64</v>
      </c>
      <c r="I231" s="140">
        <f t="shared" si="25"/>
        <v>0.64</v>
      </c>
      <c r="J231" s="140">
        <f t="shared" si="25"/>
        <v>0.64</v>
      </c>
      <c r="K231" s="140">
        <f t="shared" si="25"/>
        <v>0.64</v>
      </c>
      <c r="L231" s="140">
        <f t="shared" si="25"/>
        <v>0.64</v>
      </c>
      <c r="M231" s="140">
        <f t="shared" si="25"/>
        <v>0.64</v>
      </c>
      <c r="N231" s="140">
        <f t="shared" si="25"/>
        <v>0.64</v>
      </c>
      <c r="O231" s="140">
        <f t="shared" si="25"/>
        <v>0.64</v>
      </c>
      <c r="P231" s="140">
        <f t="shared" si="25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6">SUM(B226:B231)</f>
        <v>0</v>
      </c>
      <c r="C232" s="144">
        <f t="shared" si="26"/>
        <v>3.54</v>
      </c>
      <c r="D232" s="144">
        <f t="shared" si="26"/>
        <v>3.54</v>
      </c>
      <c r="E232" s="144">
        <f t="shared" si="26"/>
        <v>3.54</v>
      </c>
      <c r="F232" s="144">
        <f t="shared" si="26"/>
        <v>3.54</v>
      </c>
      <c r="G232" s="144">
        <f t="shared" si="26"/>
        <v>3.54</v>
      </c>
      <c r="H232" s="144">
        <f t="shared" si="26"/>
        <v>3.54</v>
      </c>
      <c r="I232" s="144">
        <f t="shared" ca="1" si="26"/>
        <v>3.54</v>
      </c>
      <c r="J232" s="144">
        <f t="shared" ca="1" si="26"/>
        <v>3.54</v>
      </c>
      <c r="K232" s="144">
        <f t="shared" ca="1" si="26"/>
        <v>3.54</v>
      </c>
      <c r="L232" s="144">
        <f t="shared" ca="1" si="26"/>
        <v>3.54</v>
      </c>
      <c r="M232" s="144">
        <f t="shared" ca="1" si="26"/>
        <v>3.54</v>
      </c>
      <c r="N232" s="144">
        <f t="shared" ca="1" si="26"/>
        <v>3.54</v>
      </c>
      <c r="O232" s="144">
        <f t="shared" ca="1" si="26"/>
        <v>3.54</v>
      </c>
      <c r="P232" s="144">
        <f t="shared" ca="1" si="26"/>
        <v>3.54</v>
      </c>
      <c r="Q232" s="144">
        <f t="shared" si="26"/>
        <v>0</v>
      </c>
      <c r="R232" s="144">
        <f t="shared" si="26"/>
        <v>0</v>
      </c>
      <c r="S232" s="144">
        <f t="shared" si="26"/>
        <v>0</v>
      </c>
      <c r="T232" s="144">
        <f t="shared" si="26"/>
        <v>0</v>
      </c>
      <c r="U232" s="144">
        <f t="shared" si="26"/>
        <v>0</v>
      </c>
      <c r="V232" s="144">
        <f t="shared" si="26"/>
        <v>0</v>
      </c>
      <c r="W232" s="144">
        <f t="shared" si="26"/>
        <v>0</v>
      </c>
      <c r="X232" s="144">
        <f t="shared" si="26"/>
        <v>0</v>
      </c>
      <c r="Y232" s="144">
        <f t="shared" si="26"/>
        <v>0</v>
      </c>
      <c r="Z232" s="144">
        <f t="shared" si="26"/>
        <v>0</v>
      </c>
      <c r="AA232" s="144">
        <f t="shared" si="26"/>
        <v>0</v>
      </c>
      <c r="AB232" s="144">
        <f t="shared" si="26"/>
        <v>0</v>
      </c>
      <c r="AC232" s="144">
        <f t="shared" si="26"/>
        <v>0</v>
      </c>
      <c r="AD232" s="144">
        <f t="shared" si="26"/>
        <v>0</v>
      </c>
      <c r="AE232" s="144">
        <f t="shared" si="26"/>
        <v>0</v>
      </c>
      <c r="AF232" s="144">
        <f t="shared" si="26"/>
        <v>0</v>
      </c>
      <c r="AG232" s="154">
        <f t="shared" si="26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1415.6399999999999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01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7">B89</f>
        <v>1018.64</v>
      </c>
      <c r="U246" s="180">
        <f t="shared" si="27"/>
        <v>1004.64</v>
      </c>
      <c r="V246" s="180">
        <f t="shared" si="27"/>
        <v>989.64</v>
      </c>
      <c r="W246" s="180">
        <f t="shared" si="27"/>
        <v>965.54</v>
      </c>
      <c r="X246" s="180">
        <f t="shared" si="27"/>
        <v>971.23900000000003</v>
      </c>
      <c r="Y246" s="180">
        <f t="shared" si="27"/>
        <v>1016.2390000000001</v>
      </c>
      <c r="Z246" s="180">
        <f t="shared" si="27"/>
        <v>1107.3389999999999</v>
      </c>
      <c r="AA246" s="180">
        <f t="shared" si="27"/>
        <v>1162.6489999999999</v>
      </c>
      <c r="AB246" s="180">
        <f t="shared" si="27"/>
        <v>1256.049</v>
      </c>
      <c r="AC246" s="180">
        <f t="shared" si="27"/>
        <v>1396.1489999999999</v>
      </c>
      <c r="AD246" s="180">
        <f t="shared" si="27"/>
        <v>1389.64</v>
      </c>
      <c r="AE246" s="180">
        <f t="shared" si="27"/>
        <v>1415.6399999999999</v>
      </c>
      <c r="AF246" s="180">
        <f t="shared" si="27"/>
        <v>1347.6399999999999</v>
      </c>
      <c r="AG246" s="180">
        <f t="shared" si="27"/>
        <v>1331.24</v>
      </c>
      <c r="AH246" s="180">
        <f t="shared" si="27"/>
        <v>1329.1599999999999</v>
      </c>
      <c r="AI246" s="180">
        <f t="shared" si="27"/>
        <v>1338.74</v>
      </c>
      <c r="AJ246" s="180">
        <f t="shared" si="27"/>
        <v>1318.54</v>
      </c>
      <c r="AK246" s="180">
        <f t="shared" si="27"/>
        <v>1315.44</v>
      </c>
      <c r="AL246" s="180">
        <f t="shared" si="27"/>
        <v>1329.1399999999999</v>
      </c>
      <c r="AM246" s="180">
        <f t="shared" si="27"/>
        <v>1295.94</v>
      </c>
      <c r="AN246" s="180">
        <f t="shared" si="27"/>
        <v>1289.44</v>
      </c>
      <c r="AO246" s="180">
        <f t="shared" si="27"/>
        <v>1327.7399999999998</v>
      </c>
      <c r="AP246" s="180">
        <f t="shared" si="27"/>
        <v>1415.04</v>
      </c>
      <c r="AQ246" s="180">
        <f t="shared" si="27"/>
        <v>1553.84</v>
      </c>
      <c r="AR246" s="180">
        <f t="shared" si="27"/>
        <v>1550.24</v>
      </c>
      <c r="AS246" s="180">
        <f t="shared" si="27"/>
        <v>1486.14</v>
      </c>
      <c r="AT246" s="180">
        <f t="shared" si="27"/>
        <v>1456.6299999999999</v>
      </c>
      <c r="AU246" s="180">
        <f t="shared" si="27"/>
        <v>1413.64</v>
      </c>
      <c r="AV246" s="180">
        <f t="shared" si="27"/>
        <v>1350.7399999999998</v>
      </c>
      <c r="AW246" s="180">
        <f t="shared" si="27"/>
        <v>1193.54</v>
      </c>
      <c r="AX246" s="180">
        <f t="shared" si="27"/>
        <v>1077.54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8">C231</f>
        <v>0.64</v>
      </c>
      <c r="C267" s="183">
        <f t="shared" si="28"/>
        <v>0.64</v>
      </c>
      <c r="D267" s="183">
        <f t="shared" si="28"/>
        <v>0.64</v>
      </c>
      <c r="E267" s="183">
        <f t="shared" si="28"/>
        <v>0.64</v>
      </c>
      <c r="F267" s="183">
        <f t="shared" si="28"/>
        <v>0.64</v>
      </c>
      <c r="G267" s="183">
        <f t="shared" si="28"/>
        <v>0.64</v>
      </c>
      <c r="H267" s="183">
        <f t="shared" si="28"/>
        <v>0.64</v>
      </c>
      <c r="I267" s="183">
        <f t="shared" si="28"/>
        <v>0.64</v>
      </c>
      <c r="J267" s="183">
        <f t="shared" si="28"/>
        <v>0.64</v>
      </c>
      <c r="K267" s="183">
        <f t="shared" si="28"/>
        <v>0.64</v>
      </c>
      <c r="L267" s="183">
        <f t="shared" si="28"/>
        <v>0.64</v>
      </c>
      <c r="M267" s="183">
        <f t="shared" si="28"/>
        <v>0.64</v>
      </c>
      <c r="N267" s="183">
        <f t="shared" si="28"/>
        <v>0.64</v>
      </c>
      <c r="O267" s="183">
        <f t="shared" si="28"/>
        <v>0.64</v>
      </c>
      <c r="P267" s="183">
        <f t="shared" si="28"/>
        <v>0</v>
      </c>
      <c r="Q267" s="183">
        <f t="shared" si="28"/>
        <v>0</v>
      </c>
      <c r="R267" s="183">
        <f t="shared" si="28"/>
        <v>0</v>
      </c>
      <c r="S267" s="183">
        <f t="shared" si="28"/>
        <v>0</v>
      </c>
      <c r="T267" s="183">
        <f t="shared" si="28"/>
        <v>0</v>
      </c>
      <c r="U267" s="183">
        <f t="shared" si="28"/>
        <v>0</v>
      </c>
      <c r="V267" s="183">
        <f t="shared" si="28"/>
        <v>0</v>
      </c>
      <c r="W267" s="183">
        <f t="shared" si="28"/>
        <v>0</v>
      </c>
      <c r="X267" s="183">
        <f t="shared" si="28"/>
        <v>0</v>
      </c>
      <c r="Y267" s="183">
        <f t="shared" si="28"/>
        <v>0</v>
      </c>
      <c r="Z267" s="183">
        <f t="shared" si="28"/>
        <v>0</v>
      </c>
      <c r="AA267" s="183">
        <f t="shared" si="28"/>
        <v>0</v>
      </c>
      <c r="AB267" s="183">
        <f t="shared" si="28"/>
        <v>0</v>
      </c>
      <c r="AC267" s="183">
        <f t="shared" si="28"/>
        <v>0</v>
      </c>
      <c r="AD267" s="183">
        <f t="shared" si="28"/>
        <v>0</v>
      </c>
      <c r="AE267" s="183">
        <f t="shared" si="28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9">IF(B235&lt;100,"",B235-520)</f>
        <v/>
      </c>
      <c r="C268" s="184" t="str">
        <f t="shared" si="29"/>
        <v/>
      </c>
      <c r="D268" s="184" t="str">
        <f t="shared" si="29"/>
        <v/>
      </c>
      <c r="E268" s="184" t="str">
        <f t="shared" si="29"/>
        <v/>
      </c>
      <c r="F268" s="184" t="str">
        <f t="shared" si="29"/>
        <v/>
      </c>
      <c r="G268" s="184" t="str">
        <f t="shared" si="29"/>
        <v/>
      </c>
      <c r="H268" s="184" t="str">
        <f t="shared" si="29"/>
        <v/>
      </c>
      <c r="I268" s="184" t="str">
        <f t="shared" si="29"/>
        <v/>
      </c>
      <c r="J268" s="184" t="str">
        <f t="shared" si="29"/>
        <v/>
      </c>
      <c r="K268" s="184" t="str">
        <f t="shared" si="29"/>
        <v/>
      </c>
      <c r="L268" s="184" t="str">
        <f t="shared" si="29"/>
        <v/>
      </c>
      <c r="M268" s="184" t="str">
        <f t="shared" si="29"/>
        <v/>
      </c>
      <c r="N268" s="184" t="str">
        <f t="shared" si="29"/>
        <v/>
      </c>
      <c r="O268" s="184" t="str">
        <f t="shared" si="29"/>
        <v/>
      </c>
      <c r="P268" s="184" t="str">
        <f t="shared" si="29"/>
        <v/>
      </c>
      <c r="Q268" s="184" t="str">
        <f t="shared" si="29"/>
        <v/>
      </c>
      <c r="R268" s="184" t="str">
        <f t="shared" si="29"/>
        <v/>
      </c>
      <c r="S268" s="184" t="str">
        <f t="shared" si="29"/>
        <v/>
      </c>
      <c r="T268" s="184" t="str">
        <f t="shared" si="29"/>
        <v/>
      </c>
      <c r="U268" s="184" t="str">
        <f t="shared" si="29"/>
        <v/>
      </c>
      <c r="V268" s="184" t="str">
        <f t="shared" si="29"/>
        <v/>
      </c>
      <c r="W268" s="184" t="str">
        <f t="shared" si="29"/>
        <v/>
      </c>
      <c r="X268" s="184" t="str">
        <f t="shared" si="29"/>
        <v/>
      </c>
      <c r="Y268" s="184" t="str">
        <f t="shared" si="29"/>
        <v/>
      </c>
      <c r="Z268" s="184" t="str">
        <f t="shared" si="29"/>
        <v/>
      </c>
      <c r="AA268" s="184" t="str">
        <f t="shared" si="29"/>
        <v/>
      </c>
      <c r="AB268" s="184" t="str">
        <f t="shared" si="29"/>
        <v/>
      </c>
      <c r="AC268" s="184" t="str">
        <f t="shared" si="29"/>
        <v/>
      </c>
      <c r="AD268" s="184" t="str">
        <f t="shared" si="29"/>
        <v/>
      </c>
      <c r="AE268" s="184" t="str">
        <f t="shared" si="29"/>
        <v/>
      </c>
      <c r="AF268" s="184" t="str">
        <f t="shared" si="29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0">IF(B236&lt;100,"",B236-620)</f>
        <v/>
      </c>
      <c r="C269" s="184" t="str">
        <f t="shared" si="30"/>
        <v/>
      </c>
      <c r="D269" s="184" t="str">
        <f t="shared" si="30"/>
        <v/>
      </c>
      <c r="E269" s="184" t="str">
        <f t="shared" si="30"/>
        <v/>
      </c>
      <c r="F269" s="184" t="str">
        <f t="shared" si="30"/>
        <v/>
      </c>
      <c r="G269" s="184" t="str">
        <f t="shared" si="30"/>
        <v/>
      </c>
      <c r="H269" s="184" t="str">
        <f t="shared" si="30"/>
        <v/>
      </c>
      <c r="I269" s="184" t="str">
        <f t="shared" si="30"/>
        <v/>
      </c>
      <c r="J269" s="184" t="str">
        <f t="shared" si="30"/>
        <v/>
      </c>
      <c r="K269" s="184" t="str">
        <f t="shared" si="30"/>
        <v/>
      </c>
      <c r="L269" s="184" t="str">
        <f t="shared" si="30"/>
        <v/>
      </c>
      <c r="M269" s="184" t="str">
        <f t="shared" si="30"/>
        <v/>
      </c>
      <c r="N269" s="184" t="str">
        <f t="shared" si="30"/>
        <v/>
      </c>
      <c r="O269" s="184" t="str">
        <f t="shared" si="30"/>
        <v/>
      </c>
      <c r="P269" s="184" t="str">
        <f t="shared" si="30"/>
        <v/>
      </c>
      <c r="Q269" s="184" t="str">
        <f t="shared" si="30"/>
        <v/>
      </c>
      <c r="R269" s="184" t="str">
        <f t="shared" si="30"/>
        <v/>
      </c>
      <c r="S269" s="184" t="str">
        <f t="shared" si="30"/>
        <v/>
      </c>
      <c r="T269" s="184" t="str">
        <f t="shared" si="30"/>
        <v/>
      </c>
      <c r="U269" s="184" t="str">
        <f t="shared" si="30"/>
        <v/>
      </c>
      <c r="V269" s="184" t="str">
        <f t="shared" si="30"/>
        <v/>
      </c>
      <c r="W269" s="184" t="str">
        <f t="shared" si="30"/>
        <v/>
      </c>
      <c r="X269" s="184" t="str">
        <f t="shared" si="30"/>
        <v/>
      </c>
      <c r="Y269" s="184" t="str">
        <f t="shared" si="30"/>
        <v/>
      </c>
      <c r="Z269" s="184" t="str">
        <f t="shared" si="30"/>
        <v/>
      </c>
      <c r="AA269" s="184" t="str">
        <f t="shared" si="30"/>
        <v/>
      </c>
      <c r="AB269" s="184" t="str">
        <f t="shared" si="30"/>
        <v/>
      </c>
      <c r="AC269" s="184" t="str">
        <f t="shared" si="30"/>
        <v/>
      </c>
      <c r="AD269" s="184" t="str">
        <f t="shared" si="30"/>
        <v/>
      </c>
      <c r="AE269" s="184" t="str">
        <f t="shared" si="30"/>
        <v/>
      </c>
      <c r="AF269" s="184" t="str">
        <f t="shared" si="30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1">IF(B237&lt;100,"",B237-330)</f>
        <v/>
      </c>
      <c r="C270" s="184" t="str">
        <f t="shared" si="31"/>
        <v/>
      </c>
      <c r="D270" s="184" t="str">
        <f t="shared" si="31"/>
        <v/>
      </c>
      <c r="E270" s="184" t="str">
        <f t="shared" si="31"/>
        <v/>
      </c>
      <c r="F270" s="184" t="str">
        <f t="shared" si="31"/>
        <v/>
      </c>
      <c r="G270" s="184" t="str">
        <f t="shared" si="31"/>
        <v/>
      </c>
      <c r="H270" s="184" t="str">
        <f t="shared" si="31"/>
        <v/>
      </c>
      <c r="I270" s="184" t="str">
        <f t="shared" si="31"/>
        <v/>
      </c>
      <c r="J270" s="184" t="str">
        <f t="shared" si="31"/>
        <v/>
      </c>
      <c r="K270" s="184" t="str">
        <f t="shared" si="31"/>
        <v/>
      </c>
      <c r="L270" s="184" t="str">
        <f t="shared" si="31"/>
        <v/>
      </c>
      <c r="M270" s="184" t="str">
        <f t="shared" si="31"/>
        <v/>
      </c>
      <c r="N270" s="184" t="str">
        <f t="shared" si="31"/>
        <v/>
      </c>
      <c r="O270" s="184" t="str">
        <f t="shared" si="31"/>
        <v/>
      </c>
      <c r="P270" s="184" t="str">
        <f t="shared" si="31"/>
        <v/>
      </c>
      <c r="Q270" s="184" t="str">
        <f t="shared" si="31"/>
        <v/>
      </c>
      <c r="R270" s="184" t="str">
        <f t="shared" si="31"/>
        <v/>
      </c>
      <c r="S270" s="184" t="str">
        <f t="shared" si="31"/>
        <v/>
      </c>
      <c r="T270" s="184" t="str">
        <f t="shared" si="31"/>
        <v/>
      </c>
      <c r="U270" s="184" t="str">
        <f t="shared" si="31"/>
        <v/>
      </c>
      <c r="V270" s="184" t="str">
        <f t="shared" si="31"/>
        <v/>
      </c>
      <c r="W270" s="184" t="str">
        <f t="shared" si="31"/>
        <v/>
      </c>
      <c r="X270" s="184" t="str">
        <f t="shared" si="31"/>
        <v/>
      </c>
      <c r="Y270" s="184" t="str">
        <f t="shared" si="31"/>
        <v/>
      </c>
      <c r="Z270" s="184" t="str">
        <f t="shared" si="31"/>
        <v/>
      </c>
      <c r="AA270" s="184" t="str">
        <f t="shared" si="31"/>
        <v/>
      </c>
      <c r="AB270" s="184" t="str">
        <f t="shared" si="31"/>
        <v/>
      </c>
      <c r="AC270" s="184" t="str">
        <f t="shared" si="31"/>
        <v/>
      </c>
      <c r="AD270" s="184" t="str">
        <f t="shared" si="31"/>
        <v/>
      </c>
      <c r="AE270" s="184" t="str">
        <f t="shared" si="31"/>
        <v/>
      </c>
      <c r="AF270" s="184" t="str">
        <f t="shared" si="31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2">IF(B238&lt;100,"",B238-1500)</f>
        <v/>
      </c>
      <c r="C271" s="184" t="str">
        <f t="shared" si="32"/>
        <v/>
      </c>
      <c r="D271" s="184" t="str">
        <f t="shared" si="32"/>
        <v/>
      </c>
      <c r="E271" s="184" t="str">
        <f t="shared" si="32"/>
        <v/>
      </c>
      <c r="F271" s="184" t="str">
        <f t="shared" si="32"/>
        <v/>
      </c>
      <c r="G271" s="184" t="str">
        <f t="shared" si="32"/>
        <v/>
      </c>
      <c r="H271" s="184" t="str">
        <f t="shared" si="32"/>
        <v/>
      </c>
      <c r="I271" s="184" t="str">
        <f t="shared" si="32"/>
        <v/>
      </c>
      <c r="J271" s="184" t="str">
        <f t="shared" si="32"/>
        <v/>
      </c>
      <c r="K271" s="184" t="str">
        <f t="shared" si="32"/>
        <v/>
      </c>
      <c r="L271" s="184" t="str">
        <f t="shared" si="32"/>
        <v/>
      </c>
      <c r="M271" s="184" t="str">
        <f t="shared" si="32"/>
        <v/>
      </c>
      <c r="N271" s="184" t="str">
        <f t="shared" si="32"/>
        <v/>
      </c>
      <c r="O271" s="184" t="str">
        <f t="shared" si="32"/>
        <v/>
      </c>
      <c r="P271" s="184" t="str">
        <f t="shared" si="32"/>
        <v/>
      </c>
      <c r="Q271" s="184" t="str">
        <f t="shared" si="32"/>
        <v/>
      </c>
      <c r="R271" s="184" t="str">
        <f t="shared" si="32"/>
        <v/>
      </c>
      <c r="S271" s="184" t="str">
        <f t="shared" si="32"/>
        <v/>
      </c>
      <c r="T271" s="184" t="str">
        <f t="shared" si="32"/>
        <v/>
      </c>
      <c r="U271" s="184" t="str">
        <f t="shared" si="32"/>
        <v/>
      </c>
      <c r="V271" s="184" t="str">
        <f t="shared" si="32"/>
        <v/>
      </c>
      <c r="W271" s="184" t="str">
        <f t="shared" si="32"/>
        <v/>
      </c>
      <c r="X271" s="184" t="str">
        <f t="shared" si="32"/>
        <v/>
      </c>
      <c r="Y271" s="184" t="str">
        <f t="shared" si="32"/>
        <v/>
      </c>
      <c r="Z271" s="184" t="str">
        <f t="shared" si="32"/>
        <v/>
      </c>
      <c r="AA271" s="184" t="str">
        <f t="shared" si="32"/>
        <v/>
      </c>
      <c r="AB271" s="184" t="str">
        <f t="shared" si="32"/>
        <v/>
      </c>
      <c r="AC271" s="184" t="str">
        <f t="shared" si="32"/>
        <v/>
      </c>
      <c r="AD271" s="184" t="str">
        <f t="shared" si="32"/>
        <v/>
      </c>
      <c r="AE271" s="184" t="str">
        <f t="shared" si="32"/>
        <v/>
      </c>
      <c r="AF271" s="184" t="str">
        <f t="shared" si="32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9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94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1989" priority="390">
      <formula>B$9&gt;=20/24</formula>
    </cfRule>
    <cfRule type="expression" dxfId="11988" priority="391">
      <formula>AND(B$9&gt;=14/24,B$9&lt;20/24)</formula>
    </cfRule>
    <cfRule type="expression" dxfId="11987" priority="392">
      <formula>AND(B$9&gt;=8/24,B$9&lt;14/24)</formula>
    </cfRule>
    <cfRule type="expression" dxfId="11986" priority="393">
      <formula>B$9&lt;8/24</formula>
    </cfRule>
  </conditionalFormatting>
  <conditionalFormatting sqref="AL4:AL6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1985" priority="388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1984" priority="387">
      <formula>$AH12=0</formula>
    </cfRule>
  </conditionalFormatting>
  <conditionalFormatting sqref="A114">
    <cfRule type="expression" dxfId="11983" priority="386">
      <formula>$AH114=0</formula>
    </cfRule>
  </conditionalFormatting>
  <conditionalFormatting sqref="AL42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1982" priority="384">
      <formula>$AH45=0</formula>
    </cfRule>
  </conditionalFormatting>
  <conditionalFormatting sqref="A98">
    <cfRule type="expression" dxfId="11981" priority="383">
      <formula>$AH98=0</formula>
    </cfRule>
  </conditionalFormatting>
  <conditionalFormatting sqref="A18">
    <cfRule type="expression" dxfId="11980" priority="382">
      <formula>$AH18=0</formula>
    </cfRule>
  </conditionalFormatting>
  <conditionalFormatting sqref="A196:A201">
    <cfRule type="expression" dxfId="11979" priority="381">
      <formula>$AH196=0</formula>
    </cfRule>
  </conditionalFormatting>
  <conditionalFormatting sqref="A190:A195">
    <cfRule type="expression" dxfId="11978" priority="380">
      <formula>$AH190=0</formula>
    </cfRule>
  </conditionalFormatting>
  <conditionalFormatting sqref="A58">
    <cfRule type="expression" dxfId="11977" priority="379">
      <formula>$AH58=0</formula>
    </cfRule>
  </conditionalFormatting>
  <conditionalFormatting sqref="A94">
    <cfRule type="expression" dxfId="11976" priority="378">
      <formula>$AH94=0</formula>
    </cfRule>
  </conditionalFormatting>
  <conditionalFormatting sqref="E99:X99 AD99:AF99">
    <cfRule type="expression" dxfId="11975" priority="374">
      <formula>E$9&gt;=20/24</formula>
    </cfRule>
    <cfRule type="expression" dxfId="11974" priority="375">
      <formula>AND(E$9&gt;=14/24,E$9&lt;20/24)</formula>
    </cfRule>
    <cfRule type="expression" dxfId="11973" priority="376">
      <formula>AND(E$9&gt;=8/24,E$9&lt;14/24)</formula>
    </cfRule>
    <cfRule type="expression" dxfId="11972" priority="377">
      <formula>E$9&lt;8/24</formula>
    </cfRule>
  </conditionalFormatting>
  <conditionalFormatting sqref="AL43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971" priority="396">
      <formula>C$9&gt;=20/24</formula>
    </cfRule>
    <cfRule type="expression" dxfId="11970" priority="397">
      <formula>AND(C$9&gt;=14/24,C$9&lt;20/24)</formula>
    </cfRule>
    <cfRule type="expression" dxfId="11969" priority="398">
      <formula>AND(C$9&gt;=8/24,C$9&lt;14/24)</formula>
    </cfRule>
    <cfRule type="expression" dxfId="11968" priority="399">
      <formula>C$9&lt;8/24</formula>
    </cfRule>
  </conditionalFormatting>
  <conditionalFormatting sqref="A233">
    <cfRule type="expression" dxfId="11967" priority="400">
      <formula>$AH233=0</formula>
    </cfRule>
  </conditionalFormatting>
  <conditionalFormatting sqref="AG245">
    <cfRule type="expression" dxfId="11966" priority="401">
      <formula>B$9&gt;=20/24</formula>
    </cfRule>
    <cfRule type="expression" dxfId="11965" priority="402">
      <formula>AND(B$9&gt;=14/24,B$9&lt;20/24)</formula>
    </cfRule>
    <cfRule type="expression" dxfId="11964" priority="403">
      <formula>AND(B$9&gt;=8/24,B$9&lt;14/24)</formula>
    </cfRule>
    <cfRule type="expression" dxfId="11963" priority="404">
      <formula>B$9&lt;8/24</formula>
    </cfRule>
  </conditionalFormatting>
  <conditionalFormatting sqref="S8">
    <cfRule type="expression" dxfId="11962" priority="369">
      <formula>U$9&gt;=20/24</formula>
    </cfRule>
    <cfRule type="expression" dxfId="11961" priority="370">
      <formula>AND(U$9&gt;=14/24,U$9&lt;20/24)</formula>
    </cfRule>
    <cfRule type="expression" dxfId="11960" priority="371">
      <formula>AND(U$9&gt;=8/24,U$9&lt;14/24)</formula>
    </cfRule>
    <cfRule type="expression" dxfId="11959" priority="372">
      <formula>U$9&lt;8/24</formula>
    </cfRule>
  </conditionalFormatting>
  <conditionalFormatting sqref="AB8">
    <cfRule type="expression" dxfId="11958" priority="365">
      <formula>AD$9&gt;=20/24</formula>
    </cfRule>
    <cfRule type="expression" dxfId="11957" priority="366">
      <formula>AND(AD$9&gt;=14/24,AD$9&lt;20/24)</formula>
    </cfRule>
    <cfRule type="expression" dxfId="11956" priority="367">
      <formula>AND(AD$9&gt;=8/24,AD$9&lt;14/24)</formula>
    </cfRule>
    <cfRule type="expression" dxfId="11955" priority="368">
      <formula>AD$9&lt;8/24</formula>
    </cfRule>
  </conditionalFormatting>
  <conditionalFormatting sqref="AH245:AX245">
    <cfRule type="expression" dxfId="11954" priority="405">
      <formula>AG$9&gt;=20/24</formula>
    </cfRule>
    <cfRule type="expression" dxfId="11953" priority="406">
      <formula>AND(AG$9&gt;=14/24,AG$9&lt;20/24)</formula>
    </cfRule>
    <cfRule type="expression" dxfId="11952" priority="407">
      <formula>AND(AG$9&gt;=8/24,AG$9&lt;14/24)</formula>
    </cfRule>
    <cfRule type="expression" dxfId="11951" priority="408">
      <formula>AG$9&lt;8/24</formula>
    </cfRule>
  </conditionalFormatting>
  <conditionalFormatting sqref="T245">
    <cfRule type="expression" dxfId="11950" priority="409">
      <formula>AX$9&gt;=20/24</formula>
    </cfRule>
    <cfRule type="expression" dxfId="11949" priority="410">
      <formula>AND(AX$9&gt;=14/24,AX$9&lt;20/24)</formula>
    </cfRule>
    <cfRule type="expression" dxfId="11948" priority="411">
      <formula>AND(AX$9&gt;=8/24,AX$9&lt;14/24)</formula>
    </cfRule>
    <cfRule type="expression" dxfId="11947" priority="412">
      <formula>AX$9&lt;8/24</formula>
    </cfRule>
  </conditionalFormatting>
  <conditionalFormatting sqref="A115:A116">
    <cfRule type="expression" dxfId="11946" priority="364">
      <formula>$AH115=0</formula>
    </cfRule>
  </conditionalFormatting>
  <conditionalFormatting sqref="M54:P56 N57:P58 Q54:Q58 E71:AF71 AB54:AF57">
    <cfRule type="expression" dxfId="11945" priority="360">
      <formula>E$9&gt;=20/24</formula>
    </cfRule>
    <cfRule type="expression" dxfId="11944" priority="361">
      <formula>AND(E$9&gt;=14/24,E$9&lt;20/24)</formula>
    </cfRule>
    <cfRule type="expression" dxfId="11943" priority="362">
      <formula>AND(E$9&gt;=8/24,E$9&lt;14/24)</formula>
    </cfRule>
    <cfRule type="expression" dxfId="11942" priority="363">
      <formula>E$9&lt;8/24</formula>
    </cfRule>
  </conditionalFormatting>
  <conditionalFormatting sqref="M53:Q53 AB53:AF53">
    <cfRule type="expression" dxfId="11941" priority="356">
      <formula>M$9&gt;=20/24</formula>
    </cfRule>
    <cfRule type="expression" dxfId="11940" priority="357">
      <formula>AND(M$9&gt;=14/24,M$9&lt;20/24)</formula>
    </cfRule>
    <cfRule type="expression" dxfId="11939" priority="358">
      <formula>AND(M$9&gt;=8/24,M$9&lt;14/24)</formula>
    </cfRule>
    <cfRule type="expression" dxfId="11938" priority="359">
      <formula>M$9&lt;8/24</formula>
    </cfRule>
  </conditionalFormatting>
  <conditionalFormatting sqref="M53:P56 N57:P58 Q53:Q58 AB53:AF57">
    <cfRule type="expression" dxfId="11937" priority="355">
      <formula>M53&gt;$AG53</formula>
    </cfRule>
  </conditionalFormatting>
  <conditionalFormatting sqref="D86:AF86 M100:X106 X96:AF96 AD100:AF106 E72:X73 Y72:AF74 X47:AF47 X67:AF69">
    <cfRule type="expression" dxfId="11936" priority="351">
      <formula>D$9&gt;=20/24</formula>
    </cfRule>
    <cfRule type="expression" dxfId="11935" priority="352">
      <formula>AND(D$9&gt;=14/24,D$9&lt;20/24)</formula>
    </cfRule>
    <cfRule type="expression" dxfId="11934" priority="353">
      <formula>AND(D$9&gt;=8/24,D$9&lt;14/24)</formula>
    </cfRule>
    <cfRule type="expression" dxfId="11933" priority="354">
      <formula>D$9&lt;8/24</formula>
    </cfRule>
  </conditionalFormatting>
  <conditionalFormatting sqref="X47:AF47 X67:AF69">
    <cfRule type="expression" dxfId="11932" priority="350">
      <formula>X47&gt;$AG47</formula>
    </cfRule>
  </conditionalFormatting>
  <conditionalFormatting sqref="R53:AA58">
    <cfRule type="expression" dxfId="11931" priority="346">
      <formula>R$9&gt;=20/24</formula>
    </cfRule>
    <cfRule type="expression" dxfId="11930" priority="347">
      <formula>AND(R$9&gt;=14/24,R$9&lt;20/24)</formula>
    </cfRule>
    <cfRule type="expression" dxfId="11929" priority="348">
      <formula>AND(R$9&gt;=8/24,R$9&lt;14/24)</formula>
    </cfRule>
    <cfRule type="expression" dxfId="11928" priority="349">
      <formula>R$9&lt;8/24</formula>
    </cfRule>
  </conditionalFormatting>
  <conditionalFormatting sqref="R53:AA58">
    <cfRule type="expression" dxfId="11927" priority="345">
      <formula>R53&gt;$AG53</formula>
    </cfRule>
  </conditionalFormatting>
  <conditionalFormatting sqref="C97:AF97 D88:AF88">
    <cfRule type="expression" dxfId="11926" priority="341">
      <formula>C$9&gt;=20/24</formula>
    </cfRule>
    <cfRule type="expression" dxfId="11925" priority="342">
      <formula>AND(C$9&gt;=14/24,C$9&lt;20/24)</formula>
    </cfRule>
    <cfRule type="expression" dxfId="11924" priority="343">
      <formula>AND(C$9&gt;=8/24,C$9&lt;14/24)</formula>
    </cfRule>
    <cfRule type="expression" dxfId="11923" priority="344">
      <formula>C$9&lt;8/24</formula>
    </cfRule>
  </conditionalFormatting>
  <conditionalFormatting sqref="T47:W47">
    <cfRule type="expression" dxfId="11922" priority="337">
      <formula>T$9&gt;=20/24</formula>
    </cfRule>
    <cfRule type="expression" dxfId="11921" priority="338">
      <formula>AND(T$9&gt;=14/24,T$9&lt;20/24)</formula>
    </cfRule>
    <cfRule type="expression" dxfId="11920" priority="339">
      <formula>AND(T$9&gt;=8/24,T$9&lt;14/24)</formula>
    </cfRule>
    <cfRule type="expression" dxfId="11919" priority="340">
      <formula>T$9&lt;8/24</formula>
    </cfRule>
  </conditionalFormatting>
  <conditionalFormatting sqref="T47:W47">
    <cfRule type="expression" dxfId="11918" priority="336">
      <formula>T47&gt;$AG47</formula>
    </cfRule>
  </conditionalFormatting>
  <conditionalFormatting sqref="E54:L55">
    <cfRule type="expression" dxfId="11917" priority="332">
      <formula>E$9&gt;=20/24</formula>
    </cfRule>
    <cfRule type="expression" dxfId="11916" priority="333">
      <formula>AND(E$9&gt;=14/24,E$9&lt;20/24)</formula>
    </cfRule>
    <cfRule type="expression" dxfId="11915" priority="334">
      <formula>AND(E$9&gt;=8/24,E$9&lt;14/24)</formula>
    </cfRule>
    <cfRule type="expression" dxfId="11914" priority="335">
      <formula>E$9&lt;8/24</formula>
    </cfRule>
  </conditionalFormatting>
  <conditionalFormatting sqref="E53:L53">
    <cfRule type="expression" dxfId="11913" priority="328">
      <formula>E$9&gt;=20/24</formula>
    </cfRule>
    <cfRule type="expression" dxfId="11912" priority="329">
      <formula>AND(E$9&gt;=14/24,E$9&lt;20/24)</formula>
    </cfRule>
    <cfRule type="expression" dxfId="11911" priority="330">
      <formula>AND(E$9&gt;=8/24,E$9&lt;14/24)</formula>
    </cfRule>
    <cfRule type="expression" dxfId="11910" priority="331">
      <formula>E$9&lt;8/24</formula>
    </cfRule>
  </conditionalFormatting>
  <conditionalFormatting sqref="E53:L55">
    <cfRule type="expression" dxfId="11909" priority="327">
      <formula>E53&gt;$AG53</formula>
    </cfRule>
  </conditionalFormatting>
  <conditionalFormatting sqref="AG70 AG87 E100:L106 Q67:W69">
    <cfRule type="expression" dxfId="11908" priority="323">
      <formula>E$9&gt;=20/24</formula>
    </cfRule>
    <cfRule type="expression" dxfId="11907" priority="324">
      <formula>AND(E$9&gt;=14/24,E$9&lt;20/24)</formula>
    </cfRule>
    <cfRule type="expression" dxfId="11906" priority="325">
      <formula>AND(E$9&gt;=8/24,E$9&lt;14/24)</formula>
    </cfRule>
    <cfRule type="expression" dxfId="11905" priority="326">
      <formula>E$9&lt;8/24</formula>
    </cfRule>
  </conditionalFormatting>
  <conditionalFormatting sqref="AG48 AG66 AG70 Q67:W69">
    <cfRule type="expression" dxfId="11904" priority="322">
      <formula>Q48&gt;$AG48</formula>
    </cfRule>
  </conditionalFormatting>
  <conditionalFormatting sqref="AB58:AF58">
    <cfRule type="expression" dxfId="11903" priority="318">
      <formula>AB$9&gt;=20/24</formula>
    </cfRule>
    <cfRule type="expression" dxfId="11902" priority="319">
      <formula>AND(AB$9&gt;=14/24,AB$9&lt;20/24)</formula>
    </cfRule>
    <cfRule type="expression" dxfId="11901" priority="320">
      <formula>AND(AB$9&gt;=8/24,AB$9&lt;14/24)</formula>
    </cfRule>
    <cfRule type="expression" dxfId="11900" priority="321">
      <formula>AB$9&lt;8/24</formula>
    </cfRule>
  </conditionalFormatting>
  <conditionalFormatting sqref="AB58:AF58">
    <cfRule type="expression" dxfId="11899" priority="317">
      <formula>AB58&gt;$AG58</formula>
    </cfRule>
  </conditionalFormatting>
  <conditionalFormatting sqref="A43">
    <cfRule type="expression" dxfId="11898" priority="316">
      <formula>$AH43=0</formula>
    </cfRule>
  </conditionalFormatting>
  <conditionalFormatting sqref="X91:AF95">
    <cfRule type="expression" dxfId="11897" priority="312">
      <formula>X$9&gt;=20/24</formula>
    </cfRule>
    <cfRule type="expression" dxfId="11896" priority="313">
      <formula>AND(X$9&gt;=14/24,X$9&lt;20/24)</formula>
    </cfRule>
    <cfRule type="expression" dxfId="11895" priority="314">
      <formula>AND(X$9&gt;=8/24,X$9&lt;14/24)</formula>
    </cfRule>
    <cfRule type="expression" dxfId="11894" priority="315">
      <formula>X$9&lt;8/24</formula>
    </cfRule>
  </conditionalFormatting>
  <conditionalFormatting sqref="AL45 AL41 AL22:AL32 AL38:AL39 AL7:AL15 AL17:AL20 AL34:AL36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1893" priority="308">
      <formula>E$9&gt;=20/24</formula>
    </cfRule>
    <cfRule type="expression" dxfId="11892" priority="309">
      <formula>AND(E$9&gt;=14/24,E$9&lt;20/24)</formula>
    </cfRule>
    <cfRule type="expression" dxfId="11891" priority="310">
      <formula>AND(E$9&gt;=8/24,E$9&lt;14/24)</formula>
    </cfRule>
    <cfRule type="expression" dxfId="11890" priority="311">
      <formula>E$9&lt;8/24</formula>
    </cfRule>
  </conditionalFormatting>
  <conditionalFormatting sqref="E49:AF51">
    <cfRule type="expression" dxfId="11889" priority="307">
      <formula>E49&gt;$AG49</formula>
    </cfRule>
  </conditionalFormatting>
  <conditionalFormatting sqref="AG52">
    <cfRule type="expression" dxfId="11888" priority="303">
      <formula>AG$9&gt;=20/24</formula>
    </cfRule>
    <cfRule type="expression" dxfId="11887" priority="304">
      <formula>AND(AG$9&gt;=14/24,AG$9&lt;20/24)</formula>
    </cfRule>
    <cfRule type="expression" dxfId="11886" priority="305">
      <formula>AND(AG$9&gt;=8/24,AG$9&lt;14/24)</formula>
    </cfRule>
    <cfRule type="expression" dxfId="11885" priority="306">
      <formula>AG$9&lt;8/24</formula>
    </cfRule>
  </conditionalFormatting>
  <conditionalFormatting sqref="AG52">
    <cfRule type="expression" dxfId="11884" priority="302">
      <formula>AG52&gt;$AG52</formula>
    </cfRule>
  </conditionalFormatting>
  <conditionalFormatting sqref="C107:AF107">
    <cfRule type="expression" dxfId="11883" priority="298">
      <formula>C$9&gt;=20/24</formula>
    </cfRule>
    <cfRule type="expression" dxfId="11882" priority="299">
      <formula>AND(C$9&gt;=14/24,C$9&lt;20/24)</formula>
    </cfRule>
    <cfRule type="expression" dxfId="11881" priority="300">
      <formula>AND(C$9&gt;=8/24,C$9&lt;14/24)</formula>
    </cfRule>
    <cfRule type="expression" dxfId="11880" priority="301">
      <formula>C$9&lt;8/24</formula>
    </cfRule>
  </conditionalFormatting>
  <conditionalFormatting sqref="AL40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1879" priority="296">
      <formula>$AH40=0</formula>
    </cfRule>
  </conditionalFormatting>
  <conditionalFormatting sqref="A90">
    <cfRule type="expression" dxfId="11878" priority="294">
      <formula>$AH90=0</formula>
    </cfRule>
  </conditionalFormatting>
  <conditionalFormatting sqref="A87">
    <cfRule type="expression" dxfId="11877" priority="295">
      <formula>$AH87=0</formula>
    </cfRule>
  </conditionalFormatting>
  <conditionalFormatting sqref="D110:AF110">
    <cfRule type="expression" dxfId="11876" priority="282">
      <formula>D$9&gt;=20/24</formula>
    </cfRule>
    <cfRule type="expression" dxfId="11875" priority="283">
      <formula>AND(D$9&gt;=14/24,D$9&lt;20/24)</formula>
    </cfRule>
    <cfRule type="expression" dxfId="11874" priority="284">
      <formula>AND(D$9&gt;=8/24,D$9&lt;14/24)</formula>
    </cfRule>
    <cfRule type="expression" dxfId="11873" priority="285">
      <formula>D$9&lt;8/24</formula>
    </cfRule>
  </conditionalFormatting>
  <conditionalFormatting sqref="A110">
    <cfRule type="expression" dxfId="11872" priority="281">
      <formula>$AH110=0</formula>
    </cfRule>
  </conditionalFormatting>
  <conditionalFormatting sqref="A21">
    <cfRule type="expression" dxfId="11871" priority="279">
      <formula>$AH21=0</formula>
    </cfRule>
  </conditionalFormatting>
  <conditionalFormatting sqref="AL2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1870" priority="277">
      <formula>$AH37=0</formula>
    </cfRule>
  </conditionalFormatting>
  <conditionalFormatting sqref="AL37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1869" priority="273">
      <formula>Y$9&gt;=20/24</formula>
    </cfRule>
    <cfRule type="expression" dxfId="11868" priority="274">
      <formula>AND(Y$9&gt;=14/24,Y$9&lt;20/24)</formula>
    </cfRule>
    <cfRule type="expression" dxfId="11867" priority="275">
      <formula>AND(Y$9&gt;=8/24,Y$9&lt;14/24)</formula>
    </cfRule>
    <cfRule type="expression" dxfId="11866" priority="276">
      <formula>Y$9&lt;8/24</formula>
    </cfRule>
  </conditionalFormatting>
  <conditionalFormatting sqref="Y100:AC106">
    <cfRule type="expression" dxfId="11865" priority="269">
      <formula>Y$9&gt;=20/24</formula>
    </cfRule>
    <cfRule type="expression" dxfId="11864" priority="270">
      <formula>AND(Y$9&gt;=14/24,Y$9&lt;20/24)</formula>
    </cfRule>
    <cfRule type="expression" dxfId="11863" priority="271">
      <formula>AND(Y$9&gt;=8/24,Y$9&lt;14/24)</formula>
    </cfRule>
    <cfRule type="expression" dxfId="11862" priority="272">
      <formula>Y$9&lt;8/24</formula>
    </cfRule>
  </conditionalFormatting>
  <conditionalFormatting sqref="C109 C111:C116 F17:O18 P34:AF43 P17:AF32">
    <cfRule type="expression" dxfId="11861" priority="265">
      <formula>C$9&gt;=20/24</formula>
    </cfRule>
    <cfRule type="expression" dxfId="11860" priority="266">
      <formula>AND(C$9&gt;=14/24,C$9&lt;20/24)</formula>
    </cfRule>
    <cfRule type="expression" dxfId="11859" priority="267">
      <formula>AND(C$9&gt;=8/24,C$9&lt;14/24)</formula>
    </cfRule>
    <cfRule type="expression" dxfId="11858" priority="268">
      <formula>C$9&lt;8/24</formula>
    </cfRule>
  </conditionalFormatting>
  <conditionalFormatting sqref="C47:S47">
    <cfRule type="expression" dxfId="11857" priority="261">
      <formula>C$9&gt;=20/24</formula>
    </cfRule>
    <cfRule type="expression" dxfId="11856" priority="262">
      <formula>AND(C$9&gt;=14/24,C$9&lt;20/24)</formula>
    </cfRule>
    <cfRule type="expression" dxfId="11855" priority="263">
      <formula>AND(C$9&gt;=8/24,C$9&lt;14/24)</formula>
    </cfRule>
    <cfRule type="expression" dxfId="11854" priority="264">
      <formula>C$9&lt;8/24</formula>
    </cfRule>
  </conditionalFormatting>
  <conditionalFormatting sqref="C47:S47 F17:O18 P34:AF43 P17:AF32">
    <cfRule type="expression" dxfId="11853" priority="260">
      <formula>C17&gt;$AG17</formula>
    </cfRule>
  </conditionalFormatting>
  <conditionalFormatting sqref="C99:D99">
    <cfRule type="expression" dxfId="11852" priority="256">
      <formula>C$9&gt;=20/24</formula>
    </cfRule>
    <cfRule type="expression" dxfId="11851" priority="257">
      <formula>AND(C$9&gt;=14/24,C$9&lt;20/24)</formula>
    </cfRule>
    <cfRule type="expression" dxfId="11850" priority="258">
      <formula>AND(C$9&gt;=8/24,C$9&lt;14/24)</formula>
    </cfRule>
    <cfRule type="expression" dxfId="11849" priority="259">
      <formula>C$9&lt;8/24</formula>
    </cfRule>
  </conditionalFormatting>
  <conditionalFormatting sqref="C86 C96:W96 C83:AF85 C100:D106 E67:P69 E74:X76 Y75:AF76">
    <cfRule type="expression" dxfId="11848" priority="243">
      <formula>C$9&gt;=20/24</formula>
    </cfRule>
    <cfRule type="expression" dxfId="11847" priority="244">
      <formula>AND(C$9&gt;=14/24,C$9&lt;20/24)</formula>
    </cfRule>
    <cfRule type="expression" dxfId="11846" priority="245">
      <formula>AND(C$9&gt;=8/24,C$9&lt;14/24)</formula>
    </cfRule>
    <cfRule type="expression" dxfId="11845" priority="246">
      <formula>C$9&lt;8/24</formula>
    </cfRule>
  </conditionalFormatting>
  <conditionalFormatting sqref="E56:L57 M57 E67:P69">
    <cfRule type="expression" dxfId="11844" priority="242">
      <formula>E56&gt;$AG56</formula>
    </cfRule>
  </conditionalFormatting>
  <conditionalFormatting sqref="E58:M58">
    <cfRule type="expression" dxfId="11843" priority="238">
      <formula>E$9&gt;=20/24</formula>
    </cfRule>
    <cfRule type="expression" dxfId="11842" priority="239">
      <formula>AND(E$9&gt;=14/24,E$9&lt;20/24)</formula>
    </cfRule>
    <cfRule type="expression" dxfId="11841" priority="240">
      <formula>AND(E$9&gt;=8/24,E$9&lt;14/24)</formula>
    </cfRule>
    <cfRule type="expression" dxfId="11840" priority="241">
      <formula>E$9&lt;8/24</formula>
    </cfRule>
  </conditionalFormatting>
  <conditionalFormatting sqref="E58:M58">
    <cfRule type="expression" dxfId="11839" priority="237">
      <formula>E58&gt;$AG58</formula>
    </cfRule>
  </conditionalFormatting>
  <conditionalFormatting sqref="B54:D57 B71:D71">
    <cfRule type="expression" dxfId="11838" priority="156">
      <formula>B$9&gt;=20/24</formula>
    </cfRule>
    <cfRule type="expression" dxfId="11837" priority="157">
      <formula>AND(B$9&gt;=14/24,B$9&lt;20/24)</formula>
    </cfRule>
    <cfRule type="expression" dxfId="11836" priority="158">
      <formula>AND(B$9&gt;=8/24,B$9&lt;14/24)</formula>
    </cfRule>
    <cfRule type="expression" dxfId="11835" priority="159">
      <formula>B$9&lt;8/24</formula>
    </cfRule>
  </conditionalFormatting>
  <conditionalFormatting sqref="P46:AF46">
    <cfRule type="expression" dxfId="11834" priority="233">
      <formula>P$9&gt;=20/24</formula>
    </cfRule>
    <cfRule type="expression" dxfId="11833" priority="234">
      <formula>AND(P$9&gt;=14/24,P$9&lt;20/24)</formula>
    </cfRule>
    <cfRule type="expression" dxfId="11832" priority="235">
      <formula>AND(P$9&gt;=8/24,P$9&lt;14/24)</formula>
    </cfRule>
    <cfRule type="expression" dxfId="11831" priority="236">
      <formula>P$9&lt;8/24</formula>
    </cfRule>
  </conditionalFormatting>
  <conditionalFormatting sqref="P46:AF46">
    <cfRule type="expression" dxfId="11830" priority="232">
      <formula>P46&gt;$AG46</formula>
    </cfRule>
  </conditionalFormatting>
  <conditionalFormatting sqref="C87:AF87 C89:AF89 C98:AF98 C70:AF70">
    <cfRule type="expression" dxfId="11829" priority="228">
      <formula>C$9&gt;=20/24</formula>
    </cfRule>
    <cfRule type="expression" dxfId="11828" priority="229">
      <formula>AND(C$9&gt;=14/24,C$9&lt;20/24)</formula>
    </cfRule>
    <cfRule type="expression" dxfId="11827" priority="230">
      <formula>AND(C$9&gt;=8/24,C$9&lt;14/24)</formula>
    </cfRule>
    <cfRule type="expression" dxfId="11826" priority="231">
      <formula>C$9&lt;8/24</formula>
    </cfRule>
  </conditionalFormatting>
  <conditionalFormatting sqref="C70:AF70 C48:AF48 C65:AF66">
    <cfRule type="expression" dxfId="11825" priority="227">
      <formula>C48&gt;$AG48</formula>
    </cfRule>
  </conditionalFormatting>
  <conditionalFormatting sqref="C82:AF82">
    <cfRule type="expression" dxfId="11824" priority="223">
      <formula>C$9&gt;=20/24</formula>
    </cfRule>
    <cfRule type="expression" dxfId="11823" priority="224">
      <formula>AND(C$9&gt;=14/24,C$9&lt;20/24)</formula>
    </cfRule>
    <cfRule type="expression" dxfId="11822" priority="225">
      <formula>AND(C$9&gt;=8/24,C$9&lt;14/24)</formula>
    </cfRule>
    <cfRule type="expression" dxfId="11821" priority="226">
      <formula>C$9&lt;8/24</formula>
    </cfRule>
  </conditionalFormatting>
  <conditionalFormatting sqref="C91:W95">
    <cfRule type="expression" dxfId="11820" priority="219">
      <formula>C$9&gt;=20/24</formula>
    </cfRule>
    <cfRule type="expression" dxfId="11819" priority="220">
      <formula>AND(C$9&gt;=14/24,C$9&lt;20/24)</formula>
    </cfRule>
    <cfRule type="expression" dxfId="11818" priority="221">
      <formula>AND(C$9&gt;=8/24,C$9&lt;14/24)</formula>
    </cfRule>
    <cfRule type="expression" dxfId="11817" priority="222">
      <formula>C$9&lt;8/24</formula>
    </cfRule>
  </conditionalFormatting>
  <conditionalFormatting sqref="C52:AF52">
    <cfRule type="expression" dxfId="11816" priority="210">
      <formula>C$9&gt;=20/24</formula>
    </cfRule>
    <cfRule type="expression" dxfId="11815" priority="211">
      <formula>AND(C$9&gt;=14/24,C$9&lt;20/24)</formula>
    </cfRule>
    <cfRule type="expression" dxfId="11814" priority="212">
      <formula>AND(C$9&gt;=8/24,C$9&lt;14/24)</formula>
    </cfRule>
    <cfRule type="expression" dxfId="11813" priority="213">
      <formula>C$9&lt;8/24</formula>
    </cfRule>
  </conditionalFormatting>
  <conditionalFormatting sqref="C52:AF52">
    <cfRule type="expression" dxfId="11812" priority="209">
      <formula>C52&gt;$AG52</formula>
    </cfRule>
  </conditionalFormatting>
  <conditionalFormatting sqref="B49:D51">
    <cfRule type="expression" dxfId="11811" priority="124">
      <formula>B$9&gt;=20/24</formula>
    </cfRule>
    <cfRule type="expression" dxfId="11810" priority="125">
      <formula>AND(B$9&gt;=14/24,B$9&lt;20/24)</formula>
    </cfRule>
    <cfRule type="expression" dxfId="11809" priority="126">
      <formula>AND(B$9&gt;=8/24,B$9&lt;14/24)</formula>
    </cfRule>
    <cfRule type="expression" dxfId="11808" priority="127">
      <formula>B$9&lt;8/24</formula>
    </cfRule>
  </conditionalFormatting>
  <conditionalFormatting sqref="C110">
    <cfRule type="expression" dxfId="11807" priority="201">
      <formula>C$9&gt;=20/24</formula>
    </cfRule>
    <cfRule type="expression" dxfId="11806" priority="202">
      <formula>AND(C$9&gt;=14/24,C$9&lt;20/24)</formula>
    </cfRule>
    <cfRule type="expression" dxfId="11805" priority="203">
      <formula>AND(C$9&gt;=8/24,C$9&lt;14/24)</formula>
    </cfRule>
    <cfRule type="expression" dxfId="11804" priority="204">
      <formula>C$9&lt;8/24</formula>
    </cfRule>
  </conditionalFormatting>
  <conditionalFormatting sqref="E59:AF64">
    <cfRule type="expression" dxfId="11803" priority="197">
      <formula>E$9&gt;=20/24</formula>
    </cfRule>
    <cfRule type="expression" dxfId="11802" priority="198">
      <formula>AND(E$9&gt;=14/24,E$9&lt;20/24)</formula>
    </cfRule>
    <cfRule type="expression" dxfId="11801" priority="199">
      <formula>AND(E$9&gt;=8/24,E$9&lt;14/24)</formula>
    </cfRule>
    <cfRule type="expression" dxfId="11800" priority="200">
      <formula>E$9&lt;8/24</formula>
    </cfRule>
  </conditionalFormatting>
  <conditionalFormatting sqref="E59:AF64">
    <cfRule type="expression" dxfId="11799" priority="196">
      <formula>E59&gt;$AG59</formula>
    </cfRule>
  </conditionalFormatting>
  <conditionalFormatting sqref="P45:AF45 F13:AF15">
    <cfRule type="expression" dxfId="11798" priority="195">
      <formula>F13&gt;$AG13</formula>
    </cfRule>
  </conditionalFormatting>
  <conditionalFormatting sqref="E12:AF12">
    <cfRule type="expression" dxfId="11797" priority="191">
      <formula>E$9&gt;=20/24</formula>
    </cfRule>
    <cfRule type="expression" dxfId="11796" priority="192">
      <formula>AND(E$9&gt;=14/24,E$9&lt;20/24)</formula>
    </cfRule>
    <cfRule type="expression" dxfId="11795" priority="193">
      <formula>AND(E$9&gt;=8/24,E$9&lt;14/24)</formula>
    </cfRule>
    <cfRule type="expression" dxfId="11794" priority="194">
      <formula>E$9&lt;8/24</formula>
    </cfRule>
  </conditionalFormatting>
  <conditionalFormatting sqref="E12:AF12">
    <cfRule type="expression" dxfId="11793" priority="190">
      <formula>E12&gt;$AG12</formula>
    </cfRule>
  </conditionalFormatting>
  <conditionalFormatting sqref="F13:AF15">
    <cfRule type="expression" dxfId="11792" priority="186">
      <formula>F$9&gt;=20/24</formula>
    </cfRule>
    <cfRule type="expression" dxfId="11791" priority="187">
      <formula>AND(F$9&gt;=14/24,F$9&lt;20/24)</formula>
    </cfRule>
    <cfRule type="expression" dxfId="11790" priority="188">
      <formula>AND(F$9&gt;=8/24,F$9&lt;14/24)</formula>
    </cfRule>
    <cfRule type="expression" dxfId="11789" priority="189">
      <formula>F$9&lt;8/24</formula>
    </cfRule>
  </conditionalFormatting>
  <conditionalFormatting sqref="P45:AF45">
    <cfRule type="expression" dxfId="11788" priority="182">
      <formula>P$9&gt;=20/24</formula>
    </cfRule>
    <cfRule type="expression" dxfId="11787" priority="183">
      <formula>AND(P$9&gt;=14/24,P$9&lt;20/24)</formula>
    </cfRule>
    <cfRule type="expression" dxfId="11786" priority="184">
      <formula>AND(P$9&gt;=8/24,P$9&lt;14/24)</formula>
    </cfRule>
    <cfRule type="expression" dxfId="11785" priority="185">
      <formula>P$9&lt;8/24</formula>
    </cfRule>
  </conditionalFormatting>
  <conditionalFormatting sqref="E77:AF81">
    <cfRule type="expression" dxfId="11784" priority="178">
      <formula>E$9&gt;=20/24</formula>
    </cfRule>
    <cfRule type="expression" dxfId="11783" priority="179">
      <formula>AND(E$9&gt;=14/24,E$9&lt;20/24)</formula>
    </cfRule>
    <cfRule type="expression" dxfId="11782" priority="180">
      <formula>AND(E$9&gt;=8/24,E$9&lt;14/24)</formula>
    </cfRule>
    <cfRule type="expression" dxfId="11781" priority="181">
      <formula>E$9&lt;8/24</formula>
    </cfRule>
  </conditionalFormatting>
  <conditionalFormatting sqref="AL78:AN78 AL84:AN84 AN79:AN80">
    <cfRule type="expression" dxfId="11780" priority="174">
      <formula>AL$9&gt;=20/24</formula>
    </cfRule>
    <cfRule type="expression" dxfId="11779" priority="175">
      <formula>AND(AL$9&gt;=14/24,AL$9&lt;20/24)</formula>
    </cfRule>
    <cfRule type="expression" dxfId="11778" priority="176">
      <formula>AND(AL$9&gt;=8/24,AL$9&lt;14/24)</formula>
    </cfRule>
    <cfRule type="expression" dxfId="11777" priority="177">
      <formula>AL$9&lt;8/24</formula>
    </cfRule>
  </conditionalFormatting>
  <conditionalFormatting sqref="AN81:AN82">
    <cfRule type="expression" dxfId="11776" priority="170">
      <formula>AN$9&gt;=20/24</formula>
    </cfRule>
    <cfRule type="expression" dxfId="11775" priority="171">
      <formula>AND(AN$9&gt;=14/24,AN$9&lt;20/24)</formula>
    </cfRule>
    <cfRule type="expression" dxfId="11774" priority="172">
      <formula>AND(AN$9&gt;=8/24,AN$9&lt;14/24)</formula>
    </cfRule>
    <cfRule type="expression" dxfId="11773" priority="173">
      <formula>AN$9&lt;8/24</formula>
    </cfRule>
  </conditionalFormatting>
  <conditionalFormatting sqref="AL79:AM83">
    <cfRule type="expression" dxfId="11772" priority="414">
      <formula>AJ$9&gt;=20/24</formula>
    </cfRule>
    <cfRule type="expression" dxfId="11771" priority="415">
      <formula>AND(AJ$9&gt;=14/24,AJ$9&lt;20/24)</formula>
    </cfRule>
    <cfRule type="expression" dxfId="11770" priority="416">
      <formula>AND(AJ$9&gt;=8/24,AJ$9&lt;14/24)</formula>
    </cfRule>
    <cfRule type="expression" dxfId="11769" priority="417">
      <formula>AJ$9&lt;8/24</formula>
    </cfRule>
  </conditionalFormatting>
  <conditionalFormatting sqref="A117">
    <cfRule type="expression" dxfId="11768" priority="169">
      <formula>$AH117=0</formula>
    </cfRule>
  </conditionalFormatting>
  <conditionalFormatting sqref="B109 B111:B116 B12:D15 E13:E15 B17:E32 F19:O32 B34:O43 B45:O45">
    <cfRule type="expression" dxfId="11767" priority="165">
      <formula>B$9&gt;=20/24</formula>
    </cfRule>
    <cfRule type="expression" dxfId="11766" priority="166">
      <formula>AND(B$9&gt;=14/24,B$9&lt;20/24)</formula>
    </cfRule>
    <cfRule type="expression" dxfId="11765" priority="167">
      <formula>AND(B$9&gt;=8/24,B$9&lt;14/24)</formula>
    </cfRule>
    <cfRule type="expression" dxfId="11764" priority="168">
      <formula>B$9&lt;8/24</formula>
    </cfRule>
  </conditionalFormatting>
  <conditionalFormatting sqref="B12:D15 E13:E15 B17:E32 F19:O32 B34:O43 B45:O45">
    <cfRule type="expression" dxfId="11763" priority="164">
      <formula>B12&gt;$AG12</formula>
    </cfRule>
  </conditionalFormatting>
  <conditionalFormatting sqref="B99">
    <cfRule type="expression" dxfId="11762" priority="160">
      <formula>B$9&gt;=20/24</formula>
    </cfRule>
    <cfRule type="expression" dxfId="11761" priority="161">
      <formula>AND(B$9&gt;=14/24,B$9&lt;20/24)</formula>
    </cfRule>
    <cfRule type="expression" dxfId="11760" priority="162">
      <formula>AND(B$9&gt;=8/24,B$9&lt;14/24)</formula>
    </cfRule>
    <cfRule type="expression" dxfId="11759" priority="163">
      <formula>B$9&lt;8/24</formula>
    </cfRule>
  </conditionalFormatting>
  <conditionalFormatting sqref="B53:D53">
    <cfRule type="expression" dxfId="11758" priority="152">
      <formula>B$9&gt;=20/24</formula>
    </cfRule>
    <cfRule type="expression" dxfId="11757" priority="153">
      <formula>AND(B$9&gt;=14/24,B$9&lt;20/24)</formula>
    </cfRule>
    <cfRule type="expression" dxfId="11756" priority="154">
      <formula>AND(B$9&gt;=8/24,B$9&lt;14/24)</formula>
    </cfRule>
    <cfRule type="expression" dxfId="11755" priority="155">
      <formula>B$9&lt;8/24</formula>
    </cfRule>
  </conditionalFormatting>
  <conditionalFormatting sqref="B53:D57">
    <cfRule type="expression" dxfId="11754" priority="151">
      <formula>B53&gt;$AG53</formula>
    </cfRule>
  </conditionalFormatting>
  <conditionalFormatting sqref="B96 B100:B106 B86 B47 B67:D69 B72:D74">
    <cfRule type="expression" dxfId="11753" priority="147">
      <formula>B$9&gt;=20/24</formula>
    </cfRule>
    <cfRule type="expression" dxfId="11752" priority="148">
      <formula>AND(B$9&gt;=14/24,B$9&lt;20/24)</formula>
    </cfRule>
    <cfRule type="expression" dxfId="11751" priority="149">
      <formula>AND(B$9&gt;=8/24,B$9&lt;14/24)</formula>
    </cfRule>
    <cfRule type="expression" dxfId="11750" priority="150">
      <formula>B$9&lt;8/24</formula>
    </cfRule>
  </conditionalFormatting>
  <conditionalFormatting sqref="B47 B67:D69">
    <cfRule type="expression" dxfId="11749" priority="146">
      <formula>B47&gt;$AG47</formula>
    </cfRule>
  </conditionalFormatting>
  <conditionalFormatting sqref="B97 B88:C88">
    <cfRule type="expression" dxfId="11748" priority="142">
      <formula>B$9&gt;=20/24</formula>
    </cfRule>
    <cfRule type="expression" dxfId="11747" priority="143">
      <formula>AND(B$9&gt;=14/24,B$9&lt;20/24)</formula>
    </cfRule>
    <cfRule type="expression" dxfId="11746" priority="144">
      <formula>AND(B$9&gt;=8/24,B$9&lt;14/24)</formula>
    </cfRule>
    <cfRule type="expression" dxfId="11745" priority="145">
      <formula>B$9&lt;8/24</formula>
    </cfRule>
  </conditionalFormatting>
  <conditionalFormatting sqref="B46:O46">
    <cfRule type="expression" dxfId="11744" priority="138">
      <formula>B$9&gt;=20/24</formula>
    </cfRule>
    <cfRule type="expression" dxfId="11743" priority="139">
      <formula>AND(B$9&gt;=14/24,B$9&lt;20/24)</formula>
    </cfRule>
    <cfRule type="expression" dxfId="11742" priority="140">
      <formula>AND(B$9&gt;=8/24,B$9&lt;14/24)</formula>
    </cfRule>
    <cfRule type="expression" dxfId="11741" priority="141">
      <formula>B$9&lt;8/24</formula>
    </cfRule>
  </conditionalFormatting>
  <conditionalFormatting sqref="B46:O46">
    <cfRule type="expression" dxfId="11740" priority="137">
      <formula>B46&gt;$AG46</formula>
    </cfRule>
  </conditionalFormatting>
  <conditionalFormatting sqref="B58:D58">
    <cfRule type="expression" dxfId="11739" priority="133">
      <formula>B$9&gt;=20/24</formula>
    </cfRule>
    <cfRule type="expression" dxfId="11738" priority="134">
      <formula>AND(B$9&gt;=14/24,B$9&lt;20/24)</formula>
    </cfRule>
    <cfRule type="expression" dxfId="11737" priority="135">
      <formula>AND(B$9&gt;=8/24,B$9&lt;14/24)</formula>
    </cfRule>
    <cfRule type="expression" dxfId="11736" priority="136">
      <formula>B$9&lt;8/24</formula>
    </cfRule>
  </conditionalFormatting>
  <conditionalFormatting sqref="B58:D58">
    <cfRule type="expression" dxfId="11735" priority="132">
      <formula>B58&gt;$AG58</formula>
    </cfRule>
  </conditionalFormatting>
  <conditionalFormatting sqref="B91:B95">
    <cfRule type="expression" dxfId="11734" priority="128">
      <formula>B$9&gt;=20/24</formula>
    </cfRule>
    <cfRule type="expression" dxfId="11733" priority="129">
      <formula>AND(B$9&gt;=14/24,B$9&lt;20/24)</formula>
    </cfRule>
    <cfRule type="expression" dxfId="11732" priority="130">
      <formula>AND(B$9&gt;=8/24,B$9&lt;14/24)</formula>
    </cfRule>
    <cfRule type="expression" dxfId="11731" priority="131">
      <formula>B$9&lt;8/24</formula>
    </cfRule>
  </conditionalFormatting>
  <conditionalFormatting sqref="B49:D51">
    <cfRule type="expression" dxfId="11730" priority="123">
      <formula>B49&gt;$AG49</formula>
    </cfRule>
  </conditionalFormatting>
  <conditionalFormatting sqref="B107">
    <cfRule type="expression" dxfId="11729" priority="119">
      <formula>B$9&gt;=20/24</formula>
    </cfRule>
    <cfRule type="expression" dxfId="11728" priority="120">
      <formula>AND(B$9&gt;=14/24,B$9&lt;20/24)</formula>
    </cfRule>
    <cfRule type="expression" dxfId="11727" priority="121">
      <formula>AND(B$9&gt;=8/24,B$9&lt;14/24)</formula>
    </cfRule>
    <cfRule type="expression" dxfId="11726" priority="122">
      <formula>B$9&lt;8/24</formula>
    </cfRule>
  </conditionalFormatting>
  <conditionalFormatting sqref="B110">
    <cfRule type="expression" dxfId="11725" priority="111">
      <formula>B$9&gt;=20/24</formula>
    </cfRule>
    <cfRule type="expression" dxfId="11724" priority="112">
      <formula>AND(B$9&gt;=14/24,B$9&lt;20/24)</formula>
    </cfRule>
    <cfRule type="expression" dxfId="11723" priority="113">
      <formula>AND(B$9&gt;=8/24,B$9&lt;14/24)</formula>
    </cfRule>
    <cfRule type="expression" dxfId="11722" priority="114">
      <formula>B$9&lt;8/24</formula>
    </cfRule>
  </conditionalFormatting>
  <conditionalFormatting sqref="B83:B85 B75:D76">
    <cfRule type="expression" dxfId="11721" priority="107">
      <formula>B$9&gt;=20/24</formula>
    </cfRule>
    <cfRule type="expression" dxfId="11720" priority="108">
      <formula>AND(B$9&gt;=14/24,B$9&lt;20/24)</formula>
    </cfRule>
    <cfRule type="expression" dxfId="11719" priority="109">
      <formula>AND(B$9&gt;=8/24,B$9&lt;14/24)</formula>
    </cfRule>
    <cfRule type="expression" dxfId="11718" priority="110">
      <formula>B$9&lt;8/24</formula>
    </cfRule>
  </conditionalFormatting>
  <conditionalFormatting sqref="B89 B98 B70 B87">
    <cfRule type="expression" dxfId="11717" priority="103">
      <formula>B$9&gt;=20/24</formula>
    </cfRule>
    <cfRule type="expression" dxfId="11716" priority="104">
      <formula>AND(B$9&gt;=14/24,B$9&lt;20/24)</formula>
    </cfRule>
    <cfRule type="expression" dxfId="11715" priority="105">
      <formula>AND(B$9&gt;=8/24,B$9&lt;14/24)</formula>
    </cfRule>
    <cfRule type="expression" dxfId="11714" priority="106">
      <formula>B$9&lt;8/24</formula>
    </cfRule>
  </conditionalFormatting>
  <conditionalFormatting sqref="B48 B65:B66 B70">
    <cfRule type="expression" dxfId="11713" priority="102">
      <formula>B48&gt;$AG48</formula>
    </cfRule>
  </conditionalFormatting>
  <conditionalFormatting sqref="B82">
    <cfRule type="expression" dxfId="11712" priority="98">
      <formula>B$9&gt;=20/24</formula>
    </cfRule>
    <cfRule type="expression" dxfId="11711" priority="99">
      <formula>AND(B$9&gt;=14/24,B$9&lt;20/24)</formula>
    </cfRule>
    <cfRule type="expression" dxfId="11710" priority="100">
      <formula>AND(B$9&gt;=8/24,B$9&lt;14/24)</formula>
    </cfRule>
    <cfRule type="expression" dxfId="11709" priority="101">
      <formula>B$9&lt;8/24</formula>
    </cfRule>
  </conditionalFormatting>
  <conditionalFormatting sqref="B52">
    <cfRule type="expression" dxfId="11708" priority="94">
      <formula>B$9&gt;=20/24</formula>
    </cfRule>
    <cfRule type="expression" dxfId="11707" priority="95">
      <formula>AND(B$9&gt;=14/24,B$9&lt;20/24)</formula>
    </cfRule>
    <cfRule type="expression" dxfId="11706" priority="96">
      <formula>AND(B$9&gt;=8/24,B$9&lt;14/24)</formula>
    </cfRule>
    <cfRule type="expression" dxfId="11705" priority="97">
      <formula>B$9&lt;8/24</formula>
    </cfRule>
  </conditionalFormatting>
  <conditionalFormatting sqref="B52">
    <cfRule type="expression" dxfId="11704" priority="93">
      <formula>B52&gt;$AG52</formula>
    </cfRule>
  </conditionalFormatting>
  <conditionalFormatting sqref="B59:D64">
    <cfRule type="expression" dxfId="11703" priority="85">
      <formula>B$9&gt;=20/24</formula>
    </cfRule>
    <cfRule type="expression" dxfId="11702" priority="86">
      <formula>AND(B$9&gt;=14/24,B$9&lt;20/24)</formula>
    </cfRule>
    <cfRule type="expression" dxfId="11701" priority="87">
      <formula>AND(B$9&gt;=8/24,B$9&lt;14/24)</formula>
    </cfRule>
    <cfRule type="expression" dxfId="11700" priority="88">
      <formula>B$9&lt;8/24</formula>
    </cfRule>
  </conditionalFormatting>
  <conditionalFormatting sqref="B59:D64">
    <cfRule type="expression" dxfId="11699" priority="84">
      <formula>B59&gt;$AG59</formula>
    </cfRule>
  </conditionalFormatting>
  <conditionalFormatting sqref="B77:D81">
    <cfRule type="expression" dxfId="11698" priority="80">
      <formula>B$9&gt;=20/24</formula>
    </cfRule>
    <cfRule type="expression" dxfId="11697" priority="81">
      <formula>AND(B$9&gt;=14/24,B$9&lt;20/24)</formula>
    </cfRule>
    <cfRule type="expression" dxfId="11696" priority="82">
      <formula>AND(B$9&gt;=8/24,B$9&lt;14/24)</formula>
    </cfRule>
    <cfRule type="expression" dxfId="11695" priority="83">
      <formula>B$9&lt;8/24</formula>
    </cfRule>
  </conditionalFormatting>
  <conditionalFormatting sqref="A11">
    <cfRule type="expression" dxfId="11694" priority="74">
      <formula>$AH11=0</formula>
    </cfRule>
  </conditionalFormatting>
  <conditionalFormatting sqref="E11:AF11">
    <cfRule type="expression" dxfId="11693" priority="70">
      <formula>E$9&gt;=20/24</formula>
    </cfRule>
    <cfRule type="expression" dxfId="11692" priority="71">
      <formula>AND(E$9&gt;=14/24,E$9&lt;20/24)</formula>
    </cfRule>
    <cfRule type="expression" dxfId="11691" priority="72">
      <formula>AND(E$9&gt;=8/24,E$9&lt;14/24)</formula>
    </cfRule>
    <cfRule type="expression" dxfId="11690" priority="73">
      <formula>E$9&lt;8/24</formula>
    </cfRule>
  </conditionalFormatting>
  <conditionalFormatting sqref="E11:AF11">
    <cfRule type="expression" dxfId="11689" priority="69">
      <formula>E11&gt;$AG11</formula>
    </cfRule>
  </conditionalFormatting>
  <conditionalFormatting sqref="B11:D11">
    <cfRule type="expression" dxfId="11688" priority="65">
      <formula>B$9&gt;=20/24</formula>
    </cfRule>
    <cfRule type="expression" dxfId="11687" priority="66">
      <formula>AND(B$9&gt;=14/24,B$9&lt;20/24)</formula>
    </cfRule>
    <cfRule type="expression" dxfId="11686" priority="67">
      <formula>AND(B$9&gt;=8/24,B$9&lt;14/24)</formula>
    </cfRule>
    <cfRule type="expression" dxfId="11685" priority="68">
      <formula>B$9&lt;8/24</formula>
    </cfRule>
  </conditionalFormatting>
  <conditionalFormatting sqref="B11:D11">
    <cfRule type="expression" dxfId="11684" priority="64">
      <formula>B11&gt;$AG11</formula>
    </cfRule>
  </conditionalFormatting>
  <conditionalFormatting sqref="A16">
    <cfRule type="expression" dxfId="11683" priority="57">
      <formula>$AH16=0</formula>
    </cfRule>
  </conditionalFormatting>
  <conditionalFormatting sqref="AL16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F16:AF16">
    <cfRule type="expression" dxfId="11682" priority="53">
      <formula>F$9&gt;=20/24</formula>
    </cfRule>
    <cfRule type="expression" dxfId="11681" priority="54">
      <formula>AND(F$9&gt;=14/24,F$9&lt;20/24)</formula>
    </cfRule>
    <cfRule type="expression" dxfId="11680" priority="55">
      <formula>AND(F$9&gt;=8/24,F$9&lt;14/24)</formula>
    </cfRule>
    <cfRule type="expression" dxfId="11679" priority="56">
      <formula>F$9&lt;8/24</formula>
    </cfRule>
  </conditionalFormatting>
  <conditionalFormatting sqref="F16:AF16">
    <cfRule type="expression" dxfId="11678" priority="52">
      <formula>F16&gt;$AG16</formula>
    </cfRule>
  </conditionalFormatting>
  <conditionalFormatting sqref="B16:E16">
    <cfRule type="expression" dxfId="11677" priority="48">
      <formula>B$9&gt;=20/24</formula>
    </cfRule>
    <cfRule type="expression" dxfId="11676" priority="49">
      <formula>AND(B$9&gt;=14/24,B$9&lt;20/24)</formula>
    </cfRule>
    <cfRule type="expression" dxfId="11675" priority="50">
      <formula>AND(B$9&gt;=8/24,B$9&lt;14/24)</formula>
    </cfRule>
    <cfRule type="expression" dxfId="11674" priority="51">
      <formula>B$9&lt;8/24</formula>
    </cfRule>
  </conditionalFormatting>
  <conditionalFormatting sqref="B16:E16">
    <cfRule type="expression" dxfId="11673" priority="47">
      <formula>B16&gt;$AG16</formula>
    </cfRule>
  </conditionalFormatting>
  <conditionalFormatting sqref="A33">
    <cfRule type="expression" dxfId="11672" priority="40">
      <formula>$AH33=0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P33:AF33">
    <cfRule type="expression" dxfId="11671" priority="36">
      <formula>P$9&gt;=20/24</formula>
    </cfRule>
    <cfRule type="expression" dxfId="11670" priority="37">
      <formula>AND(P$9&gt;=14/24,P$9&lt;20/24)</formula>
    </cfRule>
    <cfRule type="expression" dxfId="11669" priority="38">
      <formula>AND(P$9&gt;=8/24,P$9&lt;14/24)</formula>
    </cfRule>
    <cfRule type="expression" dxfId="11668" priority="39">
      <formula>P$9&lt;8/24</formula>
    </cfRule>
  </conditionalFormatting>
  <conditionalFormatting sqref="P33:AF33">
    <cfRule type="expression" dxfId="11667" priority="35">
      <formula>P33&gt;$AG33</formula>
    </cfRule>
  </conditionalFormatting>
  <conditionalFormatting sqref="B33:O33">
    <cfRule type="expression" dxfId="11666" priority="31">
      <formula>B$9&gt;=20/24</formula>
    </cfRule>
    <cfRule type="expression" dxfId="11665" priority="32">
      <formula>AND(B$9&gt;=14/24,B$9&lt;20/24)</formula>
    </cfRule>
    <cfRule type="expression" dxfId="11664" priority="33">
      <formula>AND(B$9&gt;=8/24,B$9&lt;14/24)</formula>
    </cfRule>
    <cfRule type="expression" dxfId="11663" priority="34">
      <formula>B$9&lt;8/24</formula>
    </cfRule>
  </conditionalFormatting>
  <conditionalFormatting sqref="B33:O33">
    <cfRule type="expression" dxfId="11662" priority="30">
      <formula>B33&gt;$AG33</formula>
    </cfRule>
  </conditionalFormatting>
  <conditionalFormatting sqref="A44">
    <cfRule type="expression" dxfId="11661" priority="23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P44:AF44">
    <cfRule type="expression" dxfId="11660" priority="22">
      <formula>P44&gt;$AG44</formula>
    </cfRule>
  </conditionalFormatting>
  <conditionalFormatting sqref="P44:AF44">
    <cfRule type="expression" dxfId="11659" priority="18">
      <formula>P$9&gt;=20/24</formula>
    </cfRule>
    <cfRule type="expression" dxfId="11658" priority="19">
      <formula>AND(P$9&gt;=14/24,P$9&lt;20/24)</formula>
    </cfRule>
    <cfRule type="expression" dxfId="11657" priority="20">
      <formula>AND(P$9&gt;=8/24,P$9&lt;14/24)</formula>
    </cfRule>
    <cfRule type="expression" dxfId="11656" priority="21">
      <formula>P$9&lt;8/24</formula>
    </cfRule>
  </conditionalFormatting>
  <conditionalFormatting sqref="B44:O44">
    <cfRule type="expression" dxfId="11655" priority="14">
      <formula>B$9&gt;=20/24</formula>
    </cfRule>
    <cfRule type="expression" dxfId="11654" priority="15">
      <formula>AND(B$9&gt;=14/24,B$9&lt;20/24)</formula>
    </cfRule>
    <cfRule type="expression" dxfId="11653" priority="16">
      <formula>AND(B$9&gt;=8/24,B$9&lt;14/24)</formula>
    </cfRule>
    <cfRule type="expression" dxfId="11652" priority="17">
      <formula>B$9&lt;8/24</formula>
    </cfRule>
  </conditionalFormatting>
  <conditionalFormatting sqref="B44:O44">
    <cfRule type="expression" dxfId="11651" priority="13">
      <formula>B44&gt;$AG44</formula>
    </cfRule>
  </conditionalFormatting>
  <conditionalFormatting sqref="B117">
    <cfRule type="expression" dxfId="11650" priority="1">
      <formula>B$9&gt;=20/24</formula>
    </cfRule>
    <cfRule type="expression" dxfId="11649" priority="2">
      <formula>AND(B$9&gt;=14/24,B$9&lt;20/24)</formula>
    </cfRule>
    <cfRule type="expression" dxfId="11648" priority="3">
      <formula>AND(B$9&gt;=8/24,B$9&lt;14/24)</formula>
    </cfRule>
    <cfRule type="expression" dxfId="11647" priority="4">
      <formula>B$9&lt;8/24</formula>
    </cfRule>
  </conditionalFormatting>
  <conditionalFormatting sqref="D117:AF117">
    <cfRule type="expression" dxfId="11646" priority="9">
      <formula>D$9&gt;=20/24</formula>
    </cfRule>
    <cfRule type="expression" dxfId="11645" priority="10">
      <formula>AND(D$9&gt;=14/24,D$9&lt;20/24)</formula>
    </cfRule>
    <cfRule type="expression" dxfId="11644" priority="11">
      <formula>AND(D$9&gt;=8/24,D$9&lt;14/24)</formula>
    </cfRule>
    <cfRule type="expression" dxfId="11643" priority="12">
      <formula>D$9&lt;8/24</formula>
    </cfRule>
  </conditionalFormatting>
  <conditionalFormatting sqref="C117">
    <cfRule type="expression" dxfId="11642" priority="5">
      <formula>C$9&gt;=20/24</formula>
    </cfRule>
    <cfRule type="expression" dxfId="11641" priority="6">
      <formula>AND(C$9&gt;=14/24,C$9&lt;20/24)</formula>
    </cfRule>
    <cfRule type="expression" dxfId="11640" priority="7">
      <formula>AND(C$9&gt;=8/24,C$9&lt;14/24)</formula>
    </cfRule>
    <cfRule type="expression" dxfId="11639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5" id="{BC5D41AA-966A-4924-99DE-C36244B9516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6" id="{CACF81BC-2CBD-4605-B1F4-5D3D7E1540A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7" id="{FF9F4C0C-FBEB-41CD-BE83-5C6EB45445D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8" id="{77967CBF-2F57-4BE8-B1BB-9E87CADA992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89" id="{3B7EEC3C-7C5C-4A08-8131-7A2B1149D22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0" id="{2B4D2AF6-B9D9-45E2-93C7-530DBF3993B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1" id="{57DBF2E6-A148-46F5-803A-46D7162ED59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2" id="{B9D41A8D-411C-4B0E-874A-BD684C1E5F8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98" activePane="bottomLeft" state="frozen"/>
      <selection activeCell="Z85" sqref="Z85"/>
      <selection pane="bottomLeft" activeCell="K117" sqref="K117:N11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7.140625" style="2" customWidth="1"/>
    <col min="4" max="8" width="7" style="2" customWidth="1"/>
    <col min="9" max="9" width="7.7109375" style="2" customWidth="1"/>
    <col min="10" max="10" width="6.28515625" style="2" bestFit="1" customWidth="1"/>
    <col min="11" max="11" width="6" style="2" bestFit="1" customWidth="1"/>
    <col min="12" max="12" width="7.42578125" style="2" customWidth="1"/>
    <col min="13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</v>
      </c>
      <c r="C4" s="196"/>
      <c r="D4" s="196"/>
      <c r="E4" s="197" t="str">
        <f ca="1">"2079/"&amp;"12/"&amp;INT(MID(CELL("filename",G6),FIND("]",CELL("filename",G6))+1,200))</f>
        <v>2079/12/2</v>
      </c>
      <c r="F4" s="197"/>
      <c r="G4" s="197"/>
      <c r="H4" s="197" t="str">
        <f ca="1">TEXT(E4,"dddd")</f>
        <v>Saturday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558.20000000000005</v>
      </c>
      <c r="C5" s="33">
        <f t="shared" si="0"/>
        <v>565</v>
      </c>
      <c r="D5" s="33">
        <f t="shared" si="0"/>
        <v>549.19999999999993</v>
      </c>
      <c r="E5" s="33">
        <f t="shared" si="0"/>
        <v>560.19999999999993</v>
      </c>
      <c r="F5" s="33">
        <f t="shared" si="0"/>
        <v>606.19999999999993</v>
      </c>
      <c r="G5" s="33">
        <f t="shared" si="0"/>
        <v>549.19999999999993</v>
      </c>
      <c r="H5" s="33">
        <f t="shared" si="0"/>
        <v>530.29999999999995</v>
      </c>
      <c r="I5" s="33">
        <f t="shared" si="0"/>
        <v>479.7</v>
      </c>
      <c r="J5" s="33">
        <f t="shared" si="0"/>
        <v>469.7</v>
      </c>
      <c r="K5" s="33">
        <f t="shared" si="0"/>
        <v>471.8</v>
      </c>
      <c r="L5" s="33">
        <f t="shared" si="0"/>
        <v>541</v>
      </c>
      <c r="M5" s="33">
        <f t="shared" si="0"/>
        <v>562</v>
      </c>
      <c r="N5" s="33">
        <f t="shared" si="0"/>
        <v>557.70000000000005</v>
      </c>
      <c r="O5" s="33">
        <f t="shared" si="0"/>
        <v>542.79999999999995</v>
      </c>
      <c r="P5" s="33">
        <f t="shared" si="0"/>
        <v>588.79999999999995</v>
      </c>
      <c r="Q5" s="33">
        <f t="shared" si="0"/>
        <v>586.20000000000005</v>
      </c>
      <c r="R5" s="33">
        <f t="shared" si="0"/>
        <v>604.59999999999991</v>
      </c>
      <c r="S5" s="33">
        <f t="shared" si="0"/>
        <v>560.90000000000009</v>
      </c>
      <c r="T5" s="33">
        <f t="shared" si="0"/>
        <v>569.4</v>
      </c>
      <c r="U5" s="33">
        <f t="shared" si="0"/>
        <v>535.1</v>
      </c>
      <c r="V5" s="33">
        <f t="shared" si="0"/>
        <v>541</v>
      </c>
      <c r="W5" s="33">
        <f t="shared" si="0"/>
        <v>548.5</v>
      </c>
      <c r="X5" s="33">
        <f t="shared" si="0"/>
        <v>577</v>
      </c>
      <c r="Y5" s="33">
        <f t="shared" si="0"/>
        <v>526</v>
      </c>
      <c r="Z5" s="33">
        <f t="shared" si="0"/>
        <v>499</v>
      </c>
      <c r="AA5" s="33">
        <f t="shared" si="0"/>
        <v>496</v>
      </c>
      <c r="AB5" s="33">
        <f t="shared" si="0"/>
        <v>544.70000000000005</v>
      </c>
      <c r="AC5" s="33">
        <f t="shared" si="0"/>
        <v>537.1</v>
      </c>
      <c r="AD5" s="33">
        <f t="shared" si="0"/>
        <v>551.4</v>
      </c>
      <c r="AE5" s="33">
        <f t="shared" si="0"/>
        <v>533.19999999999993</v>
      </c>
      <c r="AF5" s="33">
        <f>B82</f>
        <v>557.70000000000005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1455MW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Load=1080</v>
      </c>
      <c r="B7" s="38">
        <f t="shared" ref="B7:AF7" si="1">B89</f>
        <v>1151.44</v>
      </c>
      <c r="C7" s="38">
        <f t="shared" si="1"/>
        <v>1105.74</v>
      </c>
      <c r="D7" s="38">
        <f t="shared" si="1"/>
        <v>1095.8400000000001</v>
      </c>
      <c r="E7" s="38">
        <f t="shared" si="1"/>
        <v>1080.04</v>
      </c>
      <c r="F7" s="38">
        <f t="shared" si="1"/>
        <v>1091.04</v>
      </c>
      <c r="G7" s="38">
        <f t="shared" si="1"/>
        <v>1137.04</v>
      </c>
      <c r="H7" s="38">
        <f t="shared" si="1"/>
        <v>1140.04</v>
      </c>
      <c r="I7" s="38">
        <f t="shared" si="1"/>
        <v>1252.1399999999999</v>
      </c>
      <c r="J7" s="38">
        <f t="shared" si="1"/>
        <v>1305.54</v>
      </c>
      <c r="K7" s="38">
        <f t="shared" si="1"/>
        <v>1387.44</v>
      </c>
      <c r="L7" s="38">
        <f t="shared" si="1"/>
        <v>1401.54</v>
      </c>
      <c r="M7" s="38">
        <f t="shared" si="1"/>
        <v>1455.2400000000002</v>
      </c>
      <c r="N7" s="38">
        <f>N89</f>
        <v>1375.6399999999999</v>
      </c>
      <c r="O7" s="38">
        <f t="shared" si="1"/>
        <v>1256.2400000000002</v>
      </c>
      <c r="P7" s="38">
        <f t="shared" si="1"/>
        <v>1190.74</v>
      </c>
      <c r="Q7" s="38">
        <f t="shared" si="1"/>
        <v>1298.44</v>
      </c>
      <c r="R7" s="38">
        <f t="shared" si="1"/>
        <v>1294.8400000000001</v>
      </c>
      <c r="S7" s="38">
        <f t="shared" si="1"/>
        <v>1314.6399999999999</v>
      </c>
      <c r="T7" s="38">
        <f t="shared" si="1"/>
        <v>1363.64</v>
      </c>
      <c r="U7" s="38">
        <f t="shared" si="1"/>
        <v>1356.44</v>
      </c>
      <c r="V7" s="38">
        <f t="shared" si="1"/>
        <v>1281.6399999999999</v>
      </c>
      <c r="W7" s="38">
        <f t="shared" si="1"/>
        <v>1331.54</v>
      </c>
      <c r="X7" s="38">
        <f t="shared" si="1"/>
        <v>1419.74</v>
      </c>
      <c r="Y7" s="38">
        <f t="shared" si="1"/>
        <v>1604.04</v>
      </c>
      <c r="Z7" s="38">
        <f t="shared" si="1"/>
        <v>1585.54</v>
      </c>
      <c r="AA7" s="38">
        <f t="shared" si="1"/>
        <v>1476.04</v>
      </c>
      <c r="AB7" s="38">
        <f t="shared" si="1"/>
        <v>1424.54</v>
      </c>
      <c r="AC7" s="38">
        <f t="shared" si="1"/>
        <v>1419.04</v>
      </c>
      <c r="AD7" s="38">
        <f t="shared" si="1"/>
        <v>1304.94</v>
      </c>
      <c r="AE7" s="38">
        <f t="shared" si="1"/>
        <v>1213.8400000000001</v>
      </c>
      <c r="AF7" s="38">
        <f t="shared" si="1"/>
        <v>1139.3399999999999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22</v>
      </c>
      <c r="C11" s="50">
        <v>22</v>
      </c>
      <c r="D11" s="50">
        <v>22</v>
      </c>
      <c r="E11" s="50">
        <v>22</v>
      </c>
      <c r="F11" s="50">
        <v>22</v>
      </c>
      <c r="G11" s="50">
        <v>22</v>
      </c>
      <c r="H11" s="50">
        <v>22</v>
      </c>
      <c r="I11" s="50">
        <v>22</v>
      </c>
      <c r="J11" s="50">
        <v>22</v>
      </c>
      <c r="K11" s="50">
        <v>22</v>
      </c>
      <c r="L11" s="50">
        <v>22</v>
      </c>
      <c r="M11" s="50">
        <v>24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24</v>
      </c>
      <c r="T11" s="50">
        <v>24</v>
      </c>
      <c r="U11" s="50">
        <v>24</v>
      </c>
      <c r="V11" s="50">
        <v>24</v>
      </c>
      <c r="W11" s="50">
        <v>24</v>
      </c>
      <c r="X11" s="50">
        <v>24</v>
      </c>
      <c r="Y11" s="50">
        <v>24</v>
      </c>
      <c r="Z11" s="50">
        <v>24</v>
      </c>
      <c r="AA11" s="50">
        <v>24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22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13.6</v>
      </c>
      <c r="C12" s="50">
        <v>14.8</v>
      </c>
      <c r="D12" s="50">
        <v>14.6</v>
      </c>
      <c r="E12" s="50">
        <v>14.6</v>
      </c>
      <c r="F12" s="50">
        <v>14.6</v>
      </c>
      <c r="G12" s="50">
        <v>14.6</v>
      </c>
      <c r="H12" s="50">
        <v>14.6</v>
      </c>
      <c r="I12" s="50">
        <v>14.6</v>
      </c>
      <c r="J12" s="50">
        <v>14.6</v>
      </c>
      <c r="K12" s="50">
        <v>14.6</v>
      </c>
      <c r="L12" s="50">
        <v>14.6</v>
      </c>
      <c r="M12" s="50">
        <v>14</v>
      </c>
      <c r="N12" s="50">
        <v>14</v>
      </c>
      <c r="O12" s="50">
        <v>14</v>
      </c>
      <c r="P12" s="50">
        <v>14</v>
      </c>
      <c r="Q12" s="50">
        <v>14</v>
      </c>
      <c r="R12" s="50">
        <v>14</v>
      </c>
      <c r="S12" s="50">
        <v>14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20</v>
      </c>
      <c r="AA12" s="50">
        <v>20</v>
      </c>
      <c r="AB12" s="50">
        <v>20</v>
      </c>
      <c r="AC12" s="50">
        <v>20</v>
      </c>
      <c r="AD12" s="50">
        <v>20</v>
      </c>
      <c r="AE12" s="50">
        <v>21.6</v>
      </c>
      <c r="AF12" s="50">
        <v>17.5</v>
      </c>
      <c r="AG12" s="51">
        <v>52.4</v>
      </c>
      <c r="AH12" s="52">
        <f t="shared" si="2"/>
        <v>21.6</v>
      </c>
      <c r="AI12" s="53">
        <f t="shared" si="3"/>
        <v>13.6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29</v>
      </c>
      <c r="C13" s="50">
        <v>29.1</v>
      </c>
      <c r="D13" s="50">
        <v>28.7</v>
      </c>
      <c r="E13" s="50">
        <v>28.7</v>
      </c>
      <c r="F13" s="50">
        <v>28.7</v>
      </c>
      <c r="G13" s="50">
        <v>28.7</v>
      </c>
      <c r="H13" s="50">
        <v>28.7</v>
      </c>
      <c r="I13" s="50">
        <v>28.7</v>
      </c>
      <c r="J13" s="50">
        <v>28.7</v>
      </c>
      <c r="K13" s="50">
        <v>28.7</v>
      </c>
      <c r="L13" s="50">
        <v>28.7</v>
      </c>
      <c r="M13" s="50">
        <v>28.8</v>
      </c>
      <c r="N13" s="50">
        <v>28.8</v>
      </c>
      <c r="O13" s="50">
        <v>28.8</v>
      </c>
      <c r="P13" s="50">
        <v>28.8</v>
      </c>
      <c r="Q13" s="50">
        <v>28.8</v>
      </c>
      <c r="R13" s="50">
        <v>28.8</v>
      </c>
      <c r="S13" s="50">
        <v>28.8</v>
      </c>
      <c r="T13" s="50">
        <v>28.8</v>
      </c>
      <c r="U13" s="50">
        <v>28.8</v>
      </c>
      <c r="V13" s="50">
        <v>28.8</v>
      </c>
      <c r="W13" s="50">
        <v>28.8</v>
      </c>
      <c r="X13" s="50">
        <v>28.8</v>
      </c>
      <c r="Y13" s="50">
        <v>28.8</v>
      </c>
      <c r="Z13" s="50">
        <v>28.8</v>
      </c>
      <c r="AA13" s="50">
        <v>28.8</v>
      </c>
      <c r="AB13" s="50">
        <v>28.8</v>
      </c>
      <c r="AC13" s="50">
        <v>28.8</v>
      </c>
      <c r="AD13" s="50">
        <v>28.8</v>
      </c>
      <c r="AE13" s="50">
        <v>28.3</v>
      </c>
      <c r="AF13" s="50">
        <v>28</v>
      </c>
      <c r="AG13" s="55">
        <v>50</v>
      </c>
      <c r="AH13" s="52">
        <f t="shared" si="2"/>
        <v>29.1</v>
      </c>
      <c r="AI13" s="53">
        <f t="shared" si="3"/>
        <v>28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19.100000000000001</v>
      </c>
      <c r="C14" s="50">
        <v>15.9</v>
      </c>
      <c r="D14" s="50">
        <v>19</v>
      </c>
      <c r="E14" s="50">
        <v>19</v>
      </c>
      <c r="F14" s="50">
        <v>19</v>
      </c>
      <c r="G14" s="50">
        <v>19</v>
      </c>
      <c r="H14" s="50">
        <v>19</v>
      </c>
      <c r="I14" s="50">
        <v>19</v>
      </c>
      <c r="J14" s="50">
        <v>19</v>
      </c>
      <c r="K14" s="50">
        <v>19</v>
      </c>
      <c r="L14" s="50">
        <v>19</v>
      </c>
      <c r="M14" s="50">
        <v>15.3</v>
      </c>
      <c r="N14" s="50">
        <v>15.3</v>
      </c>
      <c r="O14" s="50">
        <v>15.3</v>
      </c>
      <c r="P14" s="50">
        <v>15.3</v>
      </c>
      <c r="Q14" s="50">
        <v>15.3</v>
      </c>
      <c r="R14" s="50">
        <v>15.3</v>
      </c>
      <c r="S14" s="50">
        <v>15.3</v>
      </c>
      <c r="T14" s="50">
        <v>15.3</v>
      </c>
      <c r="U14" s="50">
        <v>15.3</v>
      </c>
      <c r="V14" s="50">
        <v>15.3</v>
      </c>
      <c r="W14" s="50">
        <v>15.3</v>
      </c>
      <c r="X14" s="50">
        <v>15.3</v>
      </c>
      <c r="Y14" s="50">
        <v>15.3</v>
      </c>
      <c r="Z14" s="50">
        <v>15.3</v>
      </c>
      <c r="AA14" s="50">
        <v>15.3</v>
      </c>
      <c r="AB14" s="50">
        <v>15.3</v>
      </c>
      <c r="AC14" s="50">
        <v>15.3</v>
      </c>
      <c r="AD14" s="50">
        <v>15.3</v>
      </c>
      <c r="AE14" s="50">
        <v>16.8</v>
      </c>
      <c r="AF14" s="50">
        <v>8</v>
      </c>
      <c r="AG14" s="55">
        <v>45</v>
      </c>
      <c r="AH14" s="52">
        <f t="shared" si="2"/>
        <v>19.100000000000001</v>
      </c>
      <c r="AI14" s="53">
        <f t="shared" si="3"/>
        <v>8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8</v>
      </c>
      <c r="C15" s="50">
        <v>9</v>
      </c>
      <c r="D15" s="50">
        <v>8</v>
      </c>
      <c r="E15" s="50">
        <v>8</v>
      </c>
      <c r="F15" s="50">
        <v>8</v>
      </c>
      <c r="G15" s="50">
        <v>8</v>
      </c>
      <c r="H15" s="50">
        <v>8</v>
      </c>
      <c r="I15" s="50">
        <v>8</v>
      </c>
      <c r="J15" s="50">
        <v>8</v>
      </c>
      <c r="K15" s="50">
        <v>8</v>
      </c>
      <c r="L15" s="50">
        <v>8</v>
      </c>
      <c r="M15" s="50">
        <v>7.5</v>
      </c>
      <c r="N15" s="50">
        <v>7.5</v>
      </c>
      <c r="O15" s="50">
        <v>7.5</v>
      </c>
      <c r="P15" s="50">
        <v>7.5</v>
      </c>
      <c r="Q15" s="50">
        <v>7.5</v>
      </c>
      <c r="R15" s="50">
        <v>7.5</v>
      </c>
      <c r="S15" s="50">
        <v>7.5</v>
      </c>
      <c r="T15" s="50">
        <v>7.5</v>
      </c>
      <c r="U15" s="50">
        <v>7.5</v>
      </c>
      <c r="V15" s="50">
        <v>7.5</v>
      </c>
      <c r="W15" s="50">
        <v>7.5</v>
      </c>
      <c r="X15" s="50">
        <v>7.5</v>
      </c>
      <c r="Y15" s="50">
        <v>7.5</v>
      </c>
      <c r="Z15" s="50">
        <v>7.5</v>
      </c>
      <c r="AA15" s="50">
        <v>7.5</v>
      </c>
      <c r="AB15" s="50">
        <v>7.5</v>
      </c>
      <c r="AC15" s="50">
        <v>7.5</v>
      </c>
      <c r="AD15" s="50">
        <v>7.5</v>
      </c>
      <c r="AE15" s="50">
        <v>9</v>
      </c>
      <c r="AF15" s="50">
        <v>9.1999999999999993</v>
      </c>
      <c r="AG15" s="55">
        <v>42</v>
      </c>
      <c r="AH15" s="52">
        <f t="shared" si="2"/>
        <v>9.1999999999999993</v>
      </c>
      <c r="AI15" s="53">
        <f t="shared" si="3"/>
        <v>7.5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7.3</v>
      </c>
      <c r="C18" s="50">
        <v>7.1</v>
      </c>
      <c r="D18" s="50">
        <v>7</v>
      </c>
      <c r="E18" s="50">
        <v>7</v>
      </c>
      <c r="F18" s="50">
        <v>7</v>
      </c>
      <c r="G18" s="50">
        <v>7</v>
      </c>
      <c r="H18" s="50">
        <v>7</v>
      </c>
      <c r="I18" s="50">
        <v>7</v>
      </c>
      <c r="J18" s="50">
        <v>7</v>
      </c>
      <c r="K18" s="50">
        <v>7</v>
      </c>
      <c r="L18" s="50">
        <v>7</v>
      </c>
      <c r="M18" s="50">
        <v>7</v>
      </c>
      <c r="N18" s="50">
        <v>7</v>
      </c>
      <c r="O18" s="50">
        <v>7</v>
      </c>
      <c r="P18" s="50">
        <v>7</v>
      </c>
      <c r="Q18" s="50">
        <v>7</v>
      </c>
      <c r="R18" s="50">
        <v>7</v>
      </c>
      <c r="S18" s="50">
        <v>7</v>
      </c>
      <c r="T18" s="50">
        <v>7</v>
      </c>
      <c r="U18" s="50">
        <v>7</v>
      </c>
      <c r="V18" s="50">
        <v>7</v>
      </c>
      <c r="W18" s="50">
        <v>7</v>
      </c>
      <c r="X18" s="50">
        <v>7</v>
      </c>
      <c r="Y18" s="50">
        <v>7</v>
      </c>
      <c r="Z18" s="50">
        <v>7</v>
      </c>
      <c r="AA18" s="50">
        <v>7</v>
      </c>
      <c r="AB18" s="50">
        <v>7</v>
      </c>
      <c r="AC18" s="50">
        <v>7</v>
      </c>
      <c r="AD18" s="50">
        <v>7</v>
      </c>
      <c r="AE18" s="50">
        <v>7.3</v>
      </c>
      <c r="AF18" s="50">
        <v>7.3</v>
      </c>
      <c r="AG18" s="56">
        <v>30</v>
      </c>
      <c r="AH18" s="52">
        <f t="shared" si="2"/>
        <v>7.3</v>
      </c>
      <c r="AI18" s="53">
        <f t="shared" si="3"/>
        <v>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6.7</v>
      </c>
      <c r="C19" s="50">
        <v>6.7</v>
      </c>
      <c r="D19" s="50">
        <v>6.7</v>
      </c>
      <c r="E19" s="50">
        <v>6.7</v>
      </c>
      <c r="F19" s="50">
        <v>6.7</v>
      </c>
      <c r="G19" s="50">
        <v>6.7</v>
      </c>
      <c r="H19" s="50">
        <v>6.7</v>
      </c>
      <c r="I19" s="50">
        <v>6.7</v>
      </c>
      <c r="J19" s="50">
        <v>6.7</v>
      </c>
      <c r="K19" s="50">
        <v>6.7</v>
      </c>
      <c r="L19" s="50">
        <v>6.7</v>
      </c>
      <c r="M19" s="50">
        <v>6.7</v>
      </c>
      <c r="N19" s="50">
        <v>6.7</v>
      </c>
      <c r="O19" s="50">
        <v>6.7</v>
      </c>
      <c r="P19" s="50">
        <v>6.7</v>
      </c>
      <c r="Q19" s="50">
        <v>6.7</v>
      </c>
      <c r="R19" s="50">
        <v>6.7</v>
      </c>
      <c r="S19" s="50">
        <v>6.7</v>
      </c>
      <c r="T19" s="50">
        <v>6.7</v>
      </c>
      <c r="U19" s="50">
        <v>6.7</v>
      </c>
      <c r="V19" s="50">
        <v>6.7</v>
      </c>
      <c r="W19" s="50">
        <v>6.7</v>
      </c>
      <c r="X19" s="50">
        <v>6.7</v>
      </c>
      <c r="Y19" s="50">
        <v>6.7</v>
      </c>
      <c r="Z19" s="50">
        <v>6.7</v>
      </c>
      <c r="AA19" s="50">
        <v>6.7</v>
      </c>
      <c r="AB19" s="50">
        <v>6.7</v>
      </c>
      <c r="AC19" s="50">
        <v>6.7</v>
      </c>
      <c r="AD19" s="50">
        <v>6.7</v>
      </c>
      <c r="AE19" s="50">
        <v>7.2</v>
      </c>
      <c r="AF19" s="50">
        <v>7.1</v>
      </c>
      <c r="AG19" s="55">
        <v>24.2</v>
      </c>
      <c r="AH19" s="52">
        <f t="shared" si="2"/>
        <v>7.2</v>
      </c>
      <c r="AI19" s="53">
        <f t="shared" si="3"/>
        <v>6.7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8</v>
      </c>
      <c r="C22" s="50">
        <v>8</v>
      </c>
      <c r="D22" s="50">
        <v>7.9</v>
      </c>
      <c r="E22" s="50">
        <v>7.9</v>
      </c>
      <c r="F22" s="50">
        <v>7.9</v>
      </c>
      <c r="G22" s="50">
        <v>7.9</v>
      </c>
      <c r="H22" s="50">
        <v>7.9</v>
      </c>
      <c r="I22" s="50">
        <v>7.9</v>
      </c>
      <c r="J22" s="50">
        <v>7.9</v>
      </c>
      <c r="K22" s="50">
        <v>7.9</v>
      </c>
      <c r="L22" s="50">
        <v>7.9</v>
      </c>
      <c r="M22" s="50">
        <v>7.9</v>
      </c>
      <c r="N22" s="50">
        <v>7.9</v>
      </c>
      <c r="O22" s="50">
        <v>7.9</v>
      </c>
      <c r="P22" s="50">
        <v>7.9</v>
      </c>
      <c r="Q22" s="50">
        <v>7.9</v>
      </c>
      <c r="R22" s="50">
        <v>7.9</v>
      </c>
      <c r="S22" s="50">
        <v>7.9</v>
      </c>
      <c r="T22" s="50">
        <v>7.9</v>
      </c>
      <c r="U22" s="50">
        <v>7.9</v>
      </c>
      <c r="V22" s="50">
        <v>7.9</v>
      </c>
      <c r="W22" s="50">
        <v>7.9</v>
      </c>
      <c r="X22" s="50">
        <v>7.9</v>
      </c>
      <c r="Y22" s="50">
        <v>7.9</v>
      </c>
      <c r="Z22" s="50">
        <v>7.9</v>
      </c>
      <c r="AA22" s="50">
        <v>7.9</v>
      </c>
      <c r="AB22" s="50">
        <v>7.9</v>
      </c>
      <c r="AC22" s="50">
        <v>7.9</v>
      </c>
      <c r="AD22" s="50">
        <v>7.9</v>
      </c>
      <c r="AE22" s="50">
        <v>10.1</v>
      </c>
      <c r="AF22" s="50">
        <v>10.1</v>
      </c>
      <c r="AG22" s="55">
        <v>25</v>
      </c>
      <c r="AH22" s="52">
        <f t="shared" si="2"/>
        <v>10.1</v>
      </c>
      <c r="AI22" s="53">
        <f t="shared" si="3"/>
        <v>7.9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5.9</v>
      </c>
      <c r="C26" s="50">
        <v>6.3</v>
      </c>
      <c r="D26" s="50">
        <v>7.1</v>
      </c>
      <c r="E26" s="50">
        <v>7.1</v>
      </c>
      <c r="F26" s="50">
        <v>7.1</v>
      </c>
      <c r="G26" s="50">
        <v>7.1</v>
      </c>
      <c r="H26" s="50">
        <v>7.1</v>
      </c>
      <c r="I26" s="50">
        <v>7.1</v>
      </c>
      <c r="J26" s="50">
        <v>7.1</v>
      </c>
      <c r="K26" s="50">
        <v>7.1</v>
      </c>
      <c r="L26" s="50">
        <v>7.1</v>
      </c>
      <c r="M26" s="50">
        <v>7.1</v>
      </c>
      <c r="N26" s="50">
        <v>7.1</v>
      </c>
      <c r="O26" s="50">
        <v>7.1</v>
      </c>
      <c r="P26" s="50">
        <v>7.1</v>
      </c>
      <c r="Q26" s="50">
        <v>7.1</v>
      </c>
      <c r="R26" s="50">
        <v>7.1</v>
      </c>
      <c r="S26" s="50">
        <v>7.1</v>
      </c>
      <c r="T26" s="50">
        <v>7.1</v>
      </c>
      <c r="U26" s="50">
        <v>7.1</v>
      </c>
      <c r="V26" s="50">
        <v>7.1</v>
      </c>
      <c r="W26" s="50">
        <v>7.1</v>
      </c>
      <c r="X26" s="50">
        <v>7.1</v>
      </c>
      <c r="Y26" s="50">
        <v>7.1</v>
      </c>
      <c r="Z26" s="50">
        <v>7.1</v>
      </c>
      <c r="AA26" s="50">
        <v>7.1</v>
      </c>
      <c r="AB26" s="50">
        <v>7.1</v>
      </c>
      <c r="AC26" s="50">
        <v>7.1</v>
      </c>
      <c r="AD26" s="50">
        <v>7.1</v>
      </c>
      <c r="AE26" s="50">
        <v>6.8</v>
      </c>
      <c r="AF26" s="50">
        <v>7</v>
      </c>
      <c r="AG26" s="55">
        <v>23.5</v>
      </c>
      <c r="AH26" s="52">
        <f t="shared" si="2"/>
        <v>7.1</v>
      </c>
      <c r="AI26" s="53">
        <f t="shared" si="3"/>
        <v>5.9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7</v>
      </c>
      <c r="C28" s="50">
        <v>7</v>
      </c>
      <c r="D28" s="50">
        <v>7</v>
      </c>
      <c r="E28" s="50">
        <v>7</v>
      </c>
      <c r="F28" s="50">
        <v>7</v>
      </c>
      <c r="G28" s="50">
        <v>7</v>
      </c>
      <c r="H28" s="50">
        <v>7</v>
      </c>
      <c r="I28" s="50">
        <v>7</v>
      </c>
      <c r="J28" s="50">
        <v>7</v>
      </c>
      <c r="K28" s="50">
        <v>7</v>
      </c>
      <c r="L28" s="50">
        <v>7</v>
      </c>
      <c r="M28" s="50">
        <v>7</v>
      </c>
      <c r="N28" s="50">
        <v>7</v>
      </c>
      <c r="O28" s="50">
        <v>7</v>
      </c>
      <c r="P28" s="50">
        <v>7</v>
      </c>
      <c r="Q28" s="50">
        <v>7</v>
      </c>
      <c r="R28" s="50">
        <v>7</v>
      </c>
      <c r="S28" s="50">
        <v>7</v>
      </c>
      <c r="T28" s="50">
        <v>7</v>
      </c>
      <c r="U28" s="50">
        <v>7</v>
      </c>
      <c r="V28" s="50">
        <v>7</v>
      </c>
      <c r="W28" s="50">
        <v>7</v>
      </c>
      <c r="X28" s="50">
        <v>7</v>
      </c>
      <c r="Y28" s="50">
        <v>7</v>
      </c>
      <c r="Z28" s="50">
        <v>7</v>
      </c>
      <c r="AA28" s="50">
        <v>7</v>
      </c>
      <c r="AB28" s="50">
        <v>7</v>
      </c>
      <c r="AC28" s="50">
        <v>7</v>
      </c>
      <c r="AD28" s="50">
        <v>7</v>
      </c>
      <c r="AE28" s="50">
        <v>7</v>
      </c>
      <c r="AF28" s="50">
        <v>7</v>
      </c>
      <c r="AG28" s="55">
        <v>22.1</v>
      </c>
      <c r="AH28" s="52">
        <f t="shared" si="2"/>
        <v>7</v>
      </c>
      <c r="AI28" s="53">
        <f t="shared" si="3"/>
        <v>7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55">
        <v>22</v>
      </c>
      <c r="AH29" s="52">
        <f t="shared" si="2"/>
        <v>8</v>
      </c>
      <c r="AI29" s="53">
        <f t="shared" si="3"/>
        <v>8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5">
        <v>22</v>
      </c>
      <c r="AH30" s="52">
        <f t="shared" si="2"/>
        <v>10</v>
      </c>
      <c r="AI30" s="53">
        <f t="shared" si="3"/>
        <v>10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5">
        <v>13.6</v>
      </c>
      <c r="AH35" s="52">
        <f t="shared" si="2"/>
        <v>0</v>
      </c>
      <c r="AI35" s="53">
        <f t="shared" si="3"/>
        <v>0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4.8</v>
      </c>
      <c r="C38" s="50">
        <v>4.8</v>
      </c>
      <c r="D38" s="50">
        <v>4.8</v>
      </c>
      <c r="E38" s="50">
        <v>4.8</v>
      </c>
      <c r="F38" s="50">
        <v>4.8</v>
      </c>
      <c r="G38" s="50">
        <v>4.8</v>
      </c>
      <c r="H38" s="50">
        <v>4.8</v>
      </c>
      <c r="I38" s="50">
        <v>4.8</v>
      </c>
      <c r="J38" s="50">
        <v>4.8</v>
      </c>
      <c r="K38" s="50">
        <v>4.8</v>
      </c>
      <c r="L38" s="50">
        <v>4.8</v>
      </c>
      <c r="M38" s="50">
        <v>4.8</v>
      </c>
      <c r="N38" s="50">
        <v>4.8</v>
      </c>
      <c r="O38" s="50">
        <v>4.8</v>
      </c>
      <c r="P38" s="50">
        <v>4.8</v>
      </c>
      <c r="Q38" s="50">
        <v>4.8</v>
      </c>
      <c r="R38" s="50">
        <v>4.8</v>
      </c>
      <c r="S38" s="50">
        <v>4.8</v>
      </c>
      <c r="T38" s="50">
        <v>4.8</v>
      </c>
      <c r="U38" s="50">
        <v>4.8</v>
      </c>
      <c r="V38" s="50">
        <v>4.8</v>
      </c>
      <c r="W38" s="50">
        <v>4.8</v>
      </c>
      <c r="X38" s="50">
        <v>4.8</v>
      </c>
      <c r="Y38" s="50">
        <v>4.8</v>
      </c>
      <c r="Z38" s="50">
        <v>4.8</v>
      </c>
      <c r="AA38" s="50">
        <v>4.8</v>
      </c>
      <c r="AB38" s="50">
        <v>4.8</v>
      </c>
      <c r="AC38" s="50">
        <v>4.8</v>
      </c>
      <c r="AD38" s="50">
        <v>4.8</v>
      </c>
      <c r="AE38" s="50">
        <v>4.8</v>
      </c>
      <c r="AF38" s="50">
        <v>4.8</v>
      </c>
      <c r="AG38" s="55">
        <v>12</v>
      </c>
      <c r="AH38" s="52">
        <f t="shared" si="2"/>
        <v>4.8</v>
      </c>
      <c r="AI38" s="53">
        <f t="shared" si="3"/>
        <v>4.8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5.2</v>
      </c>
      <c r="C41" s="50">
        <v>5.2</v>
      </c>
      <c r="D41" s="50">
        <v>5.2</v>
      </c>
      <c r="E41" s="50">
        <v>5.2</v>
      </c>
      <c r="F41" s="50">
        <v>5.2</v>
      </c>
      <c r="G41" s="50">
        <v>5.2</v>
      </c>
      <c r="H41" s="50">
        <v>5.2</v>
      </c>
      <c r="I41" s="50">
        <v>5.2</v>
      </c>
      <c r="J41" s="50">
        <v>5.2</v>
      </c>
      <c r="K41" s="50">
        <v>5.2</v>
      </c>
      <c r="L41" s="50">
        <v>5.2</v>
      </c>
      <c r="M41" s="50">
        <v>5.2</v>
      </c>
      <c r="N41" s="50">
        <v>5.2</v>
      </c>
      <c r="O41" s="50">
        <v>5.2</v>
      </c>
      <c r="P41" s="50">
        <v>5.2</v>
      </c>
      <c r="Q41" s="50">
        <v>5.2</v>
      </c>
      <c r="R41" s="50">
        <v>5.2</v>
      </c>
      <c r="S41" s="50">
        <v>5.2</v>
      </c>
      <c r="T41" s="50">
        <v>5.2</v>
      </c>
      <c r="U41" s="50">
        <v>5.2</v>
      </c>
      <c r="V41" s="50">
        <v>5.2</v>
      </c>
      <c r="W41" s="50">
        <v>5.2</v>
      </c>
      <c r="X41" s="50">
        <v>5.2</v>
      </c>
      <c r="Y41" s="50">
        <v>5.2</v>
      </c>
      <c r="Z41" s="50">
        <v>5.2</v>
      </c>
      <c r="AA41" s="50">
        <v>5.2</v>
      </c>
      <c r="AB41" s="50">
        <v>5.2</v>
      </c>
      <c r="AC41" s="50">
        <v>5.2</v>
      </c>
      <c r="AD41" s="50">
        <v>5.2</v>
      </c>
      <c r="AE41" s="50">
        <v>5.2</v>
      </c>
      <c r="AF41" s="50">
        <v>5.2</v>
      </c>
      <c r="AG41" s="56">
        <v>11.88</v>
      </c>
      <c r="AH41" s="52">
        <f t="shared" si="2"/>
        <v>5.2</v>
      </c>
      <c r="AI41" s="53">
        <f t="shared" si="3"/>
        <v>5.2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3.5</v>
      </c>
      <c r="C44" s="50">
        <v>3.5</v>
      </c>
      <c r="D44" s="50">
        <v>3.5</v>
      </c>
      <c r="E44" s="50">
        <v>3.5</v>
      </c>
      <c r="F44" s="50">
        <v>3.5</v>
      </c>
      <c r="G44" s="50">
        <v>3.5</v>
      </c>
      <c r="H44" s="50">
        <v>3.5</v>
      </c>
      <c r="I44" s="50">
        <v>3.5</v>
      </c>
      <c r="J44" s="50">
        <v>3.5</v>
      </c>
      <c r="K44" s="50">
        <v>3.5</v>
      </c>
      <c r="L44" s="50">
        <v>3.5</v>
      </c>
      <c r="M44" s="50">
        <v>3.5</v>
      </c>
      <c r="N44" s="50">
        <v>3.5</v>
      </c>
      <c r="O44" s="50">
        <v>3.5</v>
      </c>
      <c r="P44" s="50">
        <v>3.5</v>
      </c>
      <c r="Q44" s="50">
        <v>3.5</v>
      </c>
      <c r="R44" s="50">
        <v>3.5</v>
      </c>
      <c r="S44" s="50">
        <v>3.5</v>
      </c>
      <c r="T44" s="50">
        <v>3.5</v>
      </c>
      <c r="U44" s="50">
        <v>3.5</v>
      </c>
      <c r="V44" s="50">
        <v>3.5</v>
      </c>
      <c r="W44" s="50">
        <v>3.5</v>
      </c>
      <c r="X44" s="50">
        <v>3.5</v>
      </c>
      <c r="Y44" s="50">
        <v>3.5</v>
      </c>
      <c r="Z44" s="50">
        <v>3.5</v>
      </c>
      <c r="AA44" s="50">
        <v>3.5</v>
      </c>
      <c r="AB44" s="50">
        <v>3.5</v>
      </c>
      <c r="AC44" s="50">
        <v>3.5</v>
      </c>
      <c r="AD44" s="50">
        <v>3.5</v>
      </c>
      <c r="AE44" s="50">
        <v>3.5</v>
      </c>
      <c r="AF44" s="50">
        <v>3.5</v>
      </c>
      <c r="AG44" s="61">
        <v>10</v>
      </c>
      <c r="AH44" s="52">
        <f t="shared" si="2"/>
        <v>3.5</v>
      </c>
      <c r="AI44" s="53">
        <f t="shared" si="3"/>
        <v>3.5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1</v>
      </c>
      <c r="T45" s="50">
        <v>1</v>
      </c>
      <c r="U45" s="50">
        <v>1</v>
      </c>
      <c r="V45" s="50">
        <v>1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1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3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C48" si="4">SUM(B12:B46)</f>
        <v>353.4</v>
      </c>
      <c r="C48" s="67">
        <f t="shared" si="4"/>
        <v>352.70000000000005</v>
      </c>
      <c r="D48" s="67">
        <f t="shared" ref="D48:AG48" si="5">SUM(D12:D46)</f>
        <v>354.8</v>
      </c>
      <c r="E48" s="67">
        <f t="shared" ref="E48:H48" si="6">SUM(E12:E46)</f>
        <v>354.8</v>
      </c>
      <c r="F48" s="67">
        <f t="shared" si="6"/>
        <v>354.8</v>
      </c>
      <c r="G48" s="67">
        <f t="shared" si="6"/>
        <v>354.8</v>
      </c>
      <c r="H48" s="67">
        <f t="shared" si="6"/>
        <v>354.8</v>
      </c>
      <c r="I48" s="67">
        <f t="shared" si="5"/>
        <v>354.8</v>
      </c>
      <c r="J48" s="67">
        <f t="shared" si="5"/>
        <v>354.8</v>
      </c>
      <c r="K48" s="67">
        <f t="shared" ref="K48:L48" si="7">SUM(K12:K46)</f>
        <v>354.8</v>
      </c>
      <c r="L48" s="67">
        <f t="shared" si="7"/>
        <v>354.8</v>
      </c>
      <c r="M48" s="67">
        <f t="shared" si="5"/>
        <v>350.1</v>
      </c>
      <c r="N48" s="67">
        <f t="shared" si="5"/>
        <v>350.1</v>
      </c>
      <c r="O48" s="67">
        <f t="shared" si="5"/>
        <v>350.1</v>
      </c>
      <c r="P48" s="67">
        <f t="shared" si="5"/>
        <v>350.1</v>
      </c>
      <c r="Q48" s="67">
        <f t="shared" si="5"/>
        <v>350.1</v>
      </c>
      <c r="R48" s="67">
        <f t="shared" si="5"/>
        <v>350.1</v>
      </c>
      <c r="S48" s="67">
        <f>SUM(S12:S46)</f>
        <v>351.1</v>
      </c>
      <c r="T48" s="67">
        <f t="shared" si="5"/>
        <v>351.1</v>
      </c>
      <c r="U48" s="67">
        <f t="shared" si="5"/>
        <v>351.1</v>
      </c>
      <c r="V48" s="67">
        <f t="shared" si="5"/>
        <v>351.1</v>
      </c>
      <c r="W48" s="67">
        <f t="shared" si="5"/>
        <v>350.1</v>
      </c>
      <c r="X48" s="67">
        <f t="shared" si="5"/>
        <v>350.1</v>
      </c>
      <c r="Y48" s="67">
        <f t="shared" si="5"/>
        <v>350.1</v>
      </c>
      <c r="Z48" s="67">
        <f t="shared" si="5"/>
        <v>356.1</v>
      </c>
      <c r="AA48" s="67">
        <f t="shared" si="5"/>
        <v>356.1</v>
      </c>
      <c r="AB48" s="67">
        <f t="shared" si="5"/>
        <v>356.1</v>
      </c>
      <c r="AC48" s="67">
        <f t="shared" si="5"/>
        <v>356.1</v>
      </c>
      <c r="AD48" s="67">
        <f t="shared" si="5"/>
        <v>356.1</v>
      </c>
      <c r="AE48" s="67">
        <f t="shared" si="5"/>
        <v>362.90000000000003</v>
      </c>
      <c r="AF48" s="67">
        <f t="shared" si="5"/>
        <v>350</v>
      </c>
      <c r="AG48" s="68">
        <f t="shared" si="5"/>
        <v>875.68</v>
      </c>
      <c r="AH48" s="52">
        <f t="shared" si="2"/>
        <v>362.90000000000003</v>
      </c>
      <c r="AI48" s="53">
        <f t="shared" si="3"/>
        <v>350</v>
      </c>
      <c r="AK48" s="54"/>
    </row>
    <row r="49" spans="1:41" x14ac:dyDescent="0.25">
      <c r="A49" s="69" t="s">
        <v>53</v>
      </c>
      <c r="B49" s="50">
        <v>40</v>
      </c>
      <c r="C49" s="50">
        <v>15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76</v>
      </c>
      <c r="J49" s="50">
        <v>120</v>
      </c>
      <c r="K49" s="50">
        <v>140</v>
      </c>
      <c r="L49" s="50">
        <v>152</v>
      </c>
      <c r="M49" s="70">
        <v>125</v>
      </c>
      <c r="N49" s="70">
        <v>90</v>
      </c>
      <c r="O49" s="50">
        <v>70</v>
      </c>
      <c r="P49" s="50">
        <v>30</v>
      </c>
      <c r="Q49" s="50">
        <v>50</v>
      </c>
      <c r="R49" s="50">
        <v>70</v>
      </c>
      <c r="S49" s="50">
        <v>70</v>
      </c>
      <c r="T49" s="50">
        <v>130</v>
      </c>
      <c r="U49" s="50">
        <v>120</v>
      </c>
      <c r="V49" s="50">
        <v>100</v>
      </c>
      <c r="W49" s="50">
        <v>60</v>
      </c>
      <c r="X49" s="50">
        <v>90</v>
      </c>
      <c r="Y49" s="50">
        <v>170</v>
      </c>
      <c r="Z49" s="50">
        <v>180</v>
      </c>
      <c r="AA49" s="50">
        <v>150</v>
      </c>
      <c r="AB49" s="50">
        <v>150</v>
      </c>
      <c r="AC49" s="50">
        <v>150</v>
      </c>
      <c r="AD49" s="50">
        <v>110</v>
      </c>
      <c r="AE49" s="50">
        <v>80</v>
      </c>
      <c r="AF49" s="50">
        <v>80</v>
      </c>
      <c r="AG49" s="56">
        <v>456</v>
      </c>
      <c r="AH49" s="52">
        <f t="shared" si="2"/>
        <v>180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10.199999999999999</v>
      </c>
      <c r="C51" s="74">
        <v>10.199999999999999</v>
      </c>
      <c r="D51" s="74">
        <v>9.5</v>
      </c>
      <c r="E51" s="74">
        <v>9.5</v>
      </c>
      <c r="F51" s="74">
        <v>9.5</v>
      </c>
      <c r="G51" s="74">
        <v>9.5</v>
      </c>
      <c r="H51" s="74">
        <v>9.5</v>
      </c>
      <c r="I51" s="74">
        <v>9.5</v>
      </c>
      <c r="J51" s="74">
        <v>9.5</v>
      </c>
      <c r="K51" s="74">
        <v>9.5</v>
      </c>
      <c r="L51" s="74">
        <v>9.5</v>
      </c>
      <c r="M51" s="74">
        <v>9.1999999999999993</v>
      </c>
      <c r="N51" s="74">
        <v>9.1999999999999993</v>
      </c>
      <c r="O51" s="74">
        <v>9.1999999999999993</v>
      </c>
      <c r="P51" s="74">
        <v>9.1999999999999993</v>
      </c>
      <c r="Q51" s="74">
        <v>9.1999999999999993</v>
      </c>
      <c r="R51" s="74">
        <v>9.1999999999999993</v>
      </c>
      <c r="S51" s="74">
        <v>9.1999999999999993</v>
      </c>
      <c r="T51" s="74">
        <v>9.1999999999999993</v>
      </c>
      <c r="U51" s="74">
        <v>9.1999999999999993</v>
      </c>
      <c r="V51" s="74">
        <v>9.1999999999999993</v>
      </c>
      <c r="W51" s="74">
        <v>9.1999999999999993</v>
      </c>
      <c r="X51" s="74">
        <v>9.1999999999999993</v>
      </c>
      <c r="Y51" s="74">
        <v>9.1999999999999993</v>
      </c>
      <c r="Z51" s="74">
        <v>9.1999999999999993</v>
      </c>
      <c r="AA51" s="74">
        <v>9.1999999999999993</v>
      </c>
      <c r="AB51" s="74">
        <v>9.1999999999999993</v>
      </c>
      <c r="AC51" s="74">
        <v>9.1999999999999993</v>
      </c>
      <c r="AD51" s="74">
        <v>9.1999999999999993</v>
      </c>
      <c r="AE51" s="74">
        <v>9.1999999999999993</v>
      </c>
      <c r="AF51" s="74">
        <v>9.1999999999999993</v>
      </c>
      <c r="AG51" s="75">
        <v>22.1</v>
      </c>
      <c r="AH51" s="52">
        <f t="shared" si="2"/>
        <v>10.199999999999999</v>
      </c>
      <c r="AI51" s="53">
        <f t="shared" si="3"/>
        <v>9.1999999999999993</v>
      </c>
      <c r="AK51" s="54"/>
    </row>
    <row r="52" spans="1:41" ht="15.75" thickBot="1" x14ac:dyDescent="0.3">
      <c r="A52" s="76" t="s">
        <v>56</v>
      </c>
      <c r="B52" s="67">
        <f t="shared" ref="B52:C52" si="8">SUM(B49:B51)</f>
        <v>75.2</v>
      </c>
      <c r="C52" s="67">
        <f t="shared" si="8"/>
        <v>50.2</v>
      </c>
      <c r="D52" s="67">
        <f t="shared" ref="D52:AG52" si="9">SUM(D49:D51)</f>
        <v>34.5</v>
      </c>
      <c r="E52" s="67">
        <f t="shared" ref="E52:H52" si="10">SUM(E49:E51)</f>
        <v>34.5</v>
      </c>
      <c r="F52" s="67">
        <f t="shared" si="10"/>
        <v>34.5</v>
      </c>
      <c r="G52" s="67">
        <f t="shared" si="10"/>
        <v>34.5</v>
      </c>
      <c r="H52" s="67">
        <f t="shared" si="10"/>
        <v>34.5</v>
      </c>
      <c r="I52" s="67">
        <f t="shared" si="9"/>
        <v>110.5</v>
      </c>
      <c r="J52" s="67">
        <f t="shared" si="9"/>
        <v>154.5</v>
      </c>
      <c r="K52" s="67">
        <f t="shared" ref="K52:L52" si="11">SUM(K49:K51)</f>
        <v>174.5</v>
      </c>
      <c r="L52" s="67">
        <f t="shared" si="11"/>
        <v>186.5</v>
      </c>
      <c r="M52" s="67">
        <f t="shared" si="9"/>
        <v>159.19999999999999</v>
      </c>
      <c r="N52" s="67">
        <f t="shared" si="9"/>
        <v>124.2</v>
      </c>
      <c r="O52" s="67">
        <f t="shared" si="9"/>
        <v>104.2</v>
      </c>
      <c r="P52" s="67">
        <f t="shared" si="9"/>
        <v>64.2</v>
      </c>
      <c r="Q52" s="67">
        <f t="shared" si="9"/>
        <v>84.2</v>
      </c>
      <c r="R52" s="67">
        <f t="shared" si="9"/>
        <v>104.2</v>
      </c>
      <c r="S52" s="67">
        <f>SUM(S49:S51)</f>
        <v>104.2</v>
      </c>
      <c r="T52" s="67">
        <f t="shared" si="9"/>
        <v>164.2</v>
      </c>
      <c r="U52" s="67">
        <f t="shared" si="9"/>
        <v>154.19999999999999</v>
      </c>
      <c r="V52" s="67">
        <f t="shared" si="9"/>
        <v>134.19999999999999</v>
      </c>
      <c r="W52" s="67">
        <f t="shared" si="9"/>
        <v>94.2</v>
      </c>
      <c r="X52" s="67">
        <f t="shared" si="9"/>
        <v>124.2</v>
      </c>
      <c r="Y52" s="67">
        <f t="shared" si="9"/>
        <v>204.2</v>
      </c>
      <c r="Z52" s="67">
        <f t="shared" si="9"/>
        <v>214.2</v>
      </c>
      <c r="AA52" s="67">
        <f t="shared" si="9"/>
        <v>184.2</v>
      </c>
      <c r="AB52" s="67">
        <f t="shared" si="9"/>
        <v>184.2</v>
      </c>
      <c r="AC52" s="67">
        <f t="shared" si="9"/>
        <v>184.2</v>
      </c>
      <c r="AD52" s="67">
        <f t="shared" si="9"/>
        <v>144.19999999999999</v>
      </c>
      <c r="AE52" s="67">
        <f t="shared" si="9"/>
        <v>114.2</v>
      </c>
      <c r="AF52" s="67">
        <f t="shared" si="9"/>
        <v>114.2</v>
      </c>
      <c r="AG52" s="68">
        <f t="shared" si="9"/>
        <v>538.1</v>
      </c>
      <c r="AH52" s="52">
        <f t="shared" si="2"/>
        <v>214.2</v>
      </c>
      <c r="AI52" s="53">
        <f t="shared" si="3"/>
        <v>34.5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45</v>
      </c>
      <c r="I53" s="50">
        <v>93</v>
      </c>
      <c r="J53" s="50">
        <v>130</v>
      </c>
      <c r="K53" s="50">
        <v>132.30000000000001</v>
      </c>
      <c r="L53" s="50">
        <v>132.30000000000001</v>
      </c>
      <c r="M53" s="50">
        <v>113</v>
      </c>
      <c r="N53" s="50">
        <v>71</v>
      </c>
      <c r="O53" s="50">
        <v>61</v>
      </c>
      <c r="P53" s="50">
        <v>60.3</v>
      </c>
      <c r="Q53" s="50">
        <v>91.2</v>
      </c>
      <c r="R53" s="50">
        <v>70.2</v>
      </c>
      <c r="S53" s="50">
        <v>81</v>
      </c>
      <c r="T53" s="50">
        <v>93.3</v>
      </c>
      <c r="U53" s="50">
        <v>73</v>
      </c>
      <c r="V53" s="50">
        <v>60</v>
      </c>
      <c r="W53" s="50">
        <v>60</v>
      </c>
      <c r="X53" s="50">
        <v>81</v>
      </c>
      <c r="Y53" s="50">
        <v>125</v>
      </c>
      <c r="Z53" s="50">
        <v>136</v>
      </c>
      <c r="AA53" s="50">
        <v>115</v>
      </c>
      <c r="AB53" s="50">
        <v>70.5</v>
      </c>
      <c r="AC53" s="50">
        <v>28.6</v>
      </c>
      <c r="AD53" s="50">
        <v>28.6</v>
      </c>
      <c r="AE53" s="50">
        <v>0</v>
      </c>
      <c r="AF53" s="50">
        <v>0</v>
      </c>
      <c r="AG53" s="56">
        <v>144</v>
      </c>
      <c r="AH53" s="52">
        <f t="shared" si="2"/>
        <v>136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50">
        <v>0</v>
      </c>
      <c r="AA54" s="50">
        <v>0</v>
      </c>
      <c r="AB54" s="50">
        <v>0</v>
      </c>
      <c r="AC54" s="50">
        <v>0</v>
      </c>
      <c r="AD54" s="72">
        <v>0</v>
      </c>
      <c r="AE54" s="72">
        <v>0</v>
      </c>
      <c r="AF54" s="72">
        <v>0</v>
      </c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40.6</v>
      </c>
      <c r="C55" s="72">
        <v>20.100000000000001</v>
      </c>
      <c r="D55" s="72">
        <v>16</v>
      </c>
      <c r="E55" s="72">
        <v>16</v>
      </c>
      <c r="F55" s="72">
        <v>16</v>
      </c>
      <c r="G55" s="72">
        <v>16</v>
      </c>
      <c r="H55" s="72">
        <v>16</v>
      </c>
      <c r="I55" s="72">
        <v>23</v>
      </c>
      <c r="J55" s="72">
        <v>46</v>
      </c>
      <c r="K55" s="72">
        <v>34.799999999999997</v>
      </c>
      <c r="L55" s="72">
        <v>34.799999999999997</v>
      </c>
      <c r="M55" s="72">
        <v>53</v>
      </c>
      <c r="N55" s="72">
        <v>32.799999999999997</v>
      </c>
      <c r="O55" s="72">
        <v>45.5</v>
      </c>
      <c r="P55" s="72">
        <v>35.6</v>
      </c>
      <c r="Q55" s="72">
        <v>45.5</v>
      </c>
      <c r="R55" s="72">
        <v>45.5</v>
      </c>
      <c r="S55" s="72">
        <v>45.5</v>
      </c>
      <c r="T55" s="72">
        <v>37</v>
      </c>
      <c r="U55" s="72">
        <v>37</v>
      </c>
      <c r="V55" s="72">
        <v>32.5</v>
      </c>
      <c r="W55" s="72">
        <v>32.5</v>
      </c>
      <c r="X55" s="72">
        <v>32.5</v>
      </c>
      <c r="Y55" s="72">
        <v>65.599999999999994</v>
      </c>
      <c r="Z55" s="50">
        <v>68</v>
      </c>
      <c r="AA55" s="50">
        <v>47</v>
      </c>
      <c r="AB55" s="50">
        <v>46.6</v>
      </c>
      <c r="AC55" s="50">
        <v>46.6</v>
      </c>
      <c r="AD55" s="72">
        <v>32.6</v>
      </c>
      <c r="AE55" s="72">
        <v>32.5</v>
      </c>
      <c r="AF55" s="72">
        <v>17.100000000000001</v>
      </c>
      <c r="AG55" s="61">
        <v>69</v>
      </c>
      <c r="AH55" s="52">
        <f t="shared" si="2"/>
        <v>68</v>
      </c>
      <c r="AI55" s="53">
        <f t="shared" si="3"/>
        <v>16</v>
      </c>
      <c r="AK55" s="54"/>
    </row>
    <row r="56" spans="1:41" x14ac:dyDescent="0.25">
      <c r="A56" s="60" t="s">
        <v>60</v>
      </c>
      <c r="B56" s="72">
        <v>38</v>
      </c>
      <c r="C56" s="72">
        <v>38</v>
      </c>
      <c r="D56" s="72">
        <v>39.1</v>
      </c>
      <c r="E56" s="72">
        <v>39.1</v>
      </c>
      <c r="F56" s="72">
        <v>39.1</v>
      </c>
      <c r="G56" s="72">
        <v>39.1</v>
      </c>
      <c r="H56" s="72">
        <v>39.1</v>
      </c>
      <c r="I56" s="72">
        <v>39.1</v>
      </c>
      <c r="J56" s="72">
        <v>39.1</v>
      </c>
      <c r="K56" s="72">
        <v>39.1</v>
      </c>
      <c r="L56" s="72">
        <v>39.1</v>
      </c>
      <c r="M56" s="72">
        <v>36.299999999999997</v>
      </c>
      <c r="N56" s="72">
        <v>36.299999999999997</v>
      </c>
      <c r="O56" s="72">
        <v>36.299999999999997</v>
      </c>
      <c r="P56" s="72">
        <v>36.299999999999997</v>
      </c>
      <c r="Q56" s="72">
        <v>36.299999999999997</v>
      </c>
      <c r="R56" s="72">
        <v>36.299999999999997</v>
      </c>
      <c r="S56" s="72">
        <v>36.299999999999997</v>
      </c>
      <c r="T56" s="72">
        <v>36.299999999999997</v>
      </c>
      <c r="U56" s="72">
        <v>36.299999999999997</v>
      </c>
      <c r="V56" s="72">
        <v>36.299999999999997</v>
      </c>
      <c r="W56" s="72">
        <v>36.299999999999997</v>
      </c>
      <c r="X56" s="72">
        <v>36.299999999999997</v>
      </c>
      <c r="Y56" s="72">
        <v>35</v>
      </c>
      <c r="Z56" s="50">
        <v>35</v>
      </c>
      <c r="AA56" s="50">
        <v>35</v>
      </c>
      <c r="AB56" s="50">
        <v>35</v>
      </c>
      <c r="AC56" s="50">
        <v>35</v>
      </c>
      <c r="AD56" s="72">
        <v>36</v>
      </c>
      <c r="AE56" s="72">
        <v>36.299999999999997</v>
      </c>
      <c r="AF56" s="72">
        <v>36.299999999999997</v>
      </c>
      <c r="AG56" s="61">
        <v>60</v>
      </c>
      <c r="AH56" s="52">
        <f t="shared" si="2"/>
        <v>39.1</v>
      </c>
      <c r="AI56" s="53">
        <f t="shared" si="3"/>
        <v>35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15</v>
      </c>
      <c r="I57" s="72">
        <v>15</v>
      </c>
      <c r="J57" s="72">
        <v>15</v>
      </c>
      <c r="K57" s="72">
        <v>25.8</v>
      </c>
      <c r="L57" s="72">
        <v>25.8</v>
      </c>
      <c r="M57" s="72">
        <v>25.8</v>
      </c>
      <c r="N57" s="72">
        <v>14.6</v>
      </c>
      <c r="O57" s="72">
        <v>10.4</v>
      </c>
      <c r="P57" s="72">
        <v>10.4</v>
      </c>
      <c r="Q57" s="72">
        <v>10.4</v>
      </c>
      <c r="R57" s="72">
        <v>10.4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50">
        <v>15</v>
      </c>
      <c r="AA57" s="50">
        <v>25</v>
      </c>
      <c r="AB57" s="50">
        <v>25</v>
      </c>
      <c r="AC57" s="50">
        <v>15.6</v>
      </c>
      <c r="AD57" s="72">
        <v>15</v>
      </c>
      <c r="AE57" s="72">
        <v>10.1</v>
      </c>
      <c r="AF57" s="72">
        <v>0</v>
      </c>
      <c r="AG57" s="61">
        <v>30</v>
      </c>
      <c r="AH57" s="52">
        <f t="shared" si="2"/>
        <v>25.8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6</v>
      </c>
      <c r="O58" s="72">
        <v>6</v>
      </c>
      <c r="P58" s="72">
        <v>6</v>
      </c>
      <c r="Q58" s="72">
        <v>6</v>
      </c>
      <c r="R58" s="72">
        <v>6</v>
      </c>
      <c r="S58" s="72">
        <v>6</v>
      </c>
      <c r="T58" s="72">
        <v>6</v>
      </c>
      <c r="U58" s="72">
        <v>6</v>
      </c>
      <c r="V58" s="72">
        <v>0</v>
      </c>
      <c r="W58" s="72">
        <v>0</v>
      </c>
      <c r="X58" s="72">
        <v>0</v>
      </c>
      <c r="Y58" s="72">
        <v>0</v>
      </c>
      <c r="Z58" s="50">
        <v>0</v>
      </c>
      <c r="AA58" s="50">
        <v>0</v>
      </c>
      <c r="AB58" s="50">
        <v>0</v>
      </c>
      <c r="AC58" s="50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6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12</v>
      </c>
      <c r="AI59" s="53">
        <f t="shared" si="3"/>
        <v>12</v>
      </c>
      <c r="AK59" s="54"/>
    </row>
    <row r="60" spans="1:41" x14ac:dyDescent="0.25">
      <c r="A60" s="60" t="s">
        <v>64</v>
      </c>
      <c r="B60" s="72">
        <v>3.1</v>
      </c>
      <c r="C60" s="72">
        <v>3.1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3.1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8.6</v>
      </c>
      <c r="C61" s="72">
        <v>8.6</v>
      </c>
      <c r="D61" s="72">
        <v>8.9</v>
      </c>
      <c r="E61" s="72">
        <v>8.9</v>
      </c>
      <c r="F61" s="72">
        <v>8.9</v>
      </c>
      <c r="G61" s="72">
        <v>8.9</v>
      </c>
      <c r="H61" s="72">
        <v>8.9</v>
      </c>
      <c r="I61" s="72">
        <v>8.9</v>
      </c>
      <c r="J61" s="72">
        <v>8.9</v>
      </c>
      <c r="K61" s="72">
        <v>8.9</v>
      </c>
      <c r="L61" s="72">
        <v>8.9</v>
      </c>
      <c r="M61" s="72">
        <v>8.9</v>
      </c>
      <c r="N61" s="72">
        <v>8.9</v>
      </c>
      <c r="O61" s="72">
        <v>8.9</v>
      </c>
      <c r="P61" s="72">
        <v>8.9</v>
      </c>
      <c r="Q61" s="72">
        <v>8.9</v>
      </c>
      <c r="R61" s="72">
        <v>8.9</v>
      </c>
      <c r="S61" s="72">
        <v>8.9</v>
      </c>
      <c r="T61" s="72">
        <v>8.9</v>
      </c>
      <c r="U61" s="72">
        <v>8.9</v>
      </c>
      <c r="V61" s="72">
        <v>8.9</v>
      </c>
      <c r="W61" s="72">
        <v>8.9</v>
      </c>
      <c r="X61" s="72">
        <v>8.9</v>
      </c>
      <c r="Y61" s="72">
        <v>8.9</v>
      </c>
      <c r="Z61" s="72">
        <v>8.9</v>
      </c>
      <c r="AA61" s="72">
        <v>8.9</v>
      </c>
      <c r="AB61" s="72">
        <v>8.9</v>
      </c>
      <c r="AC61" s="72">
        <v>8.9</v>
      </c>
      <c r="AD61" s="72">
        <v>8.9</v>
      </c>
      <c r="AE61" s="72">
        <v>9.1999999999999993</v>
      </c>
      <c r="AF61" s="72">
        <v>9.1999999999999993</v>
      </c>
      <c r="AG61" s="61">
        <v>14.1</v>
      </c>
      <c r="AH61" s="52">
        <f t="shared" si="2"/>
        <v>9.1999999999999993</v>
      </c>
      <c r="AI61" s="53">
        <f t="shared" si="3"/>
        <v>8.6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3.2</v>
      </c>
      <c r="C62" s="72">
        <v>3.2</v>
      </c>
      <c r="D62" s="72">
        <v>3</v>
      </c>
      <c r="E62" s="72">
        <v>3</v>
      </c>
      <c r="F62" s="72">
        <v>3</v>
      </c>
      <c r="G62" s="72">
        <v>3</v>
      </c>
      <c r="H62" s="72">
        <v>3</v>
      </c>
      <c r="I62" s="72">
        <v>3</v>
      </c>
      <c r="J62" s="72">
        <v>3</v>
      </c>
      <c r="K62" s="72">
        <v>3</v>
      </c>
      <c r="L62" s="72">
        <v>3</v>
      </c>
      <c r="M62" s="72">
        <v>3</v>
      </c>
      <c r="N62" s="72">
        <v>3</v>
      </c>
      <c r="O62" s="72">
        <v>3</v>
      </c>
      <c r="P62" s="72">
        <v>3</v>
      </c>
      <c r="Q62" s="72">
        <v>3</v>
      </c>
      <c r="R62" s="72">
        <v>3</v>
      </c>
      <c r="S62" s="72">
        <v>3</v>
      </c>
      <c r="T62" s="72">
        <v>3</v>
      </c>
      <c r="U62" s="72">
        <v>3</v>
      </c>
      <c r="V62" s="72">
        <v>4.8</v>
      </c>
      <c r="W62" s="72">
        <v>4.8</v>
      </c>
      <c r="X62" s="72">
        <v>4.8</v>
      </c>
      <c r="Y62" s="72">
        <v>4.8</v>
      </c>
      <c r="Z62" s="72">
        <v>4.8</v>
      </c>
      <c r="AA62" s="72">
        <v>4.8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4.8</v>
      </c>
      <c r="AI62" s="53">
        <f t="shared" si="3"/>
        <v>3</v>
      </c>
      <c r="AK62" s="54"/>
    </row>
    <row r="63" spans="1:41" x14ac:dyDescent="0.25">
      <c r="A63" s="60" t="s">
        <v>67</v>
      </c>
      <c r="B63" s="72">
        <v>4.5</v>
      </c>
      <c r="C63" s="72">
        <v>4.5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4</v>
      </c>
      <c r="AC63" s="72">
        <v>4</v>
      </c>
      <c r="AD63" s="72">
        <v>0</v>
      </c>
      <c r="AE63" s="72">
        <v>0</v>
      </c>
      <c r="AF63" s="72">
        <v>4</v>
      </c>
      <c r="AG63" s="61">
        <v>10.050000000000001</v>
      </c>
      <c r="AH63" s="52">
        <f t="shared" si="2"/>
        <v>4.5</v>
      </c>
      <c r="AI63" s="53">
        <f t="shared" si="3"/>
        <v>0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C66" si="12">SUM(B53:B65)</f>
        <v>115.13999999999999</v>
      </c>
      <c r="C66" s="67">
        <f t="shared" si="12"/>
        <v>94.639999999999986</v>
      </c>
      <c r="D66" s="67">
        <f t="shared" ref="D66:AG66" si="13">SUM(D53:D65)</f>
        <v>91.54</v>
      </c>
      <c r="E66" s="67">
        <f t="shared" ref="E66:H66" si="14">SUM(E53:E65)</f>
        <v>91.54</v>
      </c>
      <c r="F66" s="67">
        <f t="shared" si="14"/>
        <v>91.54</v>
      </c>
      <c r="G66" s="67">
        <f t="shared" si="14"/>
        <v>91.54</v>
      </c>
      <c r="H66" s="67">
        <f t="shared" si="14"/>
        <v>151.54</v>
      </c>
      <c r="I66" s="67">
        <f t="shared" si="13"/>
        <v>206.54</v>
      </c>
      <c r="J66" s="67">
        <f t="shared" si="13"/>
        <v>266.54000000000002</v>
      </c>
      <c r="K66" s="67">
        <f t="shared" ref="K66:L66" si="15">SUM(K53:K65)</f>
        <v>268.44000000000005</v>
      </c>
      <c r="L66" s="67">
        <f t="shared" si="15"/>
        <v>268.44000000000005</v>
      </c>
      <c r="M66" s="67">
        <f t="shared" si="13"/>
        <v>264.54000000000008</v>
      </c>
      <c r="N66" s="67">
        <f t="shared" si="13"/>
        <v>197.14</v>
      </c>
      <c r="O66" s="67">
        <f t="shared" si="13"/>
        <v>195.64000000000001</v>
      </c>
      <c r="P66" s="67">
        <f t="shared" si="13"/>
        <v>185.04</v>
      </c>
      <c r="Q66" s="67">
        <f t="shared" si="13"/>
        <v>225.84</v>
      </c>
      <c r="R66" s="67">
        <f t="shared" si="13"/>
        <v>204.84</v>
      </c>
      <c r="S66" s="67">
        <f>SUM(S53:S65)</f>
        <v>205.24</v>
      </c>
      <c r="T66" s="67">
        <f t="shared" si="13"/>
        <v>209.04000000000002</v>
      </c>
      <c r="U66" s="67">
        <f t="shared" si="13"/>
        <v>184.74</v>
      </c>
      <c r="V66" s="67">
        <f t="shared" si="13"/>
        <v>163.04000000000002</v>
      </c>
      <c r="W66" s="67">
        <f t="shared" si="13"/>
        <v>163.04000000000002</v>
      </c>
      <c r="X66" s="67">
        <f t="shared" si="13"/>
        <v>184.04000000000002</v>
      </c>
      <c r="Y66" s="67">
        <f t="shared" si="13"/>
        <v>259.84000000000003</v>
      </c>
      <c r="Z66" s="67">
        <f t="shared" si="13"/>
        <v>288.24</v>
      </c>
      <c r="AA66" s="67">
        <f t="shared" si="13"/>
        <v>256.24</v>
      </c>
      <c r="AB66" s="67">
        <f t="shared" si="13"/>
        <v>215.34</v>
      </c>
      <c r="AC66" s="67">
        <f t="shared" si="13"/>
        <v>164.04000000000002</v>
      </c>
      <c r="AD66" s="67">
        <f t="shared" si="13"/>
        <v>146.44</v>
      </c>
      <c r="AE66" s="67">
        <f t="shared" si="13"/>
        <v>113.44</v>
      </c>
      <c r="AF66" s="67">
        <f t="shared" si="13"/>
        <v>91.940000000000012</v>
      </c>
      <c r="AG66" s="68">
        <f t="shared" si="13"/>
        <v>489.91</v>
      </c>
      <c r="AH66" s="52">
        <f t="shared" si="2"/>
        <v>288.24</v>
      </c>
      <c r="AI66" s="53">
        <f t="shared" si="3"/>
        <v>91.54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14</v>
      </c>
      <c r="N67" s="50">
        <v>14</v>
      </c>
      <c r="O67" s="50">
        <v>30</v>
      </c>
      <c r="P67" s="50">
        <v>30</v>
      </c>
      <c r="Q67" s="50">
        <v>30</v>
      </c>
      <c r="R67" s="50">
        <v>30</v>
      </c>
      <c r="S67" s="50">
        <v>30</v>
      </c>
      <c r="T67" s="50">
        <v>50</v>
      </c>
      <c r="U67" s="50">
        <v>60</v>
      </c>
      <c r="V67" s="50">
        <v>60</v>
      </c>
      <c r="W67" s="50">
        <v>50</v>
      </c>
      <c r="X67" s="50">
        <v>40</v>
      </c>
      <c r="Y67" s="50">
        <v>40</v>
      </c>
      <c r="Z67" s="50">
        <v>30</v>
      </c>
      <c r="AA67" s="50">
        <v>14</v>
      </c>
      <c r="AB67" s="50">
        <v>14</v>
      </c>
      <c r="AC67" s="50">
        <v>14</v>
      </c>
      <c r="AD67" s="50">
        <v>14</v>
      </c>
      <c r="AE67" s="50">
        <v>14</v>
      </c>
      <c r="AF67" s="50">
        <v>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72</v>
      </c>
      <c r="B68" s="50">
        <v>0</v>
      </c>
      <c r="C68" s="50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4.7</v>
      </c>
      <c r="N68" s="72">
        <v>6</v>
      </c>
      <c r="O68" s="72">
        <v>13.6</v>
      </c>
      <c r="P68" s="72">
        <v>13.6</v>
      </c>
      <c r="Q68" s="50">
        <v>14.3</v>
      </c>
      <c r="R68" s="50">
        <v>14.3</v>
      </c>
      <c r="S68" s="50">
        <v>14.3</v>
      </c>
      <c r="T68" s="72">
        <v>20.8</v>
      </c>
      <c r="U68" s="72">
        <v>27</v>
      </c>
      <c r="V68" s="72">
        <v>28.2</v>
      </c>
      <c r="W68" s="72">
        <v>24.3</v>
      </c>
      <c r="X68" s="72">
        <v>16.8</v>
      </c>
      <c r="Y68" s="72">
        <v>16.8</v>
      </c>
      <c r="Z68" s="72">
        <v>15.4</v>
      </c>
      <c r="AA68" s="72">
        <v>12</v>
      </c>
      <c r="AB68" s="72">
        <v>6.5</v>
      </c>
      <c r="AC68" s="72">
        <v>4.4000000000000004</v>
      </c>
      <c r="AD68" s="72">
        <v>5.2</v>
      </c>
      <c r="AE68" s="72">
        <v>5.8</v>
      </c>
      <c r="AF68" s="50">
        <v>0</v>
      </c>
      <c r="AG68" s="61">
        <v>32</v>
      </c>
      <c r="AH68" s="52">
        <f t="shared" si="2"/>
        <v>28.2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50">
        <v>0</v>
      </c>
      <c r="C69" s="50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1.7</v>
      </c>
      <c r="N69" s="74">
        <v>2.2000000000000002</v>
      </c>
      <c r="O69" s="74">
        <v>5</v>
      </c>
      <c r="P69" s="74">
        <v>5</v>
      </c>
      <c r="Q69" s="50">
        <v>5.2</v>
      </c>
      <c r="R69" s="50">
        <v>5.2</v>
      </c>
      <c r="S69" s="50">
        <v>5.2</v>
      </c>
      <c r="T69" s="74">
        <v>7.6</v>
      </c>
      <c r="U69" s="74">
        <v>10</v>
      </c>
      <c r="V69" s="74">
        <v>10</v>
      </c>
      <c r="W69" s="74">
        <v>8.9</v>
      </c>
      <c r="X69" s="74">
        <v>6.1</v>
      </c>
      <c r="Y69" s="74">
        <v>6.1</v>
      </c>
      <c r="Z69" s="74">
        <v>5.6</v>
      </c>
      <c r="AA69" s="74">
        <v>4.5</v>
      </c>
      <c r="AB69" s="74">
        <v>2.4</v>
      </c>
      <c r="AC69" s="74">
        <v>1.6</v>
      </c>
      <c r="AD69" s="74">
        <v>1.9</v>
      </c>
      <c r="AE69" s="74">
        <v>2.1</v>
      </c>
      <c r="AF69" s="50">
        <v>0</v>
      </c>
      <c r="AG69" s="75">
        <v>14</v>
      </c>
      <c r="AH69" s="52">
        <f t="shared" si="2"/>
        <v>10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:C70" si="16">B67+B68+B69</f>
        <v>0</v>
      </c>
      <c r="C70" s="67">
        <f t="shared" si="16"/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f t="shared" ref="M70:AF70" si="17">M67+M68+M69</f>
        <v>20.399999999999999</v>
      </c>
      <c r="N70" s="67">
        <f t="shared" si="17"/>
        <v>22.2</v>
      </c>
      <c r="O70" s="67">
        <f t="shared" si="17"/>
        <v>48.6</v>
      </c>
      <c r="P70" s="67">
        <f t="shared" si="17"/>
        <v>48.6</v>
      </c>
      <c r="Q70" s="67">
        <f t="shared" si="17"/>
        <v>49.5</v>
      </c>
      <c r="R70" s="67">
        <f t="shared" si="17"/>
        <v>49.5</v>
      </c>
      <c r="S70" s="67">
        <f>S67+S68+S69</f>
        <v>49.5</v>
      </c>
      <c r="T70" s="67">
        <f t="shared" si="17"/>
        <v>78.399999999999991</v>
      </c>
      <c r="U70" s="67">
        <f t="shared" si="17"/>
        <v>97</v>
      </c>
      <c r="V70" s="67">
        <f t="shared" si="17"/>
        <v>98.2</v>
      </c>
      <c r="W70" s="67">
        <f t="shared" si="17"/>
        <v>83.2</v>
      </c>
      <c r="X70" s="67">
        <f t="shared" si="17"/>
        <v>62.9</v>
      </c>
      <c r="Y70" s="67">
        <f t="shared" si="17"/>
        <v>62.9</v>
      </c>
      <c r="Z70" s="67">
        <f t="shared" si="17"/>
        <v>51</v>
      </c>
      <c r="AA70" s="67">
        <f t="shared" si="17"/>
        <v>30.5</v>
      </c>
      <c r="AB70" s="67">
        <f t="shared" si="17"/>
        <v>22.9</v>
      </c>
      <c r="AC70" s="67">
        <f t="shared" si="17"/>
        <v>20</v>
      </c>
      <c r="AD70" s="67">
        <f t="shared" si="17"/>
        <v>21.099999999999998</v>
      </c>
      <c r="AE70" s="67">
        <f t="shared" si="17"/>
        <v>21.900000000000002</v>
      </c>
      <c r="AF70" s="67">
        <f t="shared" si="17"/>
        <v>0</v>
      </c>
      <c r="AG70" s="68">
        <f>SUM(AG67:AG69)</f>
        <v>106</v>
      </c>
      <c r="AH70" s="52">
        <f t="shared" si="2"/>
        <v>98.2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63.5</v>
      </c>
      <c r="C71" s="50">
        <v>67.599999999999994</v>
      </c>
      <c r="D71" s="50">
        <v>66.7</v>
      </c>
      <c r="E71" s="50">
        <v>61</v>
      </c>
      <c r="F71" s="50">
        <v>65</v>
      </c>
      <c r="G71" s="50">
        <v>73</v>
      </c>
      <c r="H71" s="50">
        <v>61</v>
      </c>
      <c r="I71" s="50">
        <v>62.1</v>
      </c>
      <c r="J71" s="50">
        <v>52.2</v>
      </c>
      <c r="K71" s="50">
        <v>63.2</v>
      </c>
      <c r="L71" s="50">
        <v>63.2</v>
      </c>
      <c r="M71" s="50">
        <v>61</v>
      </c>
      <c r="N71" s="50">
        <v>72.099999999999994</v>
      </c>
      <c r="O71" s="50">
        <v>63.8</v>
      </c>
      <c r="P71" s="50">
        <v>63</v>
      </c>
      <c r="Q71" s="50">
        <v>75.400000000000006</v>
      </c>
      <c r="R71" s="50">
        <v>71.400000000000006</v>
      </c>
      <c r="S71" s="50">
        <v>73.400000000000006</v>
      </c>
      <c r="T71" s="50">
        <v>70.099999999999994</v>
      </c>
      <c r="U71" s="50">
        <v>62</v>
      </c>
      <c r="V71" s="50">
        <v>73.599999999999994</v>
      </c>
      <c r="W71" s="50">
        <v>67</v>
      </c>
      <c r="X71" s="50">
        <v>59</v>
      </c>
      <c r="Y71" s="50">
        <v>77</v>
      </c>
      <c r="Z71" s="50">
        <v>57</v>
      </c>
      <c r="AA71" s="50">
        <v>58</v>
      </c>
      <c r="AB71" s="50">
        <v>58</v>
      </c>
      <c r="AC71" s="50">
        <v>73.599999999999994</v>
      </c>
      <c r="AD71" s="50">
        <v>67.2</v>
      </c>
      <c r="AE71" s="50">
        <v>64.7</v>
      </c>
      <c r="AF71" s="50">
        <v>71.5</v>
      </c>
      <c r="AG71" s="56"/>
      <c r="AH71" s="52">
        <f t="shared" si="2"/>
        <v>77</v>
      </c>
      <c r="AI71" s="53">
        <f t="shared" si="3"/>
        <v>52.2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350.1</v>
      </c>
      <c r="C73" s="72">
        <v>335.6</v>
      </c>
      <c r="D73" s="72">
        <v>351</v>
      </c>
      <c r="E73" s="72">
        <v>345</v>
      </c>
      <c r="F73" s="72">
        <v>352</v>
      </c>
      <c r="G73" s="72">
        <v>390</v>
      </c>
      <c r="H73" s="72">
        <v>345</v>
      </c>
      <c r="I73" s="72">
        <v>325</v>
      </c>
      <c r="J73" s="72">
        <v>290</v>
      </c>
      <c r="K73" s="72">
        <v>282.89999999999998</v>
      </c>
      <c r="L73" s="72">
        <v>285</v>
      </c>
      <c r="M73" s="72">
        <v>337.9</v>
      </c>
      <c r="N73" s="72">
        <v>337.4</v>
      </c>
      <c r="O73" s="72">
        <v>343.6</v>
      </c>
      <c r="P73" s="72">
        <v>337</v>
      </c>
      <c r="Q73" s="72">
        <v>359.1</v>
      </c>
      <c r="R73" s="72">
        <v>360.1</v>
      </c>
      <c r="S73" s="72">
        <v>383</v>
      </c>
      <c r="T73" s="72">
        <v>354</v>
      </c>
      <c r="U73" s="72">
        <v>342</v>
      </c>
      <c r="V73" s="72">
        <v>305</v>
      </c>
      <c r="W73" s="72">
        <v>330</v>
      </c>
      <c r="X73" s="72">
        <v>340</v>
      </c>
      <c r="Y73" s="72">
        <v>342</v>
      </c>
      <c r="Z73" s="72">
        <v>306</v>
      </c>
      <c r="AA73" s="72">
        <v>282</v>
      </c>
      <c r="AB73" s="72">
        <v>288</v>
      </c>
      <c r="AC73" s="72">
        <v>325.60000000000002</v>
      </c>
      <c r="AD73" s="72">
        <v>324.5</v>
      </c>
      <c r="AE73" s="72">
        <v>345.6</v>
      </c>
      <c r="AF73" s="72">
        <v>325</v>
      </c>
      <c r="AG73" s="82">
        <f>39-15</f>
        <v>24</v>
      </c>
      <c r="AH73" s="52">
        <f t="shared" si="2"/>
        <v>390</v>
      </c>
      <c r="AI73" s="53">
        <f t="shared" si="3"/>
        <v>282</v>
      </c>
      <c r="AK73" s="54"/>
    </row>
    <row r="74" spans="1:40" x14ac:dyDescent="0.25">
      <c r="A74" s="60" t="s">
        <v>78</v>
      </c>
      <c r="B74" s="72">
        <v>60.1</v>
      </c>
      <c r="C74" s="72">
        <v>60.2</v>
      </c>
      <c r="D74" s="72">
        <v>60.1</v>
      </c>
      <c r="E74" s="72">
        <v>57.4</v>
      </c>
      <c r="F74" s="72">
        <v>57.4</v>
      </c>
      <c r="G74" s="72">
        <v>57.4</v>
      </c>
      <c r="H74" s="72">
        <v>57.4</v>
      </c>
      <c r="I74" s="72">
        <v>57.4</v>
      </c>
      <c r="J74" s="83">
        <v>62.5</v>
      </c>
      <c r="K74" s="83">
        <v>63.6</v>
      </c>
      <c r="L74" s="83">
        <v>63.6</v>
      </c>
      <c r="M74" s="83">
        <v>62.1</v>
      </c>
      <c r="N74" s="83">
        <v>63.1</v>
      </c>
      <c r="O74" s="83">
        <v>60.4</v>
      </c>
      <c r="P74" s="83">
        <v>66.5</v>
      </c>
      <c r="Q74" s="83">
        <v>67.8</v>
      </c>
      <c r="R74" s="83">
        <v>67.3</v>
      </c>
      <c r="S74" s="83">
        <v>66.400000000000006</v>
      </c>
      <c r="T74" s="83">
        <v>61.3</v>
      </c>
      <c r="U74" s="83">
        <v>70.400000000000006</v>
      </c>
      <c r="V74" s="83">
        <v>64.099999999999994</v>
      </c>
      <c r="W74" s="83">
        <v>57</v>
      </c>
      <c r="X74" s="83">
        <v>61.4</v>
      </c>
      <c r="Y74" s="83">
        <v>62</v>
      </c>
      <c r="Z74" s="72">
        <v>67</v>
      </c>
      <c r="AA74" s="72">
        <v>63</v>
      </c>
      <c r="AB74" s="72">
        <v>60</v>
      </c>
      <c r="AC74" s="72">
        <v>59.9</v>
      </c>
      <c r="AD74" s="72">
        <v>52.8</v>
      </c>
      <c r="AE74" s="72">
        <v>55.8</v>
      </c>
      <c r="AF74" s="72">
        <v>59.9</v>
      </c>
      <c r="AG74" s="82"/>
      <c r="AH74" s="52">
        <f t="shared" si="2"/>
        <v>70.400000000000006</v>
      </c>
      <c r="AI74" s="53">
        <f t="shared" si="3"/>
        <v>52.8</v>
      </c>
      <c r="AK74" s="54"/>
    </row>
    <row r="75" spans="1:40" x14ac:dyDescent="0.25">
      <c r="A75" s="60" t="s">
        <v>79</v>
      </c>
      <c r="B75" s="50">
        <v>79</v>
      </c>
      <c r="C75" s="50">
        <v>89.8</v>
      </c>
      <c r="D75" s="50">
        <v>82.2</v>
      </c>
      <c r="E75" s="50">
        <v>80.8</v>
      </c>
      <c r="F75" s="50">
        <v>80.8</v>
      </c>
      <c r="G75" s="50">
        <v>80.8</v>
      </c>
      <c r="H75" s="50">
        <v>80.8</v>
      </c>
      <c r="I75" s="50">
        <v>80.8</v>
      </c>
      <c r="J75" s="50">
        <v>70</v>
      </c>
      <c r="K75" s="50">
        <v>55</v>
      </c>
      <c r="L75" s="50">
        <v>55</v>
      </c>
      <c r="M75" s="50">
        <v>75</v>
      </c>
      <c r="N75" s="50">
        <v>84.4</v>
      </c>
      <c r="O75" s="50">
        <v>84.9</v>
      </c>
      <c r="P75" s="50">
        <v>71.3</v>
      </c>
      <c r="Q75" s="50">
        <v>81.5</v>
      </c>
      <c r="R75" s="50">
        <v>82.4</v>
      </c>
      <c r="S75" s="50">
        <v>76.8</v>
      </c>
      <c r="T75" s="50">
        <v>70.5</v>
      </c>
      <c r="U75" s="50">
        <v>90</v>
      </c>
      <c r="V75" s="50">
        <v>87.4</v>
      </c>
      <c r="W75" s="50">
        <v>82</v>
      </c>
      <c r="X75" s="50">
        <v>83.1</v>
      </c>
      <c r="Y75" s="50">
        <v>91</v>
      </c>
      <c r="Z75" s="50">
        <v>91</v>
      </c>
      <c r="AA75" s="50">
        <v>91</v>
      </c>
      <c r="AB75" s="50">
        <v>85</v>
      </c>
      <c r="AC75" s="50">
        <v>80.599999999999994</v>
      </c>
      <c r="AD75" s="50">
        <v>87.6</v>
      </c>
      <c r="AE75" s="50">
        <v>80.3</v>
      </c>
      <c r="AF75" s="50">
        <v>71.8</v>
      </c>
      <c r="AG75" s="82"/>
      <c r="AH75" s="52">
        <f t="shared" ref="AH75:AH117" si="18">MAX(B75:AF75)</f>
        <v>91</v>
      </c>
      <c r="AI75" s="53">
        <f t="shared" ref="AI75:AI117" si="19">MIN(B75:AF75)</f>
        <v>55</v>
      </c>
      <c r="AK75" s="54"/>
    </row>
    <row r="76" spans="1:40" x14ac:dyDescent="0.25">
      <c r="A76" s="60" t="s">
        <v>80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8"/>
        <v>5</v>
      </c>
      <c r="AI76" s="53">
        <f t="shared" si="19"/>
        <v>5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8"/>
        <v>0</v>
      </c>
      <c r="AI77" s="53">
        <f t="shared" si="19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8"/>
        <v>0</v>
      </c>
      <c r="AI78" s="53">
        <f t="shared" si="19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8"/>
        <v>0</v>
      </c>
      <c r="AI79" s="53">
        <f t="shared" si="19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8"/>
        <v>0</v>
      </c>
      <c r="AI80" s="53">
        <f t="shared" si="19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/>
      <c r="C81" s="84"/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8"/>
        <v>0</v>
      </c>
      <c r="AI81" s="53">
        <f t="shared" si="19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C82" si="20">SUMIF(B71:B81,"&gt;0")</f>
        <v>557.70000000000005</v>
      </c>
      <c r="C82" s="67">
        <f t="shared" si="20"/>
        <v>558.20000000000005</v>
      </c>
      <c r="D82" s="67">
        <f t="shared" ref="D82:AF82" si="21">SUMIF(D71:D81,"&gt;0")</f>
        <v>565</v>
      </c>
      <c r="E82" s="67">
        <f t="shared" ref="E82:H82" si="22">SUMIF(E71:E81,"&gt;0")</f>
        <v>549.19999999999993</v>
      </c>
      <c r="F82" s="67">
        <f t="shared" si="22"/>
        <v>560.19999999999993</v>
      </c>
      <c r="G82" s="67">
        <f t="shared" si="22"/>
        <v>606.19999999999993</v>
      </c>
      <c r="H82" s="67">
        <f t="shared" si="22"/>
        <v>549.19999999999993</v>
      </c>
      <c r="I82" s="67">
        <f t="shared" si="21"/>
        <v>530.29999999999995</v>
      </c>
      <c r="J82" s="67">
        <f t="shared" si="21"/>
        <v>479.7</v>
      </c>
      <c r="K82" s="67">
        <f t="shared" ref="K82:L82" si="23">SUMIF(K71:K81,"&gt;0")</f>
        <v>469.7</v>
      </c>
      <c r="L82" s="67">
        <f t="shared" si="23"/>
        <v>471.8</v>
      </c>
      <c r="M82" s="67">
        <f t="shared" si="21"/>
        <v>541</v>
      </c>
      <c r="N82" s="67">
        <f t="shared" si="21"/>
        <v>562</v>
      </c>
      <c r="O82" s="67">
        <f t="shared" si="21"/>
        <v>557.70000000000005</v>
      </c>
      <c r="P82" s="67">
        <f t="shared" si="21"/>
        <v>542.79999999999995</v>
      </c>
      <c r="Q82" s="67">
        <f t="shared" si="21"/>
        <v>588.79999999999995</v>
      </c>
      <c r="R82" s="67">
        <f t="shared" si="21"/>
        <v>586.20000000000005</v>
      </c>
      <c r="S82" s="67">
        <f>SUMIF(S71:S81,"&gt;0")</f>
        <v>604.59999999999991</v>
      </c>
      <c r="T82" s="67">
        <f t="shared" si="21"/>
        <v>560.90000000000009</v>
      </c>
      <c r="U82" s="67">
        <f t="shared" si="21"/>
        <v>569.4</v>
      </c>
      <c r="V82" s="67">
        <f t="shared" si="21"/>
        <v>535.1</v>
      </c>
      <c r="W82" s="67">
        <f t="shared" si="21"/>
        <v>541</v>
      </c>
      <c r="X82" s="67">
        <f t="shared" si="21"/>
        <v>548.5</v>
      </c>
      <c r="Y82" s="67">
        <f t="shared" si="21"/>
        <v>577</v>
      </c>
      <c r="Z82" s="67">
        <f t="shared" si="21"/>
        <v>526</v>
      </c>
      <c r="AA82" s="67">
        <f t="shared" si="21"/>
        <v>499</v>
      </c>
      <c r="AB82" s="67">
        <f t="shared" si="21"/>
        <v>496</v>
      </c>
      <c r="AC82" s="67">
        <f t="shared" si="21"/>
        <v>544.70000000000005</v>
      </c>
      <c r="AD82" s="67">
        <f t="shared" si="21"/>
        <v>537.1</v>
      </c>
      <c r="AE82" s="67">
        <f t="shared" si="21"/>
        <v>551.4</v>
      </c>
      <c r="AF82" s="67">
        <f t="shared" si="21"/>
        <v>533.19999999999993</v>
      </c>
      <c r="AG82" s="95">
        <f>SUM(AG71:AG81)</f>
        <v>24</v>
      </c>
      <c r="AH82" s="52">
        <f t="shared" si="18"/>
        <v>606.19999999999993</v>
      </c>
      <c r="AI82" s="53">
        <f t="shared" si="19"/>
        <v>469.7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8"/>
        <v>0</v>
      </c>
      <c r="AI83" s="53">
        <f t="shared" si="19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8"/>
        <v>0</v>
      </c>
      <c r="AI84" s="53">
        <f t="shared" si="19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8"/>
        <v>0</v>
      </c>
      <c r="AI85" s="53">
        <f t="shared" si="19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8"/>
        <v>0</v>
      </c>
      <c r="AI86" s="53">
        <f t="shared" si="19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C87" si="24">B48+B52+B70+B66+B82+B86</f>
        <v>1101.44</v>
      </c>
      <c r="C87" s="102">
        <f t="shared" si="24"/>
        <v>1055.74</v>
      </c>
      <c r="D87" s="102">
        <f t="shared" ref="D87:AG87" si="25">D48+D52+D70+D66+D82+D86</f>
        <v>1045.8400000000001</v>
      </c>
      <c r="E87" s="102">
        <f t="shared" ref="E87:H87" si="26">E48+E52+E70+E66+E82+E86</f>
        <v>1030.04</v>
      </c>
      <c r="F87" s="102">
        <f t="shared" si="26"/>
        <v>1041.04</v>
      </c>
      <c r="G87" s="102">
        <f t="shared" si="26"/>
        <v>1087.04</v>
      </c>
      <c r="H87" s="102">
        <f t="shared" si="26"/>
        <v>1090.04</v>
      </c>
      <c r="I87" s="102">
        <f t="shared" si="25"/>
        <v>1202.1399999999999</v>
      </c>
      <c r="J87" s="102">
        <f t="shared" si="25"/>
        <v>1255.54</v>
      </c>
      <c r="K87" s="102">
        <f t="shared" ref="K87:L87" si="27">K48+K52+K70+K66+K82+K86</f>
        <v>1267.44</v>
      </c>
      <c r="L87" s="102">
        <f t="shared" si="27"/>
        <v>1281.54</v>
      </c>
      <c r="M87" s="102">
        <f t="shared" si="25"/>
        <v>1335.2400000000002</v>
      </c>
      <c r="N87" s="102">
        <f t="shared" si="25"/>
        <v>1255.6399999999999</v>
      </c>
      <c r="O87" s="102">
        <f t="shared" si="25"/>
        <v>1256.2400000000002</v>
      </c>
      <c r="P87" s="102">
        <f t="shared" si="25"/>
        <v>1190.74</v>
      </c>
      <c r="Q87" s="102">
        <f t="shared" si="25"/>
        <v>1298.44</v>
      </c>
      <c r="R87" s="102">
        <f t="shared" si="25"/>
        <v>1294.8400000000001</v>
      </c>
      <c r="S87" s="102">
        <f t="shared" si="25"/>
        <v>1314.6399999999999</v>
      </c>
      <c r="T87" s="102">
        <f t="shared" si="25"/>
        <v>1363.64</v>
      </c>
      <c r="U87" s="102">
        <f t="shared" si="25"/>
        <v>1356.44</v>
      </c>
      <c r="V87" s="102">
        <f t="shared" si="25"/>
        <v>1281.6399999999999</v>
      </c>
      <c r="W87" s="102">
        <f t="shared" si="25"/>
        <v>1231.54</v>
      </c>
      <c r="X87" s="102">
        <f t="shared" si="25"/>
        <v>1269.74</v>
      </c>
      <c r="Y87" s="102">
        <f t="shared" si="25"/>
        <v>1454.04</v>
      </c>
      <c r="Z87" s="102">
        <f t="shared" si="25"/>
        <v>1435.54</v>
      </c>
      <c r="AA87" s="102">
        <f t="shared" si="25"/>
        <v>1326.04</v>
      </c>
      <c r="AB87" s="102">
        <f t="shared" si="25"/>
        <v>1274.54</v>
      </c>
      <c r="AC87" s="102">
        <f t="shared" si="25"/>
        <v>1269.04</v>
      </c>
      <c r="AD87" s="102">
        <f t="shared" si="25"/>
        <v>1204.94</v>
      </c>
      <c r="AE87" s="102">
        <f t="shared" si="25"/>
        <v>1163.8400000000001</v>
      </c>
      <c r="AF87" s="102">
        <f t="shared" si="25"/>
        <v>1089.3399999999999</v>
      </c>
      <c r="AG87" s="68">
        <f t="shared" si="25"/>
        <v>2089.09</v>
      </c>
      <c r="AH87" s="52">
        <f>MAX(B87:AF87)</f>
        <v>1454.04</v>
      </c>
      <c r="AI87" s="53">
        <f>MIN(B87:AF87)</f>
        <v>1030.04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>
        <v>50</v>
      </c>
      <c r="C88" s="104">
        <v>50</v>
      </c>
      <c r="D88" s="104">
        <v>50</v>
      </c>
      <c r="E88" s="104">
        <v>50</v>
      </c>
      <c r="F88" s="104">
        <v>50</v>
      </c>
      <c r="G88" s="104">
        <v>50</v>
      </c>
      <c r="H88" s="104">
        <v>50</v>
      </c>
      <c r="I88" s="104">
        <v>50</v>
      </c>
      <c r="J88" s="104">
        <v>50</v>
      </c>
      <c r="K88" s="104">
        <v>120</v>
      </c>
      <c r="L88" s="104">
        <v>120</v>
      </c>
      <c r="M88" s="104">
        <v>120</v>
      </c>
      <c r="N88" s="104">
        <v>120</v>
      </c>
      <c r="O88" s="104"/>
      <c r="P88" s="104"/>
      <c r="Q88" s="104"/>
      <c r="R88" s="104"/>
      <c r="S88" s="104"/>
      <c r="T88" s="104"/>
      <c r="U88" s="104"/>
      <c r="V88" s="104"/>
      <c r="W88" s="104">
        <v>100</v>
      </c>
      <c r="X88" s="104">
        <v>150</v>
      </c>
      <c r="Y88" s="104">
        <v>150</v>
      </c>
      <c r="Z88" s="104">
        <v>150</v>
      </c>
      <c r="AA88" s="104">
        <v>150</v>
      </c>
      <c r="AB88" s="104">
        <v>150</v>
      </c>
      <c r="AC88" s="104">
        <v>150</v>
      </c>
      <c r="AD88" s="104">
        <v>100</v>
      </c>
      <c r="AE88" s="104">
        <v>50</v>
      </c>
      <c r="AF88" s="104">
        <v>50</v>
      </c>
      <c r="AG88" s="95"/>
      <c r="AH88" s="52">
        <f t="shared" si="18"/>
        <v>150</v>
      </c>
      <c r="AI88" s="53">
        <f t="shared" si="19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C89" si="28">B87+B88</f>
        <v>1151.44</v>
      </c>
      <c r="C89" s="102">
        <f t="shared" si="28"/>
        <v>1105.74</v>
      </c>
      <c r="D89" s="102">
        <f t="shared" ref="D89:AF89" si="29">D87+D88</f>
        <v>1095.8400000000001</v>
      </c>
      <c r="E89" s="102">
        <f t="shared" ref="E89:H89" si="30">E87+E88</f>
        <v>1080.04</v>
      </c>
      <c r="F89" s="102">
        <f t="shared" si="30"/>
        <v>1091.04</v>
      </c>
      <c r="G89" s="102">
        <f t="shared" si="30"/>
        <v>1137.04</v>
      </c>
      <c r="H89" s="102">
        <f t="shared" si="30"/>
        <v>1140.04</v>
      </c>
      <c r="I89" s="102">
        <f t="shared" si="29"/>
        <v>1252.1399999999999</v>
      </c>
      <c r="J89" s="102">
        <f t="shared" si="29"/>
        <v>1305.54</v>
      </c>
      <c r="K89" s="102">
        <f t="shared" ref="K89" si="31">K87+K88</f>
        <v>1387.44</v>
      </c>
      <c r="L89" s="102">
        <f t="shared" si="29"/>
        <v>1401.54</v>
      </c>
      <c r="M89" s="102">
        <f t="shared" si="29"/>
        <v>1455.2400000000002</v>
      </c>
      <c r="N89" s="102">
        <f t="shared" si="29"/>
        <v>1375.6399999999999</v>
      </c>
      <c r="O89" s="102">
        <f t="shared" si="29"/>
        <v>1256.2400000000002</v>
      </c>
      <c r="P89" s="102">
        <f t="shared" si="29"/>
        <v>1190.74</v>
      </c>
      <c r="Q89" s="102">
        <f t="shared" si="29"/>
        <v>1298.44</v>
      </c>
      <c r="R89" s="102">
        <f t="shared" si="29"/>
        <v>1294.8400000000001</v>
      </c>
      <c r="S89" s="102">
        <f t="shared" si="29"/>
        <v>1314.6399999999999</v>
      </c>
      <c r="T89" s="102">
        <f t="shared" si="29"/>
        <v>1363.64</v>
      </c>
      <c r="U89" s="102">
        <f t="shared" si="29"/>
        <v>1356.44</v>
      </c>
      <c r="V89" s="102">
        <f t="shared" si="29"/>
        <v>1281.6399999999999</v>
      </c>
      <c r="W89" s="102">
        <f t="shared" si="29"/>
        <v>1331.54</v>
      </c>
      <c r="X89" s="102">
        <f t="shared" si="29"/>
        <v>1419.74</v>
      </c>
      <c r="Y89" s="102">
        <f t="shared" si="29"/>
        <v>1604.04</v>
      </c>
      <c r="Z89" s="102">
        <f t="shared" si="29"/>
        <v>1585.54</v>
      </c>
      <c r="AA89" s="102">
        <f t="shared" si="29"/>
        <v>1476.04</v>
      </c>
      <c r="AB89" s="102">
        <f t="shared" si="29"/>
        <v>1424.54</v>
      </c>
      <c r="AC89" s="102">
        <f t="shared" si="29"/>
        <v>1419.04</v>
      </c>
      <c r="AD89" s="102">
        <f t="shared" si="29"/>
        <v>1304.94</v>
      </c>
      <c r="AE89" s="102">
        <f t="shared" si="29"/>
        <v>1213.8400000000001</v>
      </c>
      <c r="AF89" s="102">
        <f t="shared" si="29"/>
        <v>1139.3399999999999</v>
      </c>
      <c r="AG89" s="95">
        <f>AG86+AG82+AG70+AG66+AG48+AG88</f>
        <v>1550.99</v>
      </c>
      <c r="AH89" s="52">
        <f t="shared" si="18"/>
        <v>1604.04</v>
      </c>
      <c r="AI89" s="53">
        <f t="shared" si="19"/>
        <v>1080.04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C90" si="32">B89-B97</f>
        <v>1151.44</v>
      </c>
      <c r="C90" s="102">
        <f t="shared" si="32"/>
        <v>1105.74</v>
      </c>
      <c r="D90" s="102">
        <f t="shared" ref="D90:AF90" si="33">D89-D97</f>
        <v>1095.8400000000001</v>
      </c>
      <c r="E90" s="102">
        <f t="shared" ref="E90:H90" si="34">E89-E97</f>
        <v>1080.04</v>
      </c>
      <c r="F90" s="102">
        <f t="shared" si="34"/>
        <v>1091.04</v>
      </c>
      <c r="G90" s="102">
        <f t="shared" si="34"/>
        <v>1137.04</v>
      </c>
      <c r="H90" s="102">
        <f t="shared" si="34"/>
        <v>1140.04</v>
      </c>
      <c r="I90" s="102">
        <f t="shared" si="33"/>
        <v>1252.1399999999999</v>
      </c>
      <c r="J90" s="102">
        <f t="shared" si="33"/>
        <v>1305.54</v>
      </c>
      <c r="K90" s="102">
        <f t="shared" ref="K90" si="35">K89-K97</f>
        <v>1387.44</v>
      </c>
      <c r="L90" s="102">
        <f t="shared" si="33"/>
        <v>1401.54</v>
      </c>
      <c r="M90" s="102">
        <f t="shared" si="33"/>
        <v>1455.2400000000002</v>
      </c>
      <c r="N90" s="102">
        <f t="shared" si="33"/>
        <v>1375.6399999999999</v>
      </c>
      <c r="O90" s="102">
        <f t="shared" si="33"/>
        <v>1256.2400000000002</v>
      </c>
      <c r="P90" s="102">
        <f t="shared" si="33"/>
        <v>1190.74</v>
      </c>
      <c r="Q90" s="102">
        <f t="shared" si="33"/>
        <v>1298.44</v>
      </c>
      <c r="R90" s="102">
        <f t="shared" si="33"/>
        <v>1294.8400000000001</v>
      </c>
      <c r="S90" s="102">
        <f t="shared" si="33"/>
        <v>1314.6399999999999</v>
      </c>
      <c r="T90" s="102">
        <f t="shared" si="33"/>
        <v>1363.64</v>
      </c>
      <c r="U90" s="102">
        <f t="shared" si="33"/>
        <v>1356.44</v>
      </c>
      <c r="V90" s="102">
        <f t="shared" si="33"/>
        <v>1281.6399999999999</v>
      </c>
      <c r="W90" s="102">
        <f t="shared" si="33"/>
        <v>1331.54</v>
      </c>
      <c r="X90" s="102">
        <f t="shared" si="33"/>
        <v>1419.74</v>
      </c>
      <c r="Y90" s="102">
        <f t="shared" si="33"/>
        <v>1604.04</v>
      </c>
      <c r="Z90" s="102">
        <f t="shared" si="33"/>
        <v>1585.54</v>
      </c>
      <c r="AA90" s="102">
        <f t="shared" si="33"/>
        <v>1476.04</v>
      </c>
      <c r="AB90" s="102">
        <f t="shared" si="33"/>
        <v>1424.54</v>
      </c>
      <c r="AC90" s="102">
        <f t="shared" si="33"/>
        <v>1419.04</v>
      </c>
      <c r="AD90" s="102">
        <f t="shared" si="33"/>
        <v>1304.94</v>
      </c>
      <c r="AE90" s="102">
        <f t="shared" si="33"/>
        <v>1213.8400000000001</v>
      </c>
      <c r="AF90" s="102">
        <f t="shared" si="33"/>
        <v>1139.3399999999999</v>
      </c>
      <c r="AG90" s="95"/>
      <c r="AH90" s="52">
        <f t="shared" si="18"/>
        <v>1604.04</v>
      </c>
      <c r="AI90" s="53">
        <f t="shared" si="19"/>
        <v>1080.04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8"/>
        <v>0</v>
      </c>
      <c r="AI91" s="53">
        <f t="shared" si="19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8"/>
        <v>0</v>
      </c>
      <c r="AI92" s="53">
        <f t="shared" si="19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8"/>
        <v>0</v>
      </c>
      <c r="AI93" s="53">
        <f t="shared" si="19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8"/>
        <v>0</v>
      </c>
      <c r="AI94" s="53">
        <f t="shared" si="19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8"/>
        <v>0</v>
      </c>
      <c r="AI95" s="53">
        <f t="shared" si="19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8"/>
        <v>0</v>
      </c>
      <c r="AI96" s="53">
        <f t="shared" si="19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8"/>
        <v>0</v>
      </c>
      <c r="AI97" s="53">
        <f t="shared" si="19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C98" si="36">B82-B97</f>
        <v>557.70000000000005</v>
      </c>
      <c r="C98" s="67">
        <f t="shared" si="36"/>
        <v>558.20000000000005</v>
      </c>
      <c r="D98" s="67">
        <f t="shared" ref="D98:AF98" si="37">D82-D97</f>
        <v>565</v>
      </c>
      <c r="E98" s="67">
        <f t="shared" si="37"/>
        <v>549.19999999999993</v>
      </c>
      <c r="F98" s="67">
        <f t="shared" ref="F98:H98" si="38">F82-F97</f>
        <v>560.19999999999993</v>
      </c>
      <c r="G98" s="67">
        <f t="shared" si="38"/>
        <v>606.19999999999993</v>
      </c>
      <c r="H98" s="67">
        <f t="shared" si="38"/>
        <v>549.19999999999993</v>
      </c>
      <c r="I98" s="67">
        <f t="shared" si="37"/>
        <v>530.29999999999995</v>
      </c>
      <c r="J98" s="67">
        <f t="shared" si="37"/>
        <v>479.7</v>
      </c>
      <c r="K98" s="67">
        <f t="shared" ref="K98" si="39">K82-K97</f>
        <v>469.7</v>
      </c>
      <c r="L98" s="67">
        <f t="shared" si="37"/>
        <v>471.8</v>
      </c>
      <c r="M98" s="67">
        <f t="shared" si="37"/>
        <v>541</v>
      </c>
      <c r="N98" s="67">
        <f t="shared" si="37"/>
        <v>562</v>
      </c>
      <c r="O98" s="67">
        <f t="shared" si="37"/>
        <v>557.70000000000005</v>
      </c>
      <c r="P98" s="67">
        <f t="shared" si="37"/>
        <v>542.79999999999995</v>
      </c>
      <c r="Q98" s="67">
        <f t="shared" si="37"/>
        <v>588.79999999999995</v>
      </c>
      <c r="R98" s="67">
        <f t="shared" si="37"/>
        <v>586.20000000000005</v>
      </c>
      <c r="S98" s="67">
        <f t="shared" si="37"/>
        <v>604.59999999999991</v>
      </c>
      <c r="T98" s="67">
        <f t="shared" si="37"/>
        <v>560.90000000000009</v>
      </c>
      <c r="U98" s="67">
        <f t="shared" si="37"/>
        <v>569.4</v>
      </c>
      <c r="V98" s="67">
        <f t="shared" si="37"/>
        <v>535.1</v>
      </c>
      <c r="W98" s="67">
        <f t="shared" si="37"/>
        <v>541</v>
      </c>
      <c r="X98" s="67">
        <f t="shared" si="37"/>
        <v>548.5</v>
      </c>
      <c r="Y98" s="67">
        <f t="shared" si="37"/>
        <v>577</v>
      </c>
      <c r="Z98" s="67">
        <f t="shared" si="37"/>
        <v>526</v>
      </c>
      <c r="AA98" s="67">
        <f t="shared" si="37"/>
        <v>499</v>
      </c>
      <c r="AB98" s="67">
        <f t="shared" si="37"/>
        <v>496</v>
      </c>
      <c r="AC98" s="67">
        <f t="shared" si="37"/>
        <v>544.70000000000005</v>
      </c>
      <c r="AD98" s="67">
        <f t="shared" si="37"/>
        <v>537.1</v>
      </c>
      <c r="AE98" s="67">
        <f t="shared" si="37"/>
        <v>551.4</v>
      </c>
      <c r="AF98" s="67">
        <f t="shared" si="37"/>
        <v>533.19999999999993</v>
      </c>
      <c r="AG98" s="95"/>
      <c r="AH98" s="52">
        <f t="shared" si="18"/>
        <v>606.19999999999993</v>
      </c>
      <c r="AI98" s="53">
        <f t="shared" si="19"/>
        <v>469.7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49.95</v>
      </c>
      <c r="C99" s="108">
        <v>50.08</v>
      </c>
      <c r="D99" s="108">
        <v>50.08</v>
      </c>
      <c r="E99" s="108">
        <v>50.02</v>
      </c>
      <c r="F99" s="108">
        <v>49.98</v>
      </c>
      <c r="G99" s="108">
        <v>50.02</v>
      </c>
      <c r="H99" s="108">
        <v>50.2</v>
      </c>
      <c r="I99" s="108">
        <v>50.02</v>
      </c>
      <c r="J99" s="108">
        <v>49.88</v>
      </c>
      <c r="K99" s="108">
        <v>49.98</v>
      </c>
      <c r="L99" s="108">
        <v>50.04</v>
      </c>
      <c r="M99" s="108">
        <v>49.875999999999998</v>
      </c>
      <c r="N99" s="108">
        <v>49.978999999999999</v>
      </c>
      <c r="O99" s="108">
        <v>50.005000000000003</v>
      </c>
      <c r="P99" s="108">
        <v>49.976999999999997</v>
      </c>
      <c r="Q99" s="108">
        <v>50.021000000000001</v>
      </c>
      <c r="R99" s="108">
        <v>50.003</v>
      </c>
      <c r="S99" s="108">
        <v>49.962000000000003</v>
      </c>
      <c r="T99" s="108">
        <v>49.884999999999998</v>
      </c>
      <c r="U99" s="108">
        <v>49.93</v>
      </c>
      <c r="V99" s="108">
        <v>49.994999999999997</v>
      </c>
      <c r="W99" s="108">
        <v>50.121000000000002</v>
      </c>
      <c r="X99" s="108">
        <v>49.915999999999997</v>
      </c>
      <c r="Y99" s="108">
        <v>50.087000000000003</v>
      </c>
      <c r="Z99" s="108">
        <v>49.908999999999999</v>
      </c>
      <c r="AA99" s="108">
        <v>49.975999999999999</v>
      </c>
      <c r="AB99" s="108">
        <v>50.085999999999999</v>
      </c>
      <c r="AC99" s="108">
        <v>50.116999999999997</v>
      </c>
      <c r="AD99" s="108">
        <v>49.92</v>
      </c>
      <c r="AE99" s="108">
        <v>50.05</v>
      </c>
      <c r="AF99" s="108">
        <v>50.01</v>
      </c>
      <c r="AG99" s="109"/>
      <c r="AH99" s="52">
        <f t="shared" si="18"/>
        <v>50.2</v>
      </c>
      <c r="AI99" s="53">
        <f t="shared" si="19"/>
        <v>49.875999999999998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130</v>
      </c>
      <c r="C100" s="72">
        <v>129.9</v>
      </c>
      <c r="D100" s="72">
        <v>129.4</v>
      </c>
      <c r="E100" s="72">
        <v>129.69999999999999</v>
      </c>
      <c r="F100" s="72">
        <v>129.69999999999999</v>
      </c>
      <c r="G100" s="72">
        <v>130</v>
      </c>
      <c r="H100" s="72">
        <v>129.69999999999999</v>
      </c>
      <c r="I100" s="72">
        <v>128</v>
      </c>
      <c r="J100" s="72">
        <v>128.69999999999999</v>
      </c>
      <c r="K100" s="72">
        <v>129</v>
      </c>
      <c r="L100" s="72">
        <v>127.7</v>
      </c>
      <c r="M100" s="72">
        <v>127.7</v>
      </c>
      <c r="N100" s="72">
        <v>128</v>
      </c>
      <c r="O100" s="72">
        <v>127.8</v>
      </c>
      <c r="P100" s="72">
        <v>127.8</v>
      </c>
      <c r="Q100" s="72">
        <v>126.6</v>
      </c>
      <c r="R100" s="72">
        <v>127.3</v>
      </c>
      <c r="S100" s="72">
        <v>126.3</v>
      </c>
      <c r="T100" s="72">
        <v>125.6</v>
      </c>
      <c r="U100" s="72">
        <v>127.1</v>
      </c>
      <c r="V100" s="72">
        <v>128.5</v>
      </c>
      <c r="W100" s="72">
        <v>129</v>
      </c>
      <c r="X100" s="72">
        <v>129</v>
      </c>
      <c r="Y100" s="72">
        <v>129</v>
      </c>
      <c r="Z100" s="72">
        <v>128.5</v>
      </c>
      <c r="AA100" s="72">
        <v>130</v>
      </c>
      <c r="AB100" s="72">
        <v>129.30000000000001</v>
      </c>
      <c r="AC100" s="72">
        <v>129.19999999999999</v>
      </c>
      <c r="AD100" s="72">
        <v>129.9</v>
      </c>
      <c r="AE100" s="72">
        <v>128</v>
      </c>
      <c r="AF100" s="72">
        <v>128.30000000000001</v>
      </c>
      <c r="AG100" s="111"/>
      <c r="AH100" s="52">
        <f t="shared" si="18"/>
        <v>130</v>
      </c>
      <c r="AI100" s="53">
        <f t="shared" si="19"/>
        <v>125.6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132.80000000000001</v>
      </c>
      <c r="C101" s="72">
        <v>132.80000000000001</v>
      </c>
      <c r="D101" s="72">
        <v>132.6</v>
      </c>
      <c r="E101" s="72">
        <v>132.1</v>
      </c>
      <c r="F101" s="72">
        <v>132.1</v>
      </c>
      <c r="G101" s="72">
        <v>132.69999999999999</v>
      </c>
      <c r="H101" s="72">
        <v>132.1</v>
      </c>
      <c r="I101" s="72">
        <v>129</v>
      </c>
      <c r="J101" s="72">
        <v>131.1</v>
      </c>
      <c r="K101" s="72">
        <v>131.1</v>
      </c>
      <c r="L101" s="72">
        <v>129.9</v>
      </c>
      <c r="M101" s="72">
        <v>129.9</v>
      </c>
      <c r="N101" s="72">
        <v>130.6</v>
      </c>
      <c r="O101" s="72">
        <v>130.19999999999999</v>
      </c>
      <c r="P101" s="72">
        <v>130.19999999999999</v>
      </c>
      <c r="Q101" s="72">
        <v>129.19999999999999</v>
      </c>
      <c r="R101" s="72">
        <v>129.80000000000001</v>
      </c>
      <c r="S101" s="72">
        <v>128.80000000000001</v>
      </c>
      <c r="T101" s="72">
        <v>128.69999999999999</v>
      </c>
      <c r="U101" s="72">
        <v>129.69999999999999</v>
      </c>
      <c r="V101" s="72">
        <v>130.69999999999999</v>
      </c>
      <c r="W101" s="72">
        <v>130.69999999999999</v>
      </c>
      <c r="X101" s="72">
        <v>131</v>
      </c>
      <c r="Y101" s="72">
        <v>130.6</v>
      </c>
      <c r="Z101" s="72">
        <v>130.19999999999999</v>
      </c>
      <c r="AA101" s="72">
        <v>131.19999999999999</v>
      </c>
      <c r="AB101" s="72">
        <v>131.4</v>
      </c>
      <c r="AC101" s="72">
        <v>131.4</v>
      </c>
      <c r="AD101" s="72">
        <v>132.19999999999999</v>
      </c>
      <c r="AE101" s="72">
        <v>131</v>
      </c>
      <c r="AF101" s="72">
        <v>131.6</v>
      </c>
      <c r="AG101" s="111"/>
      <c r="AH101" s="52">
        <f t="shared" si="18"/>
        <v>132.80000000000001</v>
      </c>
      <c r="AI101" s="53">
        <f t="shared" si="19"/>
        <v>128.69999999999999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131</v>
      </c>
      <c r="C102" s="72">
        <v>132.4</v>
      </c>
      <c r="D102" s="72">
        <v>131.80000000000001</v>
      </c>
      <c r="E102" s="72">
        <v>132.5</v>
      </c>
      <c r="F102" s="72">
        <v>132.5</v>
      </c>
      <c r="G102" s="72">
        <v>128.6</v>
      </c>
      <c r="H102" s="72">
        <v>132.5</v>
      </c>
      <c r="I102" s="72">
        <v>128.80000000000001</v>
      </c>
      <c r="J102" s="72">
        <v>130</v>
      </c>
      <c r="K102" s="72">
        <v>125.9</v>
      </c>
      <c r="L102" s="72">
        <v>127.3</v>
      </c>
      <c r="M102" s="72">
        <v>128.69999999999999</v>
      </c>
      <c r="N102" s="72">
        <v>128.5</v>
      </c>
      <c r="O102" s="72">
        <v>124.4</v>
      </c>
      <c r="P102" s="72">
        <v>124.4</v>
      </c>
      <c r="Q102" s="72">
        <v>129.1</v>
      </c>
      <c r="R102" s="72">
        <v>127.6</v>
      </c>
      <c r="S102" s="72">
        <v>124.7</v>
      </c>
      <c r="T102" s="72">
        <v>125.8</v>
      </c>
      <c r="U102" s="72">
        <v>127.7</v>
      </c>
      <c r="V102" s="72">
        <v>129.69999999999999</v>
      </c>
      <c r="W102" s="72">
        <v>130.19999999999999</v>
      </c>
      <c r="X102" s="72">
        <v>130.30000000000001</v>
      </c>
      <c r="Y102" s="72">
        <v>124.7</v>
      </c>
      <c r="Z102" s="72">
        <v>130.69999999999999</v>
      </c>
      <c r="AA102" s="72">
        <v>131</v>
      </c>
      <c r="AB102" s="72">
        <v>130.19999999999999</v>
      </c>
      <c r="AC102" s="72">
        <v>130.19999999999999</v>
      </c>
      <c r="AD102" s="72">
        <v>131.80000000000001</v>
      </c>
      <c r="AE102" s="72">
        <v>129.1</v>
      </c>
      <c r="AF102" s="72">
        <v>130.19999999999999</v>
      </c>
      <c r="AG102" s="111"/>
      <c r="AH102" s="52">
        <f t="shared" si="18"/>
        <v>132.5</v>
      </c>
      <c r="AI102" s="53">
        <f t="shared" si="19"/>
        <v>124.4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8"/>
        <v>0</v>
      </c>
      <c r="AI103" s="53">
        <f t="shared" si="19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135.19999999999999</v>
      </c>
      <c r="C104" s="113">
        <v>133.30000000000001</v>
      </c>
      <c r="D104" s="113">
        <v>131.5</v>
      </c>
      <c r="E104" s="113">
        <v>130.69999999999999</v>
      </c>
      <c r="F104" s="113">
        <v>130.69999999999999</v>
      </c>
      <c r="G104" s="113">
        <v>136</v>
      </c>
      <c r="H104" s="113">
        <v>130.69999999999999</v>
      </c>
      <c r="I104" s="113">
        <v>132.80000000000001</v>
      </c>
      <c r="J104" s="113">
        <v>132.9</v>
      </c>
      <c r="K104" s="113">
        <v>134.80000000000001</v>
      </c>
      <c r="L104" s="113">
        <v>133.5</v>
      </c>
      <c r="M104" s="113">
        <v>133.5</v>
      </c>
      <c r="N104" s="113">
        <v>134</v>
      </c>
      <c r="O104" s="113">
        <v>133.4</v>
      </c>
      <c r="P104" s="113">
        <v>133.4</v>
      </c>
      <c r="Q104" s="113">
        <v>133.4</v>
      </c>
      <c r="R104" s="113">
        <v>134.1</v>
      </c>
      <c r="S104" s="113">
        <v>132.9</v>
      </c>
      <c r="T104" s="113">
        <v>132.6</v>
      </c>
      <c r="U104" s="113">
        <v>134.80000000000001</v>
      </c>
      <c r="V104" s="113">
        <v>132.9</v>
      </c>
      <c r="W104" s="113">
        <v>132.1</v>
      </c>
      <c r="X104" s="113">
        <v>133.80000000000001</v>
      </c>
      <c r="Y104" s="113">
        <v>136</v>
      </c>
      <c r="Z104" s="113">
        <v>133.1</v>
      </c>
      <c r="AA104" s="113">
        <v>134.30000000000001</v>
      </c>
      <c r="AB104" s="113">
        <v>133.30000000000001</v>
      </c>
      <c r="AC104" s="113">
        <v>133.30000000000001</v>
      </c>
      <c r="AD104" s="113">
        <v>134.6</v>
      </c>
      <c r="AE104" s="113">
        <v>130.5</v>
      </c>
      <c r="AF104" s="113">
        <v>131.1</v>
      </c>
      <c r="AG104" s="114"/>
      <c r="AH104" s="52">
        <f t="shared" si="18"/>
        <v>136</v>
      </c>
      <c r="AI104" s="53">
        <f t="shared" si="19"/>
        <v>130.5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134.1</v>
      </c>
      <c r="C105" s="72">
        <v>135.5</v>
      </c>
      <c r="D105" s="72">
        <v>136.1</v>
      </c>
      <c r="E105" s="72">
        <v>137.19999999999999</v>
      </c>
      <c r="F105" s="72">
        <v>137.19999999999999</v>
      </c>
      <c r="G105" s="72">
        <v>134.30000000000001</v>
      </c>
      <c r="H105" s="72">
        <v>137.19999999999999</v>
      </c>
      <c r="I105" s="72">
        <v>133</v>
      </c>
      <c r="J105" s="72">
        <v>131.5</v>
      </c>
      <c r="K105" s="72">
        <v>131.19999999999999</v>
      </c>
      <c r="L105" s="72">
        <v>130</v>
      </c>
      <c r="M105" s="72">
        <v>127.8</v>
      </c>
      <c r="N105" s="72">
        <v>128.69999999999999</v>
      </c>
      <c r="O105" s="72">
        <v>126</v>
      </c>
      <c r="P105" s="72">
        <v>126</v>
      </c>
      <c r="Q105" s="72">
        <v>127.7</v>
      </c>
      <c r="R105" s="72">
        <v>126.6</v>
      </c>
      <c r="S105" s="72">
        <v>132.4</v>
      </c>
      <c r="T105" s="72">
        <v>131.1</v>
      </c>
      <c r="U105" s="72">
        <v>131.9</v>
      </c>
      <c r="V105" s="72">
        <v>128</v>
      </c>
      <c r="W105" s="72">
        <v>135.69999999999999</v>
      </c>
      <c r="X105" s="72">
        <v>131.5</v>
      </c>
      <c r="Y105" s="72">
        <v>132.6</v>
      </c>
      <c r="Z105" s="72">
        <v>130.69999999999999</v>
      </c>
      <c r="AA105" s="72">
        <v>131.30000000000001</v>
      </c>
      <c r="AB105" s="72">
        <v>133.9</v>
      </c>
      <c r="AC105" s="72">
        <v>133.9</v>
      </c>
      <c r="AD105" s="72">
        <v>132.80000000000001</v>
      </c>
      <c r="AE105" s="72">
        <v>133.4</v>
      </c>
      <c r="AF105" s="72">
        <v>133.1</v>
      </c>
      <c r="AG105" s="111"/>
      <c r="AH105" s="52">
        <f t="shared" si="18"/>
        <v>137.19999999999999</v>
      </c>
      <c r="AI105" s="53">
        <f t="shared" si="19"/>
        <v>126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66.5</v>
      </c>
      <c r="C106" s="99">
        <v>66.5</v>
      </c>
      <c r="D106" s="99">
        <v>66.3</v>
      </c>
      <c r="E106" s="99">
        <v>66.099999999999994</v>
      </c>
      <c r="F106" s="99">
        <v>66.099999999999994</v>
      </c>
      <c r="G106" s="99">
        <v>66.599999999999994</v>
      </c>
      <c r="H106" s="99">
        <v>66.099999999999994</v>
      </c>
      <c r="I106" s="99">
        <v>65.3</v>
      </c>
      <c r="J106" s="99">
        <v>65.900000000000006</v>
      </c>
      <c r="K106" s="99">
        <v>65.900000000000006</v>
      </c>
      <c r="L106" s="99">
        <v>65</v>
      </c>
      <c r="M106" s="99">
        <v>64.8</v>
      </c>
      <c r="N106" s="99">
        <v>65.41</v>
      </c>
      <c r="O106" s="99">
        <v>65.2</v>
      </c>
      <c r="P106" s="99">
        <v>65.2</v>
      </c>
      <c r="Q106" s="99">
        <v>64.7</v>
      </c>
      <c r="R106" s="99">
        <v>64.400000000000006</v>
      </c>
      <c r="S106" s="99">
        <v>64.599999999999994</v>
      </c>
      <c r="T106" s="99">
        <v>64.599999999999994</v>
      </c>
      <c r="U106" s="99">
        <v>64.8</v>
      </c>
      <c r="V106" s="99">
        <v>65</v>
      </c>
      <c r="W106" s="99">
        <v>65.400000000000006</v>
      </c>
      <c r="X106" s="99">
        <v>65.400000000000006</v>
      </c>
      <c r="Y106" s="99">
        <v>65.3</v>
      </c>
      <c r="Z106" s="99">
        <v>65.2</v>
      </c>
      <c r="AA106" s="99">
        <v>65.599999999999994</v>
      </c>
      <c r="AB106" s="99">
        <v>65.7</v>
      </c>
      <c r="AC106" s="99">
        <v>65.7</v>
      </c>
      <c r="AD106" s="99">
        <v>66.099999999999994</v>
      </c>
      <c r="AE106" s="99">
        <v>65.599999999999994</v>
      </c>
      <c r="AF106" s="99">
        <v>66</v>
      </c>
      <c r="AG106" s="115"/>
      <c r="AH106" s="52">
        <f t="shared" si="18"/>
        <v>66.599999999999994</v>
      </c>
      <c r="AI106" s="53">
        <f t="shared" si="19"/>
        <v>64.400000000000006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8"/>
        <v>0</v>
      </c>
      <c r="AI107" s="53">
        <f t="shared" si="19"/>
        <v>0</v>
      </c>
    </row>
    <row r="108" spans="1:88" ht="15.75" thickBot="1" x14ac:dyDescent="0.3">
      <c r="A108" s="117" t="s">
        <v>112</v>
      </c>
      <c r="B108" s="118">
        <f t="shared" ref="B108:C108" si="40">SUM(B18,B24,B27:B28,B56,B58:B59,B61,B63,B109:B113,B135,B141,B147,B156,B158,B170,B177,B180:B181,B188,B190,B192,B196:B198,B200:B202,B207,B213:B214,B216:B218,B226,B231)</f>
        <v>-63.800000000000026</v>
      </c>
      <c r="C108" s="118">
        <f t="shared" si="40"/>
        <v>118.24</v>
      </c>
      <c r="D108" s="118">
        <f t="shared" ref="D108:AF108" si="41">SUM(D18,D24,D27:D28,D56,D58:D59,D61,D63,D109:D113,D135,D141,D147,D156,D158,D170,D177,D180:D181,D188,D190,D192,D196:D198,D200:D202,D207,D213:D214,D216:D218,D226,D231)</f>
        <v>114.14</v>
      </c>
      <c r="E108" s="118">
        <f t="shared" si="41"/>
        <v>114.83999999999999</v>
      </c>
      <c r="F108" s="118">
        <f t="shared" ref="F108:H108" si="42">SUM(F18,F24,F27:F28,F56,F58:F59,F61,F63,F109:F113,F135,F141,F147,F156,F158,F170,F177,F180:F181,F188,F190,F192,F196:F198,F200:F202,F207,F213:F214,F216:F218,F226,F231)</f>
        <v>6.9399999999999995</v>
      </c>
      <c r="G108" s="118">
        <f t="shared" si="42"/>
        <v>160.54</v>
      </c>
      <c r="H108" s="118">
        <f t="shared" si="42"/>
        <v>114.83999999999999</v>
      </c>
      <c r="I108" s="118">
        <f t="shared" si="41"/>
        <v>257.33999999999997</v>
      </c>
      <c r="J108" s="118">
        <f t="shared" si="41"/>
        <v>272.04000000000002</v>
      </c>
      <c r="K108" s="118">
        <f t="shared" ref="K108" si="43">SUM(K18,K24,K27:K28,K56,K58:K59,K61,K63,K109:K113,K135,K141,K147,K156,K158,K170,K177,K180:K181,K188,K190,K192,K196:K198,K200:K202,K207,K213:K214,K216:K218,K226,K231)</f>
        <v>300.83999999999997</v>
      </c>
      <c r="L108" s="118">
        <f t="shared" si="41"/>
        <v>309.33999999999997</v>
      </c>
      <c r="M108" s="118">
        <f t="shared" si="41"/>
        <v>306.44</v>
      </c>
      <c r="N108" s="118">
        <f t="shared" si="41"/>
        <v>291.64000000000004</v>
      </c>
      <c r="O108" s="118">
        <f t="shared" si="41"/>
        <v>295.73999999999995</v>
      </c>
      <c r="P108" s="118">
        <v>42</v>
      </c>
      <c r="Q108" s="118">
        <f t="shared" si="41"/>
        <v>260.2</v>
      </c>
      <c r="R108" s="118">
        <f t="shared" si="41"/>
        <v>252.29999999999998</v>
      </c>
      <c r="S108" s="118">
        <f t="shared" si="41"/>
        <v>255</v>
      </c>
      <c r="T108" s="118">
        <f t="shared" si="41"/>
        <v>265.10000000000002</v>
      </c>
      <c r="U108" s="118">
        <f t="shared" si="41"/>
        <v>266.5</v>
      </c>
      <c r="V108" s="118">
        <f t="shared" si="41"/>
        <v>282</v>
      </c>
      <c r="W108" s="118">
        <f t="shared" si="41"/>
        <v>291.7</v>
      </c>
      <c r="X108" s="118">
        <f t="shared" si="41"/>
        <v>296.8</v>
      </c>
      <c r="Y108" s="118">
        <f t="shared" si="41"/>
        <v>343.1</v>
      </c>
      <c r="Z108" s="118">
        <f t="shared" si="41"/>
        <v>363.6</v>
      </c>
      <c r="AA108" s="118">
        <f t="shared" si="41"/>
        <v>324.8</v>
      </c>
      <c r="AB108" s="118">
        <f t="shared" si="41"/>
        <v>283.3</v>
      </c>
      <c r="AC108" s="118">
        <f t="shared" si="41"/>
        <v>280</v>
      </c>
      <c r="AD108" s="118">
        <f t="shared" si="41"/>
        <v>213.10000000000002</v>
      </c>
      <c r="AE108" s="118">
        <f t="shared" si="41"/>
        <v>185.59999999999997</v>
      </c>
      <c r="AF108" s="118">
        <f t="shared" si="41"/>
        <v>154.5</v>
      </c>
      <c r="AG108" s="119"/>
      <c r="AH108" s="52">
        <f t="shared" si="18"/>
        <v>363.6</v>
      </c>
      <c r="AI108" s="53">
        <f t="shared" si="19"/>
        <v>-63.800000000000026</v>
      </c>
    </row>
    <row r="109" spans="1:88" x14ac:dyDescent="0.25">
      <c r="A109" s="107" t="s">
        <v>113</v>
      </c>
      <c r="B109" s="120">
        <v>-21.3</v>
      </c>
      <c r="C109" s="120">
        <v>-20.6</v>
      </c>
      <c r="D109" s="120">
        <v>-25</v>
      </c>
      <c r="E109" s="120">
        <v>-26.9</v>
      </c>
      <c r="F109" s="120">
        <v>-124.8</v>
      </c>
      <c r="G109" s="120">
        <v>-13.7</v>
      </c>
      <c r="H109" s="120">
        <v>-26.9</v>
      </c>
      <c r="I109" s="120">
        <v>-5.3</v>
      </c>
      <c r="J109" s="120">
        <v>4.9000000000000004</v>
      </c>
      <c r="K109" s="120">
        <v>15</v>
      </c>
      <c r="L109" s="120">
        <v>14.9</v>
      </c>
      <c r="M109" s="120">
        <v>18.5</v>
      </c>
      <c r="N109" s="120">
        <v>7.9</v>
      </c>
      <c r="O109" s="120">
        <v>2.7</v>
      </c>
      <c r="P109" s="120">
        <v>12.4</v>
      </c>
      <c r="Q109" s="120">
        <v>4.8</v>
      </c>
      <c r="R109" s="120">
        <v>3.6</v>
      </c>
      <c r="S109" s="120">
        <v>0</v>
      </c>
      <c r="T109" s="120">
        <v>-5.6</v>
      </c>
      <c r="U109" s="120">
        <v>-10.1</v>
      </c>
      <c r="V109" s="120">
        <v>2.4</v>
      </c>
      <c r="W109" s="120">
        <v>0</v>
      </c>
      <c r="X109" s="120">
        <v>2.7</v>
      </c>
      <c r="Y109" s="120">
        <v>18.399999999999999</v>
      </c>
      <c r="Z109" s="120">
        <v>20.5</v>
      </c>
      <c r="AA109" s="120">
        <v>21.6</v>
      </c>
      <c r="AB109" s="120">
        <v>13.9</v>
      </c>
      <c r="AC109" s="120">
        <v>0.8</v>
      </c>
      <c r="AD109" s="120">
        <v>-2.7</v>
      </c>
      <c r="AE109" s="120">
        <v>-12.7</v>
      </c>
      <c r="AF109" s="120">
        <v>-19</v>
      </c>
      <c r="AG109" s="121">
        <v>75</v>
      </c>
      <c r="AH109" s="52">
        <f t="shared" si="18"/>
        <v>21.6</v>
      </c>
      <c r="AI109" s="53">
        <f t="shared" si="19"/>
        <v>-124.8</v>
      </c>
    </row>
    <row r="110" spans="1:88" x14ac:dyDescent="0.25">
      <c r="A110" s="110" t="s">
        <v>114</v>
      </c>
      <c r="B110" s="122">
        <v>-229.4</v>
      </c>
      <c r="C110" s="122">
        <v>-28.2</v>
      </c>
      <c r="D110" s="122">
        <v>-31.5</v>
      </c>
      <c r="E110" s="122">
        <v>-31.6</v>
      </c>
      <c r="F110" s="122">
        <v>-28</v>
      </c>
      <c r="G110" s="122">
        <v>-18.100000000000001</v>
      </c>
      <c r="H110" s="122">
        <v>-31.6</v>
      </c>
      <c r="I110" s="122">
        <v>-9.6999999999999993</v>
      </c>
      <c r="J110" s="122">
        <v>6.1</v>
      </c>
      <c r="K110" s="122">
        <v>14.7</v>
      </c>
      <c r="L110" s="122">
        <v>13.5</v>
      </c>
      <c r="M110" s="122">
        <v>18.7</v>
      </c>
      <c r="N110" s="122">
        <v>4.5</v>
      </c>
      <c r="O110" s="122">
        <v>-4.2</v>
      </c>
      <c r="P110" s="122">
        <v>16</v>
      </c>
      <c r="Q110" s="122">
        <v>4.4000000000000004</v>
      </c>
      <c r="R110" s="122">
        <v>4.2</v>
      </c>
      <c r="S110" s="122">
        <v>-1.2</v>
      </c>
      <c r="T110" s="122">
        <v>-9.5</v>
      </c>
      <c r="U110" s="122">
        <v>-15.1</v>
      </c>
      <c r="V110" s="122">
        <v>0</v>
      </c>
      <c r="W110" s="122">
        <v>-6.5</v>
      </c>
      <c r="X110" s="122">
        <v>-3.4</v>
      </c>
      <c r="Y110" s="122">
        <v>15.8</v>
      </c>
      <c r="Z110" s="122">
        <v>18.899999999999999</v>
      </c>
      <c r="AA110" s="122">
        <v>22.3</v>
      </c>
      <c r="AB110" s="122">
        <v>10.9</v>
      </c>
      <c r="AC110" s="122">
        <v>-6.1</v>
      </c>
      <c r="AD110" s="122">
        <v>-8.3000000000000007</v>
      </c>
      <c r="AE110" s="122">
        <v>-22.3</v>
      </c>
      <c r="AF110" s="122">
        <v>-27.3</v>
      </c>
      <c r="AG110" s="121">
        <v>240</v>
      </c>
      <c r="AH110" s="52">
        <f t="shared" si="18"/>
        <v>22.3</v>
      </c>
      <c r="AI110" s="53">
        <f t="shared" si="19"/>
        <v>-229.4</v>
      </c>
    </row>
    <row r="111" spans="1:88" x14ac:dyDescent="0.25">
      <c r="A111" s="110" t="s">
        <v>115</v>
      </c>
      <c r="B111" s="122">
        <v>2.7</v>
      </c>
      <c r="C111" s="122">
        <v>-3.7</v>
      </c>
      <c r="D111" s="122">
        <v>-1.8</v>
      </c>
      <c r="E111" s="122">
        <f>0+0</f>
        <v>0</v>
      </c>
      <c r="F111" s="122">
        <f t="shared" ref="F111:H111" si="44">0+0</f>
        <v>0</v>
      </c>
      <c r="G111" s="122">
        <f>4.1+4.3</f>
        <v>8.3999999999999986</v>
      </c>
      <c r="H111" s="122">
        <f t="shared" si="44"/>
        <v>0</v>
      </c>
      <c r="I111" s="122">
        <f>21.4+22.9</f>
        <v>44.3</v>
      </c>
      <c r="J111" s="122">
        <f>4.6+18.5</f>
        <v>23.1</v>
      </c>
      <c r="K111" s="122">
        <f>7.5+19.8</f>
        <v>27.3</v>
      </c>
      <c r="L111" s="122">
        <f>14.9+27.2</f>
        <v>42.1</v>
      </c>
      <c r="M111" s="122">
        <v>41.4</v>
      </c>
      <c r="N111" s="122">
        <v>48</v>
      </c>
      <c r="O111" s="122">
        <v>61.8</v>
      </c>
      <c r="P111" s="122">
        <v>35.9</v>
      </c>
      <c r="Q111" s="122">
        <v>28.1</v>
      </c>
      <c r="R111" s="122">
        <v>25</v>
      </c>
      <c r="S111" s="122">
        <v>27</v>
      </c>
      <c r="T111" s="122">
        <v>32</v>
      </c>
      <c r="U111" s="122">
        <v>41</v>
      </c>
      <c r="V111" s="122">
        <v>42</v>
      </c>
      <c r="W111" s="122">
        <v>60</v>
      </c>
      <c r="X111" s="122">
        <v>57</v>
      </c>
      <c r="Y111" s="122">
        <v>70</v>
      </c>
      <c r="Z111" s="122">
        <v>74</v>
      </c>
      <c r="AA111" s="122">
        <v>66</v>
      </c>
      <c r="AB111" s="122">
        <v>40</v>
      </c>
      <c r="AC111" s="122">
        <v>56</v>
      </c>
      <c r="AD111" s="122">
        <f>11.7+11.5</f>
        <v>23.2</v>
      </c>
      <c r="AE111" s="122">
        <f>10.7+10.2</f>
        <v>20.9</v>
      </c>
      <c r="AF111" s="122">
        <f>3.8+3.8</f>
        <v>7.6</v>
      </c>
      <c r="AG111" s="121">
        <v>240</v>
      </c>
      <c r="AH111" s="52">
        <f t="shared" si="18"/>
        <v>74</v>
      </c>
      <c r="AI111" s="53">
        <f t="shared" si="19"/>
        <v>-3.7</v>
      </c>
    </row>
    <row r="112" spans="1:88" x14ac:dyDescent="0.25">
      <c r="A112" s="110" t="s">
        <v>116</v>
      </c>
      <c r="B112" s="122">
        <v>1.1000000000000001</v>
      </c>
      <c r="C112" s="122">
        <v>-6.3</v>
      </c>
      <c r="D112" s="122">
        <v>-4.5</v>
      </c>
      <c r="E112" s="122">
        <v>-6.6</v>
      </c>
      <c r="F112" s="122">
        <v>-4.2</v>
      </c>
      <c r="G112" s="122">
        <v>0</v>
      </c>
      <c r="H112" s="122">
        <v>-6.6</v>
      </c>
      <c r="I112" s="122">
        <v>22.1</v>
      </c>
      <c r="J112" s="122">
        <v>27</v>
      </c>
      <c r="K112" s="122">
        <v>29.3</v>
      </c>
      <c r="L112" s="122">
        <v>34.1</v>
      </c>
      <c r="M112" s="122">
        <v>29.5</v>
      </c>
      <c r="N112" s="122">
        <v>27.5</v>
      </c>
      <c r="O112" s="122">
        <v>31.7</v>
      </c>
      <c r="P112" s="122">
        <v>26.7</v>
      </c>
      <c r="Q112" s="122">
        <v>23.1</v>
      </c>
      <c r="R112" s="122">
        <v>22.2</v>
      </c>
      <c r="S112" s="122">
        <v>23</v>
      </c>
      <c r="T112" s="122">
        <v>40</v>
      </c>
      <c r="U112" s="122">
        <v>44.2</v>
      </c>
      <c r="V112" s="122">
        <v>49.1</v>
      </c>
      <c r="W112" s="122">
        <v>46</v>
      </c>
      <c r="X112" s="122">
        <v>41.3</v>
      </c>
      <c r="Y112" s="122">
        <v>47</v>
      </c>
      <c r="Z112" s="122">
        <v>48.3</v>
      </c>
      <c r="AA112" s="122">
        <v>32</v>
      </c>
      <c r="AB112" s="122">
        <v>25</v>
      </c>
      <c r="AC112" s="122">
        <v>27.3</v>
      </c>
      <c r="AD112" s="122">
        <v>12.6</v>
      </c>
      <c r="AE112" s="122">
        <v>0.3</v>
      </c>
      <c r="AF112" s="122">
        <v>-3.2</v>
      </c>
      <c r="AG112" s="121">
        <v>60</v>
      </c>
      <c r="AH112" s="52">
        <f t="shared" si="18"/>
        <v>49.1</v>
      </c>
      <c r="AI112" s="53">
        <f t="shared" si="19"/>
        <v>-6.6</v>
      </c>
    </row>
    <row r="113" spans="1:37" x14ac:dyDescent="0.25">
      <c r="A113" s="123" t="s">
        <v>117</v>
      </c>
      <c r="B113" s="124">
        <v>92.7</v>
      </c>
      <c r="C113" s="124">
        <v>85.9</v>
      </c>
      <c r="D113" s="124">
        <v>85</v>
      </c>
      <c r="E113" s="124">
        <v>88</v>
      </c>
      <c r="F113" s="124">
        <v>72</v>
      </c>
      <c r="G113" s="124">
        <v>92</v>
      </c>
      <c r="H113" s="124">
        <v>88</v>
      </c>
      <c r="I113" s="124">
        <v>114</v>
      </c>
      <c r="J113" s="124">
        <v>119</v>
      </c>
      <c r="K113" s="124">
        <v>122.6</v>
      </c>
      <c r="L113" s="124">
        <v>112.8</v>
      </c>
      <c r="M113" s="124">
        <v>109.2</v>
      </c>
      <c r="N113" s="124">
        <v>108.6</v>
      </c>
      <c r="O113" s="124">
        <v>108.6</v>
      </c>
      <c r="P113" s="124">
        <v>80.400000000000006</v>
      </c>
      <c r="Q113" s="124">
        <v>105.6</v>
      </c>
      <c r="R113" s="124">
        <v>103.1</v>
      </c>
      <c r="S113" s="124">
        <v>112</v>
      </c>
      <c r="T113" s="124">
        <v>114</v>
      </c>
      <c r="U113" s="124">
        <v>116.3</v>
      </c>
      <c r="V113" s="124">
        <v>104.3</v>
      </c>
      <c r="W113" s="124">
        <v>108</v>
      </c>
      <c r="X113" s="124">
        <v>115</v>
      </c>
      <c r="Y113" s="124">
        <v>109</v>
      </c>
      <c r="Z113" s="124">
        <v>119</v>
      </c>
      <c r="AA113" s="124">
        <v>100</v>
      </c>
      <c r="AB113" s="124">
        <v>106.6</v>
      </c>
      <c r="AC113" s="124">
        <v>115.1</v>
      </c>
      <c r="AD113" s="124">
        <v>104.4</v>
      </c>
      <c r="AE113" s="124">
        <v>114.6</v>
      </c>
      <c r="AF113" s="124">
        <v>107.6</v>
      </c>
      <c r="AG113" s="125">
        <v>120</v>
      </c>
      <c r="AH113" s="52">
        <f t="shared" si="18"/>
        <v>122.6</v>
      </c>
      <c r="AI113" s="53">
        <f t="shared" si="19"/>
        <v>72</v>
      </c>
    </row>
    <row r="114" spans="1:37" x14ac:dyDescent="0.25">
      <c r="A114" s="123" t="s">
        <v>118</v>
      </c>
      <c r="B114" s="124">
        <v>85</v>
      </c>
      <c r="C114" s="124">
        <v>81.599999999999994</v>
      </c>
      <c r="D114" s="124">
        <v>81.5</v>
      </c>
      <c r="E114" s="124">
        <v>83.1</v>
      </c>
      <c r="F114" s="124">
        <v>83.1</v>
      </c>
      <c r="G114" s="124">
        <v>82.4</v>
      </c>
      <c r="H114" s="124">
        <v>83.1</v>
      </c>
      <c r="I114" s="124">
        <v>90</v>
      </c>
      <c r="J114" s="124">
        <v>100</v>
      </c>
      <c r="K114" s="124">
        <v>73.900000000000006</v>
      </c>
      <c r="L114" s="124">
        <v>87.5</v>
      </c>
      <c r="M114" s="124">
        <v>90.6</v>
      </c>
      <c r="N114" s="124">
        <v>88.9</v>
      </c>
      <c r="O114" s="124">
        <v>88.9</v>
      </c>
      <c r="P114" s="124">
        <v>79.5</v>
      </c>
      <c r="Q114" s="124">
        <v>86.2</v>
      </c>
      <c r="R114" s="124">
        <v>81.400000000000006</v>
      </c>
      <c r="S114" s="124">
        <v>89</v>
      </c>
      <c r="T114" s="124">
        <v>88</v>
      </c>
      <c r="U114" s="124">
        <v>90</v>
      </c>
      <c r="V114" s="124">
        <v>78</v>
      </c>
      <c r="W114" s="124">
        <v>82</v>
      </c>
      <c r="X114" s="124">
        <v>87</v>
      </c>
      <c r="Y114" s="124">
        <v>87</v>
      </c>
      <c r="Z114" s="124">
        <v>91</v>
      </c>
      <c r="AA114" s="124">
        <v>86</v>
      </c>
      <c r="AB114" s="124">
        <v>76.8</v>
      </c>
      <c r="AC114" s="124">
        <v>99.2</v>
      </c>
      <c r="AD114" s="124">
        <v>82.8</v>
      </c>
      <c r="AE114" s="124">
        <v>94</v>
      </c>
      <c r="AF114" s="124">
        <v>91.3</v>
      </c>
      <c r="AG114" s="125"/>
      <c r="AH114" s="52">
        <f t="shared" si="18"/>
        <v>100</v>
      </c>
      <c r="AI114" s="53">
        <f t="shared" si="19"/>
        <v>73.900000000000006</v>
      </c>
    </row>
    <row r="115" spans="1:37" x14ac:dyDescent="0.25">
      <c r="A115" s="123" t="s">
        <v>119</v>
      </c>
      <c r="B115" s="124">
        <v>51.6</v>
      </c>
      <c r="C115" s="124">
        <v>50.9</v>
      </c>
      <c r="D115" s="124">
        <v>47.5</v>
      </c>
      <c r="E115" s="124">
        <v>48.8</v>
      </c>
      <c r="F115" s="124">
        <v>48.8</v>
      </c>
      <c r="G115" s="124">
        <v>35.200000000000003</v>
      </c>
      <c r="H115" s="124">
        <v>48.8</v>
      </c>
      <c r="I115" s="124">
        <v>27.8</v>
      </c>
      <c r="J115" s="124">
        <v>16.2</v>
      </c>
      <c r="K115" s="124">
        <v>7.9</v>
      </c>
      <c r="L115" s="124">
        <v>4.7</v>
      </c>
      <c r="M115" s="124">
        <v>11.6</v>
      </c>
      <c r="N115" s="124">
        <v>18.600000000000001</v>
      </c>
      <c r="O115" s="124">
        <v>18.600000000000001</v>
      </c>
      <c r="P115" s="124">
        <v>18.8</v>
      </c>
      <c r="Q115" s="124">
        <v>30.2</v>
      </c>
      <c r="R115" s="124">
        <v>28.2</v>
      </c>
      <c r="S115" s="124">
        <v>31</v>
      </c>
      <c r="T115" s="124">
        <v>35</v>
      </c>
      <c r="U115" s="124">
        <v>43.7</v>
      </c>
      <c r="V115" s="124">
        <v>19</v>
      </c>
      <c r="W115" s="124">
        <v>22</v>
      </c>
      <c r="X115" s="124">
        <v>19</v>
      </c>
      <c r="Y115" s="124">
        <v>9</v>
      </c>
      <c r="Z115" s="124">
        <v>12</v>
      </c>
      <c r="AA115" s="124">
        <v>7.3</v>
      </c>
      <c r="AB115" s="124">
        <v>16.100000000000001</v>
      </c>
      <c r="AC115" s="124">
        <v>31.3</v>
      </c>
      <c r="AD115" s="124">
        <v>29.8</v>
      </c>
      <c r="AE115" s="124">
        <v>44.4</v>
      </c>
      <c r="AF115" s="124">
        <v>45.4</v>
      </c>
      <c r="AG115" s="126"/>
      <c r="AH115" s="52">
        <f t="shared" si="18"/>
        <v>51.6</v>
      </c>
      <c r="AI115" s="53">
        <f t="shared" si="19"/>
        <v>4.7</v>
      </c>
    </row>
    <row r="116" spans="1:37" x14ac:dyDescent="0.25">
      <c r="A116" s="127" t="s">
        <v>120</v>
      </c>
      <c r="B116" s="113">
        <v>-9.8000000000000007</v>
      </c>
      <c r="C116" s="113">
        <v>-4.3</v>
      </c>
      <c r="D116" s="113">
        <v>-3.4</v>
      </c>
      <c r="E116" s="113">
        <v>-1</v>
      </c>
      <c r="F116" s="113">
        <v>-1</v>
      </c>
      <c r="G116" s="113">
        <v>-14.3</v>
      </c>
      <c r="H116" s="113">
        <v>-1</v>
      </c>
      <c r="I116" s="113">
        <v>-58.1</v>
      </c>
      <c r="J116" s="113">
        <v>-51.6</v>
      </c>
      <c r="K116" s="113">
        <v>-70.7</v>
      </c>
      <c r="L116" s="113">
        <v>-73.5</v>
      </c>
      <c r="M116" s="113">
        <v>-65.3</v>
      </c>
      <c r="N116" s="113">
        <v>-66.7</v>
      </c>
      <c r="O116" s="113">
        <v>-66.7</v>
      </c>
      <c r="P116" s="113">
        <v>-56.9</v>
      </c>
      <c r="Q116" s="113">
        <v>-47.3</v>
      </c>
      <c r="R116" s="113">
        <v>-47</v>
      </c>
      <c r="S116" s="113">
        <v>-49</v>
      </c>
      <c r="T116" s="113">
        <v>-54</v>
      </c>
      <c r="U116" s="113">
        <v>-57</v>
      </c>
      <c r="V116" s="113">
        <v>-58.3</v>
      </c>
      <c r="W116" s="113">
        <v>-72</v>
      </c>
      <c r="X116" s="113">
        <v>-81</v>
      </c>
      <c r="Y116" s="113">
        <v>97</v>
      </c>
      <c r="Z116" s="113">
        <v>-89</v>
      </c>
      <c r="AA116" s="113">
        <v>-67</v>
      </c>
      <c r="AB116" s="113">
        <v>-55.1</v>
      </c>
      <c r="AC116" s="113">
        <v>-50.3</v>
      </c>
      <c r="AD116" s="113">
        <v>-27.1</v>
      </c>
      <c r="AE116" s="113">
        <v>-19.2</v>
      </c>
      <c r="AF116" s="113">
        <v>-15</v>
      </c>
      <c r="AG116" s="126"/>
      <c r="AH116" s="52">
        <f t="shared" si="18"/>
        <v>97</v>
      </c>
      <c r="AI116" s="53">
        <f t="shared" si="19"/>
        <v>-89</v>
      </c>
    </row>
    <row r="117" spans="1:37" ht="15.75" thickBot="1" x14ac:dyDescent="0.3">
      <c r="A117" s="127" t="s">
        <v>121</v>
      </c>
      <c r="B117" s="113">
        <v>74.400000000000006</v>
      </c>
      <c r="C117" s="113">
        <v>66.5</v>
      </c>
      <c r="D117" s="113">
        <v>68.2</v>
      </c>
      <c r="E117" s="113">
        <v>68.3</v>
      </c>
      <c r="F117" s="113">
        <v>68.3</v>
      </c>
      <c r="G117" s="113">
        <v>67.3</v>
      </c>
      <c r="H117" s="113">
        <v>68.3</v>
      </c>
      <c r="I117" s="113">
        <v>77</v>
      </c>
      <c r="J117" s="113">
        <v>77.3</v>
      </c>
      <c r="K117" s="113">
        <v>82.89</v>
      </c>
      <c r="L117" s="113">
        <v>83.3</v>
      </c>
      <c r="M117" s="113">
        <v>86.5</v>
      </c>
      <c r="N117" s="113">
        <v>85.8</v>
      </c>
      <c r="O117" s="113">
        <v>85.8</v>
      </c>
      <c r="P117" s="113">
        <v>98.1</v>
      </c>
      <c r="Q117" s="113">
        <v>95.5</v>
      </c>
      <c r="R117" s="113">
        <v>97.4</v>
      </c>
      <c r="S117" s="113">
        <v>101</v>
      </c>
      <c r="T117" s="113">
        <v>106</v>
      </c>
      <c r="U117" s="113">
        <v>99</v>
      </c>
      <c r="V117" s="113">
        <v>90</v>
      </c>
      <c r="W117" s="113">
        <v>84</v>
      </c>
      <c r="X117" s="113">
        <v>84</v>
      </c>
      <c r="Y117" s="113">
        <v>100</v>
      </c>
      <c r="Z117" s="113">
        <v>102</v>
      </c>
      <c r="AA117" s="113">
        <v>89</v>
      </c>
      <c r="AB117" s="113">
        <v>86.3</v>
      </c>
      <c r="AC117" s="113">
        <v>81.8</v>
      </c>
      <c r="AD117" s="113">
        <v>78.8</v>
      </c>
      <c r="AE117" s="113">
        <v>75</v>
      </c>
      <c r="AF117" s="113">
        <v>72</v>
      </c>
      <c r="AG117" s="126"/>
      <c r="AH117" s="52">
        <f t="shared" si="18"/>
        <v>106</v>
      </c>
      <c r="AI117" s="53">
        <f t="shared" si="19"/>
        <v>66.5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45">SUM(B119:B223)</f>
        <v>0</v>
      </c>
      <c r="C224" s="144">
        <f t="shared" si="45"/>
        <v>0</v>
      </c>
      <c r="D224" s="144">
        <f t="shared" si="45"/>
        <v>0</v>
      </c>
      <c r="E224" s="144">
        <f t="shared" si="45"/>
        <v>0</v>
      </c>
      <c r="F224" s="144">
        <f t="shared" si="45"/>
        <v>0</v>
      </c>
      <c r="G224" s="144">
        <f t="shared" si="45"/>
        <v>0</v>
      </c>
      <c r="H224" s="144">
        <f t="shared" si="45"/>
        <v>0</v>
      </c>
      <c r="I224" s="144">
        <f t="shared" si="45"/>
        <v>0</v>
      </c>
      <c r="J224" s="144">
        <f t="shared" si="45"/>
        <v>0</v>
      </c>
      <c r="K224" s="144">
        <f t="shared" si="45"/>
        <v>0</v>
      </c>
      <c r="L224" s="144">
        <f t="shared" si="45"/>
        <v>0</v>
      </c>
      <c r="M224" s="144">
        <f t="shared" si="45"/>
        <v>0</v>
      </c>
      <c r="N224" s="144">
        <f t="shared" si="45"/>
        <v>0</v>
      </c>
      <c r="O224" s="144">
        <f t="shared" si="45"/>
        <v>0</v>
      </c>
      <c r="P224" s="144">
        <f t="shared" si="45"/>
        <v>0</v>
      </c>
      <c r="Q224" s="144">
        <f t="shared" si="45"/>
        <v>0</v>
      </c>
      <c r="R224" s="144">
        <f t="shared" si="45"/>
        <v>0</v>
      </c>
      <c r="S224" s="144">
        <f t="shared" si="45"/>
        <v>0</v>
      </c>
      <c r="T224" s="144">
        <f t="shared" si="45"/>
        <v>0</v>
      </c>
      <c r="U224" s="144">
        <f t="shared" si="45"/>
        <v>0</v>
      </c>
      <c r="V224" s="144">
        <f t="shared" si="45"/>
        <v>0</v>
      </c>
      <c r="W224" s="144">
        <f t="shared" si="45"/>
        <v>0</v>
      </c>
      <c r="X224" s="144">
        <f t="shared" si="45"/>
        <v>0</v>
      </c>
      <c r="Y224" s="144">
        <f t="shared" si="45"/>
        <v>0</v>
      </c>
      <c r="Z224" s="144">
        <f t="shared" si="45"/>
        <v>0</v>
      </c>
      <c r="AA224" s="144">
        <f t="shared" si="45"/>
        <v>0</v>
      </c>
      <c r="AB224" s="144">
        <f t="shared" si="45"/>
        <v>0</v>
      </c>
      <c r="AC224" s="144">
        <f t="shared" si="45"/>
        <v>0</v>
      </c>
      <c r="AD224" s="144">
        <f t="shared" si="45"/>
        <v>0</v>
      </c>
      <c r="AE224" s="144">
        <f t="shared" si="45"/>
        <v>0</v>
      </c>
      <c r="AF224" s="145">
        <f t="shared" si="45"/>
        <v>0</v>
      </c>
      <c r="AG224" s="146">
        <f t="shared" si="45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46">AF226</f>
        <v>0</v>
      </c>
      <c r="C226" s="149">
        <v>0.3</v>
      </c>
      <c r="D226" s="149">
        <f t="shared" ref="D226:P231" si="47">C226</f>
        <v>0.3</v>
      </c>
      <c r="E226" s="149">
        <f t="shared" si="47"/>
        <v>0.3</v>
      </c>
      <c r="F226" s="149">
        <f t="shared" si="47"/>
        <v>0.3</v>
      </c>
      <c r="G226" s="149">
        <f t="shared" si="47"/>
        <v>0.3</v>
      </c>
      <c r="H226" s="149">
        <f t="shared" si="47"/>
        <v>0.3</v>
      </c>
      <c r="I226" s="149">
        <f t="shared" si="47"/>
        <v>0.3</v>
      </c>
      <c r="J226" s="149">
        <f t="shared" si="47"/>
        <v>0.3</v>
      </c>
      <c r="K226" s="149">
        <f t="shared" si="47"/>
        <v>0.3</v>
      </c>
      <c r="L226" s="149">
        <f t="shared" si="47"/>
        <v>0.3</v>
      </c>
      <c r="M226" s="149">
        <f t="shared" si="47"/>
        <v>0.3</v>
      </c>
      <c r="N226" s="149">
        <f t="shared" si="47"/>
        <v>0.3</v>
      </c>
      <c r="O226" s="149">
        <f t="shared" si="47"/>
        <v>0.3</v>
      </c>
      <c r="P226" s="149">
        <f t="shared" si="47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46"/>
        <v>0</v>
      </c>
      <c r="C227" s="136">
        <v>0.4</v>
      </c>
      <c r="D227" s="136">
        <f t="shared" si="47"/>
        <v>0.4</v>
      </c>
      <c r="E227" s="136">
        <f t="shared" si="47"/>
        <v>0.4</v>
      </c>
      <c r="F227" s="136">
        <f t="shared" si="47"/>
        <v>0.4</v>
      </c>
      <c r="G227" s="136">
        <f t="shared" si="47"/>
        <v>0.4</v>
      </c>
      <c r="H227" s="136">
        <f t="shared" si="47"/>
        <v>0.4</v>
      </c>
      <c r="I227" s="136">
        <f t="shared" si="47"/>
        <v>0.4</v>
      </c>
      <c r="J227" s="136">
        <f t="shared" si="47"/>
        <v>0.4</v>
      </c>
      <c r="K227" s="136">
        <f t="shared" si="47"/>
        <v>0.4</v>
      </c>
      <c r="L227" s="136">
        <f t="shared" si="47"/>
        <v>0.4</v>
      </c>
      <c r="M227" s="136">
        <f t="shared" si="47"/>
        <v>0.4</v>
      </c>
      <c r="N227" s="136">
        <f t="shared" si="47"/>
        <v>0.4</v>
      </c>
      <c r="O227" s="136">
        <f t="shared" si="47"/>
        <v>0.4</v>
      </c>
      <c r="P227" s="136">
        <f t="shared" si="47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46"/>
        <v>0</v>
      </c>
      <c r="C228" s="136">
        <v>1.5</v>
      </c>
      <c r="D228" s="136">
        <f t="shared" si="47"/>
        <v>1.5</v>
      </c>
      <c r="E228" s="136">
        <f t="shared" si="47"/>
        <v>1.5</v>
      </c>
      <c r="F228" s="136">
        <f t="shared" si="47"/>
        <v>1.5</v>
      </c>
      <c r="G228" s="136">
        <f t="shared" si="47"/>
        <v>1.5</v>
      </c>
      <c r="H228" s="136">
        <f t="shared" si="47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7"/>
        <v>1.5</v>
      </c>
      <c r="K228" s="136">
        <f t="shared" ca="1" si="47"/>
        <v>1.5</v>
      </c>
      <c r="L228" s="136">
        <f t="shared" ca="1" si="47"/>
        <v>1.5</v>
      </c>
      <c r="M228" s="136">
        <f t="shared" ca="1" si="47"/>
        <v>1.5</v>
      </c>
      <c r="N228" s="136">
        <f t="shared" ca="1" si="47"/>
        <v>1.5</v>
      </c>
      <c r="O228" s="136">
        <f t="shared" ca="1" si="47"/>
        <v>1.5</v>
      </c>
      <c r="P228" s="136">
        <f t="shared" ca="1" si="47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46"/>
        <v>0</v>
      </c>
      <c r="C229" s="136">
        <v>0.3</v>
      </c>
      <c r="D229" s="136">
        <f t="shared" si="47"/>
        <v>0.3</v>
      </c>
      <c r="E229" s="136">
        <f t="shared" si="47"/>
        <v>0.3</v>
      </c>
      <c r="F229" s="136">
        <f t="shared" si="47"/>
        <v>0.3</v>
      </c>
      <c r="G229" s="136">
        <f t="shared" si="47"/>
        <v>0.3</v>
      </c>
      <c r="H229" s="136">
        <f t="shared" si="47"/>
        <v>0.3</v>
      </c>
      <c r="I229" s="136">
        <f t="shared" si="47"/>
        <v>0.3</v>
      </c>
      <c r="J229" s="136">
        <f t="shared" si="47"/>
        <v>0.3</v>
      </c>
      <c r="K229" s="136">
        <f t="shared" si="47"/>
        <v>0.3</v>
      </c>
      <c r="L229" s="136">
        <f t="shared" si="47"/>
        <v>0.3</v>
      </c>
      <c r="M229" s="136">
        <f t="shared" si="47"/>
        <v>0.3</v>
      </c>
      <c r="N229" s="136">
        <f t="shared" si="47"/>
        <v>0.3</v>
      </c>
      <c r="O229" s="136">
        <f t="shared" si="47"/>
        <v>0.3</v>
      </c>
      <c r="P229" s="136">
        <f t="shared" si="47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46"/>
        <v>0</v>
      </c>
      <c r="C230" s="136">
        <v>0.4</v>
      </c>
      <c r="D230" s="136">
        <f t="shared" si="47"/>
        <v>0.4</v>
      </c>
      <c r="E230" s="136">
        <f t="shared" si="47"/>
        <v>0.4</v>
      </c>
      <c r="F230" s="136">
        <f t="shared" si="47"/>
        <v>0.4</v>
      </c>
      <c r="G230" s="136">
        <f t="shared" si="47"/>
        <v>0.4</v>
      </c>
      <c r="H230" s="136">
        <f t="shared" si="47"/>
        <v>0.4</v>
      </c>
      <c r="I230" s="136">
        <f t="shared" si="47"/>
        <v>0.4</v>
      </c>
      <c r="J230" s="136">
        <f t="shared" si="47"/>
        <v>0.4</v>
      </c>
      <c r="K230" s="136">
        <f t="shared" si="47"/>
        <v>0.4</v>
      </c>
      <c r="L230" s="136">
        <f t="shared" si="47"/>
        <v>0.4</v>
      </c>
      <c r="M230" s="136">
        <f t="shared" si="47"/>
        <v>0.4</v>
      </c>
      <c r="N230" s="136">
        <f t="shared" si="47"/>
        <v>0.4</v>
      </c>
      <c r="O230" s="136">
        <f t="shared" si="47"/>
        <v>0.4</v>
      </c>
      <c r="P230" s="136">
        <f t="shared" si="47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46"/>
        <v>0</v>
      </c>
      <c r="C231" s="140">
        <v>0.64</v>
      </c>
      <c r="D231" s="140">
        <f t="shared" si="47"/>
        <v>0.64</v>
      </c>
      <c r="E231" s="140">
        <f t="shared" si="47"/>
        <v>0.64</v>
      </c>
      <c r="F231" s="140">
        <f t="shared" si="47"/>
        <v>0.64</v>
      </c>
      <c r="G231" s="140">
        <f t="shared" si="47"/>
        <v>0.64</v>
      </c>
      <c r="H231" s="140">
        <f t="shared" si="47"/>
        <v>0.64</v>
      </c>
      <c r="I231" s="140">
        <f t="shared" si="47"/>
        <v>0.64</v>
      </c>
      <c r="J231" s="140">
        <f t="shared" si="47"/>
        <v>0.64</v>
      </c>
      <c r="K231" s="140">
        <f t="shared" si="47"/>
        <v>0.64</v>
      </c>
      <c r="L231" s="140">
        <f t="shared" si="47"/>
        <v>0.64</v>
      </c>
      <c r="M231" s="140">
        <f t="shared" si="47"/>
        <v>0.64</v>
      </c>
      <c r="N231" s="140">
        <f t="shared" si="47"/>
        <v>0.64</v>
      </c>
      <c r="O231" s="140">
        <f t="shared" si="47"/>
        <v>0.64</v>
      </c>
      <c r="P231" s="140">
        <f t="shared" si="47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48">SUM(B226:B231)</f>
        <v>0</v>
      </c>
      <c r="C232" s="144">
        <f t="shared" si="48"/>
        <v>3.54</v>
      </c>
      <c r="D232" s="144">
        <f t="shared" si="48"/>
        <v>3.54</v>
      </c>
      <c r="E232" s="144">
        <f t="shared" si="48"/>
        <v>3.54</v>
      </c>
      <c r="F232" s="144">
        <f t="shared" si="48"/>
        <v>3.54</v>
      </c>
      <c r="G232" s="144">
        <f t="shared" si="48"/>
        <v>3.54</v>
      </c>
      <c r="H232" s="144">
        <f t="shared" si="48"/>
        <v>3.54</v>
      </c>
      <c r="I232" s="144">
        <f t="shared" ca="1" si="48"/>
        <v>3.54</v>
      </c>
      <c r="J232" s="144">
        <f t="shared" ca="1" si="48"/>
        <v>3.54</v>
      </c>
      <c r="K232" s="144">
        <f t="shared" ca="1" si="48"/>
        <v>3.54</v>
      </c>
      <c r="L232" s="144">
        <f t="shared" ca="1" si="48"/>
        <v>3.54</v>
      </c>
      <c r="M232" s="144">
        <f t="shared" ca="1" si="48"/>
        <v>3.54</v>
      </c>
      <c r="N232" s="144">
        <f t="shared" ca="1" si="48"/>
        <v>3.54</v>
      </c>
      <c r="O232" s="144">
        <f t="shared" ca="1" si="48"/>
        <v>3.54</v>
      </c>
      <c r="P232" s="144">
        <f t="shared" ca="1" si="48"/>
        <v>3.54</v>
      </c>
      <c r="Q232" s="144">
        <f t="shared" si="48"/>
        <v>0</v>
      </c>
      <c r="R232" s="144">
        <f t="shared" si="48"/>
        <v>0</v>
      </c>
      <c r="S232" s="144">
        <f t="shared" si="48"/>
        <v>0</v>
      </c>
      <c r="T232" s="144">
        <f t="shared" si="48"/>
        <v>0</v>
      </c>
      <c r="U232" s="144">
        <f t="shared" si="48"/>
        <v>0</v>
      </c>
      <c r="V232" s="144">
        <f t="shared" si="48"/>
        <v>0</v>
      </c>
      <c r="W232" s="144">
        <f t="shared" si="48"/>
        <v>0</v>
      </c>
      <c r="X232" s="144">
        <f t="shared" si="48"/>
        <v>0</v>
      </c>
      <c r="Y232" s="144">
        <f t="shared" si="48"/>
        <v>0</v>
      </c>
      <c r="Z232" s="144">
        <f t="shared" si="48"/>
        <v>0</v>
      </c>
      <c r="AA232" s="144">
        <f t="shared" si="48"/>
        <v>0</v>
      </c>
      <c r="AB232" s="144">
        <f t="shared" si="48"/>
        <v>0</v>
      </c>
      <c r="AC232" s="144">
        <f t="shared" si="48"/>
        <v>0</v>
      </c>
      <c r="AD232" s="144">
        <f t="shared" si="48"/>
        <v>0</v>
      </c>
      <c r="AE232" s="144">
        <f t="shared" si="48"/>
        <v>0</v>
      </c>
      <c r="AF232" s="144">
        <f t="shared" si="48"/>
        <v>0</v>
      </c>
      <c r="AG232" s="154">
        <f t="shared" si="48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1455.2400000000002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02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49">B89</f>
        <v>1151.44</v>
      </c>
      <c r="U246" s="180">
        <f t="shared" si="49"/>
        <v>1105.74</v>
      </c>
      <c r="V246" s="180">
        <f t="shared" si="49"/>
        <v>1095.8400000000001</v>
      </c>
      <c r="W246" s="180">
        <f t="shared" si="49"/>
        <v>1080.04</v>
      </c>
      <c r="X246" s="180">
        <f t="shared" si="49"/>
        <v>1091.04</v>
      </c>
      <c r="Y246" s="180">
        <f t="shared" si="49"/>
        <v>1137.04</v>
      </c>
      <c r="Z246" s="180">
        <f t="shared" si="49"/>
        <v>1140.04</v>
      </c>
      <c r="AA246" s="180">
        <f t="shared" si="49"/>
        <v>1252.1399999999999</v>
      </c>
      <c r="AB246" s="180">
        <f t="shared" si="49"/>
        <v>1305.54</v>
      </c>
      <c r="AC246" s="180">
        <f t="shared" si="49"/>
        <v>1387.44</v>
      </c>
      <c r="AD246" s="180">
        <f t="shared" si="49"/>
        <v>1401.54</v>
      </c>
      <c r="AE246" s="180">
        <f t="shared" si="49"/>
        <v>1455.2400000000002</v>
      </c>
      <c r="AF246" s="180">
        <f t="shared" si="49"/>
        <v>1375.6399999999999</v>
      </c>
      <c r="AG246" s="180">
        <f t="shared" si="49"/>
        <v>1256.2400000000002</v>
      </c>
      <c r="AH246" s="180">
        <f t="shared" si="49"/>
        <v>1190.74</v>
      </c>
      <c r="AI246" s="180">
        <f t="shared" si="49"/>
        <v>1298.44</v>
      </c>
      <c r="AJ246" s="180">
        <f t="shared" si="49"/>
        <v>1294.8400000000001</v>
      </c>
      <c r="AK246" s="180">
        <f t="shared" si="49"/>
        <v>1314.6399999999999</v>
      </c>
      <c r="AL246" s="180">
        <f t="shared" si="49"/>
        <v>1363.64</v>
      </c>
      <c r="AM246" s="180">
        <f t="shared" si="49"/>
        <v>1356.44</v>
      </c>
      <c r="AN246" s="180">
        <f t="shared" si="49"/>
        <v>1281.6399999999999</v>
      </c>
      <c r="AO246" s="180">
        <f t="shared" si="49"/>
        <v>1331.54</v>
      </c>
      <c r="AP246" s="180">
        <f t="shared" si="49"/>
        <v>1419.74</v>
      </c>
      <c r="AQ246" s="180">
        <f t="shared" si="49"/>
        <v>1604.04</v>
      </c>
      <c r="AR246" s="180">
        <f t="shared" si="49"/>
        <v>1585.54</v>
      </c>
      <c r="AS246" s="180">
        <f t="shared" si="49"/>
        <v>1476.04</v>
      </c>
      <c r="AT246" s="180">
        <f t="shared" si="49"/>
        <v>1424.54</v>
      </c>
      <c r="AU246" s="180">
        <f t="shared" si="49"/>
        <v>1419.04</v>
      </c>
      <c r="AV246" s="180">
        <f t="shared" si="49"/>
        <v>1304.94</v>
      </c>
      <c r="AW246" s="180">
        <f t="shared" si="49"/>
        <v>1213.8400000000001</v>
      </c>
      <c r="AX246" s="180">
        <f t="shared" si="49"/>
        <v>1139.3399999999999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50">C231</f>
        <v>0.64</v>
      </c>
      <c r="C267" s="183">
        <f t="shared" si="50"/>
        <v>0.64</v>
      </c>
      <c r="D267" s="183">
        <f t="shared" si="50"/>
        <v>0.64</v>
      </c>
      <c r="E267" s="183">
        <f t="shared" si="50"/>
        <v>0.64</v>
      </c>
      <c r="F267" s="183">
        <f t="shared" si="50"/>
        <v>0.64</v>
      </c>
      <c r="G267" s="183">
        <f t="shared" si="50"/>
        <v>0.64</v>
      </c>
      <c r="H267" s="183">
        <f t="shared" si="50"/>
        <v>0.64</v>
      </c>
      <c r="I267" s="183">
        <f t="shared" si="50"/>
        <v>0.64</v>
      </c>
      <c r="J267" s="183">
        <f t="shared" si="50"/>
        <v>0.64</v>
      </c>
      <c r="K267" s="183">
        <f t="shared" si="50"/>
        <v>0.64</v>
      </c>
      <c r="L267" s="183">
        <f t="shared" si="50"/>
        <v>0.64</v>
      </c>
      <c r="M267" s="183">
        <f t="shared" si="50"/>
        <v>0.64</v>
      </c>
      <c r="N267" s="183">
        <f t="shared" si="50"/>
        <v>0.64</v>
      </c>
      <c r="O267" s="183">
        <f t="shared" si="50"/>
        <v>0.64</v>
      </c>
      <c r="P267" s="183">
        <f t="shared" si="50"/>
        <v>0</v>
      </c>
      <c r="Q267" s="183">
        <f t="shared" si="50"/>
        <v>0</v>
      </c>
      <c r="R267" s="183">
        <f t="shared" si="50"/>
        <v>0</v>
      </c>
      <c r="S267" s="183">
        <f t="shared" si="50"/>
        <v>0</v>
      </c>
      <c r="T267" s="183">
        <f t="shared" si="50"/>
        <v>0</v>
      </c>
      <c r="U267" s="183">
        <f t="shared" si="50"/>
        <v>0</v>
      </c>
      <c r="V267" s="183">
        <f t="shared" si="50"/>
        <v>0</v>
      </c>
      <c r="W267" s="183">
        <f t="shared" si="50"/>
        <v>0</v>
      </c>
      <c r="X267" s="183">
        <f t="shared" si="50"/>
        <v>0</v>
      </c>
      <c r="Y267" s="183">
        <f t="shared" si="50"/>
        <v>0</v>
      </c>
      <c r="Z267" s="183">
        <f t="shared" si="50"/>
        <v>0</v>
      </c>
      <c r="AA267" s="183">
        <f t="shared" si="50"/>
        <v>0</v>
      </c>
      <c r="AB267" s="183">
        <f t="shared" si="50"/>
        <v>0</v>
      </c>
      <c r="AC267" s="183">
        <f t="shared" si="50"/>
        <v>0</v>
      </c>
      <c r="AD267" s="183">
        <f t="shared" si="50"/>
        <v>0</v>
      </c>
      <c r="AE267" s="183">
        <f t="shared" si="50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51">IF(B235&lt;100,"",B235-520)</f>
        <v/>
      </c>
      <c r="C268" s="184" t="str">
        <f t="shared" si="51"/>
        <v/>
      </c>
      <c r="D268" s="184" t="str">
        <f t="shared" si="51"/>
        <v/>
      </c>
      <c r="E268" s="184" t="str">
        <f t="shared" si="51"/>
        <v/>
      </c>
      <c r="F268" s="184" t="str">
        <f t="shared" si="51"/>
        <v/>
      </c>
      <c r="G268" s="184" t="str">
        <f t="shared" si="51"/>
        <v/>
      </c>
      <c r="H268" s="184" t="str">
        <f t="shared" si="51"/>
        <v/>
      </c>
      <c r="I268" s="184" t="str">
        <f t="shared" si="51"/>
        <v/>
      </c>
      <c r="J268" s="184" t="str">
        <f t="shared" si="51"/>
        <v/>
      </c>
      <c r="K268" s="184" t="str">
        <f t="shared" si="51"/>
        <v/>
      </c>
      <c r="L268" s="184" t="str">
        <f t="shared" si="51"/>
        <v/>
      </c>
      <c r="M268" s="184" t="str">
        <f t="shared" si="51"/>
        <v/>
      </c>
      <c r="N268" s="184" t="str">
        <f t="shared" si="51"/>
        <v/>
      </c>
      <c r="O268" s="184" t="str">
        <f t="shared" si="51"/>
        <v/>
      </c>
      <c r="P268" s="184" t="str">
        <f t="shared" si="51"/>
        <v/>
      </c>
      <c r="Q268" s="184" t="str">
        <f t="shared" si="51"/>
        <v/>
      </c>
      <c r="R268" s="184" t="str">
        <f t="shared" si="51"/>
        <v/>
      </c>
      <c r="S268" s="184" t="str">
        <f t="shared" si="51"/>
        <v/>
      </c>
      <c r="T268" s="184" t="str">
        <f t="shared" si="51"/>
        <v/>
      </c>
      <c r="U268" s="184" t="str">
        <f t="shared" si="51"/>
        <v/>
      </c>
      <c r="V268" s="184" t="str">
        <f t="shared" si="51"/>
        <v/>
      </c>
      <c r="W268" s="184" t="str">
        <f t="shared" si="51"/>
        <v/>
      </c>
      <c r="X268" s="184" t="str">
        <f t="shared" si="51"/>
        <v/>
      </c>
      <c r="Y268" s="184" t="str">
        <f t="shared" si="51"/>
        <v/>
      </c>
      <c r="Z268" s="184" t="str">
        <f t="shared" si="51"/>
        <v/>
      </c>
      <c r="AA268" s="184" t="str">
        <f t="shared" si="51"/>
        <v/>
      </c>
      <c r="AB268" s="184" t="str">
        <f t="shared" si="51"/>
        <v/>
      </c>
      <c r="AC268" s="184" t="str">
        <f t="shared" si="51"/>
        <v/>
      </c>
      <c r="AD268" s="184" t="str">
        <f t="shared" si="51"/>
        <v/>
      </c>
      <c r="AE268" s="184" t="str">
        <f t="shared" si="51"/>
        <v/>
      </c>
      <c r="AF268" s="184" t="str">
        <f t="shared" si="51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52">IF(B236&lt;100,"",B236-620)</f>
        <v/>
      </c>
      <c r="C269" s="184" t="str">
        <f t="shared" si="52"/>
        <v/>
      </c>
      <c r="D269" s="184" t="str">
        <f t="shared" si="52"/>
        <v/>
      </c>
      <c r="E269" s="184" t="str">
        <f t="shared" si="52"/>
        <v/>
      </c>
      <c r="F269" s="184" t="str">
        <f t="shared" si="52"/>
        <v/>
      </c>
      <c r="G269" s="184" t="str">
        <f t="shared" si="52"/>
        <v/>
      </c>
      <c r="H269" s="184" t="str">
        <f t="shared" si="52"/>
        <v/>
      </c>
      <c r="I269" s="184" t="str">
        <f t="shared" si="52"/>
        <v/>
      </c>
      <c r="J269" s="184" t="str">
        <f t="shared" si="52"/>
        <v/>
      </c>
      <c r="K269" s="184" t="str">
        <f t="shared" si="52"/>
        <v/>
      </c>
      <c r="L269" s="184" t="str">
        <f t="shared" si="52"/>
        <v/>
      </c>
      <c r="M269" s="184" t="str">
        <f t="shared" si="52"/>
        <v/>
      </c>
      <c r="N269" s="184" t="str">
        <f t="shared" si="52"/>
        <v/>
      </c>
      <c r="O269" s="184" t="str">
        <f t="shared" si="52"/>
        <v/>
      </c>
      <c r="P269" s="184" t="str">
        <f t="shared" si="52"/>
        <v/>
      </c>
      <c r="Q269" s="184" t="str">
        <f t="shared" si="52"/>
        <v/>
      </c>
      <c r="R269" s="184" t="str">
        <f t="shared" si="52"/>
        <v/>
      </c>
      <c r="S269" s="184" t="str">
        <f t="shared" si="52"/>
        <v/>
      </c>
      <c r="T269" s="184" t="str">
        <f t="shared" si="52"/>
        <v/>
      </c>
      <c r="U269" s="184" t="str">
        <f t="shared" si="52"/>
        <v/>
      </c>
      <c r="V269" s="184" t="str">
        <f t="shared" si="52"/>
        <v/>
      </c>
      <c r="W269" s="184" t="str">
        <f t="shared" si="52"/>
        <v/>
      </c>
      <c r="X269" s="184" t="str">
        <f t="shared" si="52"/>
        <v/>
      </c>
      <c r="Y269" s="184" t="str">
        <f t="shared" si="52"/>
        <v/>
      </c>
      <c r="Z269" s="184" t="str">
        <f t="shared" si="52"/>
        <v/>
      </c>
      <c r="AA269" s="184" t="str">
        <f t="shared" si="52"/>
        <v/>
      </c>
      <c r="AB269" s="184" t="str">
        <f t="shared" si="52"/>
        <v/>
      </c>
      <c r="AC269" s="184" t="str">
        <f t="shared" si="52"/>
        <v/>
      </c>
      <c r="AD269" s="184" t="str">
        <f t="shared" si="52"/>
        <v/>
      </c>
      <c r="AE269" s="184" t="str">
        <f t="shared" si="52"/>
        <v/>
      </c>
      <c r="AF269" s="184" t="str">
        <f t="shared" si="52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53">IF(B237&lt;100,"",B237-330)</f>
        <v/>
      </c>
      <c r="C270" s="184" t="str">
        <f t="shared" si="53"/>
        <v/>
      </c>
      <c r="D270" s="184" t="str">
        <f t="shared" si="53"/>
        <v/>
      </c>
      <c r="E270" s="184" t="str">
        <f t="shared" si="53"/>
        <v/>
      </c>
      <c r="F270" s="184" t="str">
        <f t="shared" si="53"/>
        <v/>
      </c>
      <c r="G270" s="184" t="str">
        <f t="shared" si="53"/>
        <v/>
      </c>
      <c r="H270" s="184" t="str">
        <f t="shared" si="53"/>
        <v/>
      </c>
      <c r="I270" s="184" t="str">
        <f t="shared" si="53"/>
        <v/>
      </c>
      <c r="J270" s="184" t="str">
        <f t="shared" si="53"/>
        <v/>
      </c>
      <c r="K270" s="184" t="str">
        <f t="shared" si="53"/>
        <v/>
      </c>
      <c r="L270" s="184" t="str">
        <f t="shared" si="53"/>
        <v/>
      </c>
      <c r="M270" s="184" t="str">
        <f t="shared" si="53"/>
        <v/>
      </c>
      <c r="N270" s="184" t="str">
        <f t="shared" si="53"/>
        <v/>
      </c>
      <c r="O270" s="184" t="str">
        <f t="shared" si="53"/>
        <v/>
      </c>
      <c r="P270" s="184" t="str">
        <f t="shared" si="53"/>
        <v/>
      </c>
      <c r="Q270" s="184" t="str">
        <f t="shared" si="53"/>
        <v/>
      </c>
      <c r="R270" s="184" t="str">
        <f t="shared" si="53"/>
        <v/>
      </c>
      <c r="S270" s="184" t="str">
        <f t="shared" si="53"/>
        <v/>
      </c>
      <c r="T270" s="184" t="str">
        <f t="shared" si="53"/>
        <v/>
      </c>
      <c r="U270" s="184" t="str">
        <f t="shared" si="53"/>
        <v/>
      </c>
      <c r="V270" s="184" t="str">
        <f t="shared" si="53"/>
        <v/>
      </c>
      <c r="W270" s="184" t="str">
        <f t="shared" si="53"/>
        <v/>
      </c>
      <c r="X270" s="184" t="str">
        <f t="shared" si="53"/>
        <v/>
      </c>
      <c r="Y270" s="184" t="str">
        <f t="shared" si="53"/>
        <v/>
      </c>
      <c r="Z270" s="184" t="str">
        <f t="shared" si="53"/>
        <v/>
      </c>
      <c r="AA270" s="184" t="str">
        <f t="shared" si="53"/>
        <v/>
      </c>
      <c r="AB270" s="184" t="str">
        <f t="shared" si="53"/>
        <v/>
      </c>
      <c r="AC270" s="184" t="str">
        <f t="shared" si="53"/>
        <v/>
      </c>
      <c r="AD270" s="184" t="str">
        <f t="shared" si="53"/>
        <v/>
      </c>
      <c r="AE270" s="184" t="str">
        <f t="shared" si="53"/>
        <v/>
      </c>
      <c r="AF270" s="184" t="str">
        <f t="shared" si="53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54">IF(B238&lt;100,"",B238-1500)</f>
        <v/>
      </c>
      <c r="C271" s="184" t="str">
        <f t="shared" si="54"/>
        <v/>
      </c>
      <c r="D271" s="184" t="str">
        <f t="shared" si="54"/>
        <v/>
      </c>
      <c r="E271" s="184" t="str">
        <f t="shared" si="54"/>
        <v/>
      </c>
      <c r="F271" s="184" t="str">
        <f t="shared" si="54"/>
        <v/>
      </c>
      <c r="G271" s="184" t="str">
        <f t="shared" si="54"/>
        <v/>
      </c>
      <c r="H271" s="184" t="str">
        <f t="shared" si="54"/>
        <v/>
      </c>
      <c r="I271" s="184" t="str">
        <f t="shared" si="54"/>
        <v/>
      </c>
      <c r="J271" s="184" t="str">
        <f t="shared" si="54"/>
        <v/>
      </c>
      <c r="K271" s="184" t="str">
        <f t="shared" si="54"/>
        <v/>
      </c>
      <c r="L271" s="184" t="str">
        <f t="shared" si="54"/>
        <v/>
      </c>
      <c r="M271" s="184" t="str">
        <f t="shared" si="54"/>
        <v/>
      </c>
      <c r="N271" s="184" t="str">
        <f t="shared" si="54"/>
        <v/>
      </c>
      <c r="O271" s="184" t="str">
        <f t="shared" si="54"/>
        <v/>
      </c>
      <c r="P271" s="184" t="str">
        <f t="shared" si="54"/>
        <v/>
      </c>
      <c r="Q271" s="184" t="str">
        <f t="shared" si="54"/>
        <v/>
      </c>
      <c r="R271" s="184" t="str">
        <f t="shared" si="54"/>
        <v/>
      </c>
      <c r="S271" s="184" t="str">
        <f t="shared" si="54"/>
        <v/>
      </c>
      <c r="T271" s="184" t="str">
        <f t="shared" si="54"/>
        <v/>
      </c>
      <c r="U271" s="184" t="str">
        <f t="shared" si="54"/>
        <v/>
      </c>
      <c r="V271" s="184" t="str">
        <f t="shared" si="54"/>
        <v/>
      </c>
      <c r="W271" s="184" t="str">
        <f t="shared" si="54"/>
        <v/>
      </c>
      <c r="X271" s="184" t="str">
        <f t="shared" si="54"/>
        <v/>
      </c>
      <c r="Y271" s="184" t="str">
        <f t="shared" si="54"/>
        <v/>
      </c>
      <c r="Z271" s="184" t="str">
        <f t="shared" si="54"/>
        <v/>
      </c>
      <c r="AA271" s="184" t="str">
        <f t="shared" si="54"/>
        <v/>
      </c>
      <c r="AB271" s="184" t="str">
        <f t="shared" si="54"/>
        <v/>
      </c>
      <c r="AC271" s="184" t="str">
        <f t="shared" si="54"/>
        <v/>
      </c>
      <c r="AD271" s="184" t="str">
        <f t="shared" si="54"/>
        <v/>
      </c>
      <c r="AE271" s="184" t="str">
        <f t="shared" si="54"/>
        <v/>
      </c>
      <c r="AF271" s="184" t="str">
        <f t="shared" si="54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7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5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1630" priority="471">
      <formula>B$9&gt;=20/24</formula>
    </cfRule>
    <cfRule type="expression" dxfId="11629" priority="472">
      <formula>AND(B$9&gt;=14/24,B$9&lt;20/24)</formula>
    </cfRule>
    <cfRule type="expression" dxfId="11628" priority="473">
      <formula>AND(B$9&gt;=8/24,B$9&lt;14/24)</formula>
    </cfRule>
    <cfRule type="expression" dxfId="11627" priority="474">
      <formula>B$9&lt;8/24</formula>
    </cfRule>
  </conditionalFormatting>
  <conditionalFormatting sqref="AL4:AL6">
    <cfRule type="iconSet" priority="470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1626" priority="469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1625" priority="468">
      <formula>$AH12=0</formula>
    </cfRule>
  </conditionalFormatting>
  <conditionalFormatting sqref="A114">
    <cfRule type="expression" dxfId="11624" priority="467">
      <formula>$AH114=0</formula>
    </cfRule>
  </conditionalFormatting>
  <conditionalFormatting sqref="AL42">
    <cfRule type="iconSet" priority="466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1623" priority="465">
      <formula>$AH45=0</formula>
    </cfRule>
  </conditionalFormatting>
  <conditionalFormatting sqref="A98">
    <cfRule type="expression" dxfId="11622" priority="464">
      <formula>$AH98=0</formula>
    </cfRule>
  </conditionalFormatting>
  <conditionalFormatting sqref="A18">
    <cfRule type="expression" dxfId="11621" priority="463">
      <formula>$AH18=0</formula>
    </cfRule>
  </conditionalFormatting>
  <conditionalFormatting sqref="A196:A201">
    <cfRule type="expression" dxfId="11620" priority="462">
      <formula>$AH196=0</formula>
    </cfRule>
  </conditionalFormatting>
  <conditionalFormatting sqref="A190:A195">
    <cfRule type="expression" dxfId="11619" priority="461">
      <formula>$AH190=0</formula>
    </cfRule>
  </conditionalFormatting>
  <conditionalFormatting sqref="A58">
    <cfRule type="expression" dxfId="11618" priority="460">
      <formula>$AH58=0</formula>
    </cfRule>
  </conditionalFormatting>
  <conditionalFormatting sqref="A94">
    <cfRule type="expression" dxfId="11617" priority="459">
      <formula>$AH94=0</formula>
    </cfRule>
  </conditionalFormatting>
  <conditionalFormatting sqref="AD99:AF99 E99:X99">
    <cfRule type="expression" dxfId="11616" priority="455">
      <formula>E$9&gt;=20/24</formula>
    </cfRule>
    <cfRule type="expression" dxfId="11615" priority="456">
      <formula>AND(E$9&gt;=14/24,E$9&lt;20/24)</formula>
    </cfRule>
    <cfRule type="expression" dxfId="11614" priority="457">
      <formula>AND(E$9&gt;=8/24,E$9&lt;14/24)</formula>
    </cfRule>
    <cfRule type="expression" dxfId="11613" priority="458">
      <formula>E$9&lt;8/24</formula>
    </cfRule>
  </conditionalFormatting>
  <conditionalFormatting sqref="AL43">
    <cfRule type="iconSet" priority="45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612" priority="477">
      <formula>C$9&gt;=20/24</formula>
    </cfRule>
    <cfRule type="expression" dxfId="11611" priority="478">
      <formula>AND(C$9&gt;=14/24,C$9&lt;20/24)</formula>
    </cfRule>
    <cfRule type="expression" dxfId="11610" priority="479">
      <formula>AND(C$9&gt;=8/24,C$9&lt;14/24)</formula>
    </cfRule>
    <cfRule type="expression" dxfId="11609" priority="480">
      <formula>C$9&lt;8/24</formula>
    </cfRule>
  </conditionalFormatting>
  <conditionalFormatting sqref="A233">
    <cfRule type="expression" dxfId="11608" priority="481">
      <formula>$AH233=0</formula>
    </cfRule>
  </conditionalFormatting>
  <conditionalFormatting sqref="AG245">
    <cfRule type="expression" dxfId="11607" priority="482">
      <formula>B$9&gt;=20/24</formula>
    </cfRule>
    <cfRule type="expression" dxfId="11606" priority="483">
      <formula>AND(B$9&gt;=14/24,B$9&lt;20/24)</formula>
    </cfRule>
    <cfRule type="expression" dxfId="11605" priority="484">
      <formula>AND(B$9&gt;=8/24,B$9&lt;14/24)</formula>
    </cfRule>
    <cfRule type="expression" dxfId="11604" priority="485">
      <formula>B$9&lt;8/24</formula>
    </cfRule>
  </conditionalFormatting>
  <conditionalFormatting sqref="S8">
    <cfRule type="expression" dxfId="11603" priority="450">
      <formula>U$9&gt;=20/24</formula>
    </cfRule>
    <cfRule type="expression" dxfId="11602" priority="451">
      <formula>AND(U$9&gt;=14/24,U$9&lt;20/24)</formula>
    </cfRule>
    <cfRule type="expression" dxfId="11601" priority="452">
      <formula>AND(U$9&gt;=8/24,U$9&lt;14/24)</formula>
    </cfRule>
    <cfRule type="expression" dxfId="11600" priority="453">
      <formula>U$9&lt;8/24</formula>
    </cfRule>
  </conditionalFormatting>
  <conditionalFormatting sqref="AB8">
    <cfRule type="expression" dxfId="11599" priority="446">
      <formula>AD$9&gt;=20/24</formula>
    </cfRule>
    <cfRule type="expression" dxfId="11598" priority="447">
      <formula>AND(AD$9&gt;=14/24,AD$9&lt;20/24)</formula>
    </cfRule>
    <cfRule type="expression" dxfId="11597" priority="448">
      <formula>AND(AD$9&gt;=8/24,AD$9&lt;14/24)</formula>
    </cfRule>
    <cfRule type="expression" dxfId="11596" priority="449">
      <formula>AD$9&lt;8/24</formula>
    </cfRule>
  </conditionalFormatting>
  <conditionalFormatting sqref="AH245:AX245">
    <cfRule type="expression" dxfId="11595" priority="486">
      <formula>AG$9&gt;=20/24</formula>
    </cfRule>
    <cfRule type="expression" dxfId="11594" priority="487">
      <formula>AND(AG$9&gt;=14/24,AG$9&lt;20/24)</formula>
    </cfRule>
    <cfRule type="expression" dxfId="11593" priority="488">
      <formula>AND(AG$9&gt;=8/24,AG$9&lt;14/24)</formula>
    </cfRule>
    <cfRule type="expression" dxfId="11592" priority="489">
      <formula>AG$9&lt;8/24</formula>
    </cfRule>
  </conditionalFormatting>
  <conditionalFormatting sqref="T245">
    <cfRule type="expression" dxfId="11591" priority="490">
      <formula>AX$9&gt;=20/24</formula>
    </cfRule>
    <cfRule type="expression" dxfId="11590" priority="491">
      <formula>AND(AX$9&gt;=14/24,AX$9&lt;20/24)</formula>
    </cfRule>
    <cfRule type="expression" dxfId="11589" priority="492">
      <formula>AND(AX$9&gt;=8/24,AX$9&lt;14/24)</formula>
    </cfRule>
    <cfRule type="expression" dxfId="11588" priority="493">
      <formula>AX$9&lt;8/24</formula>
    </cfRule>
  </conditionalFormatting>
  <conditionalFormatting sqref="A115:A116">
    <cfRule type="expression" dxfId="11587" priority="445">
      <formula>$AH115=0</formula>
    </cfRule>
  </conditionalFormatting>
  <conditionalFormatting sqref="N57:N58 M54:Q55 AD54:AF57 M57 M56:N56 O56:Q58 R54:Y58 I71:AF71">
    <cfRule type="expression" dxfId="11586" priority="441">
      <formula>I$9&gt;=20/24</formula>
    </cfRule>
    <cfRule type="expression" dxfId="11585" priority="442">
      <formula>AND(I$9&gt;=14/24,I$9&lt;20/24)</formula>
    </cfRule>
    <cfRule type="expression" dxfId="11584" priority="443">
      <formula>AND(I$9&gt;=8/24,I$9&lt;14/24)</formula>
    </cfRule>
    <cfRule type="expression" dxfId="11583" priority="444">
      <formula>I$9&lt;8/24</formula>
    </cfRule>
  </conditionalFormatting>
  <conditionalFormatting sqref="AD53:AF53 M53:Y53">
    <cfRule type="expression" dxfId="11582" priority="437">
      <formula>M$9&gt;=20/24</formula>
    </cfRule>
    <cfRule type="expression" dxfId="11581" priority="438">
      <formula>AND(M$9&gt;=14/24,M$9&lt;20/24)</formula>
    </cfRule>
    <cfRule type="expression" dxfId="11580" priority="439">
      <formula>AND(M$9&gt;=8/24,M$9&lt;14/24)</formula>
    </cfRule>
    <cfRule type="expression" dxfId="11579" priority="440">
      <formula>M$9&lt;8/24</formula>
    </cfRule>
  </conditionalFormatting>
  <conditionalFormatting sqref="N57:N58 M53:Q55 AD53:AF57 M57 M56:N56 O56:Q58 R53:Y58">
    <cfRule type="expression" dxfId="11578" priority="436">
      <formula>M53&gt;$AG53</formula>
    </cfRule>
  </conditionalFormatting>
  <conditionalFormatting sqref="X96:AF96 AD100:AF106 D86:AF86 O100:X106 J72:Y73 X67:AF69 Z72:AF74 X47:AF47">
    <cfRule type="expression" dxfId="11577" priority="432">
      <formula>D$9&gt;=20/24</formula>
    </cfRule>
    <cfRule type="expression" dxfId="11576" priority="433">
      <formula>AND(D$9&gt;=14/24,D$9&lt;20/24)</formula>
    </cfRule>
    <cfRule type="expression" dxfId="11575" priority="434">
      <formula>AND(D$9&gt;=8/24,D$9&lt;14/24)</formula>
    </cfRule>
    <cfRule type="expression" dxfId="11574" priority="435">
      <formula>D$9&lt;8/24</formula>
    </cfRule>
  </conditionalFormatting>
  <conditionalFormatting sqref="X67:AF69 X47:AF47">
    <cfRule type="expression" dxfId="11573" priority="431">
      <formula>X47&gt;$AG47</formula>
    </cfRule>
  </conditionalFormatting>
  <conditionalFormatting sqref="Z53:AC58">
    <cfRule type="expression" dxfId="11572" priority="427">
      <formula>Z$9&gt;=20/24</formula>
    </cfRule>
    <cfRule type="expression" dxfId="11571" priority="428">
      <formula>AND(Z$9&gt;=14/24,Z$9&lt;20/24)</formula>
    </cfRule>
    <cfRule type="expression" dxfId="11570" priority="429">
      <formula>AND(Z$9&gt;=8/24,Z$9&lt;14/24)</formula>
    </cfRule>
    <cfRule type="expression" dxfId="11569" priority="430">
      <formula>Z$9&lt;8/24</formula>
    </cfRule>
  </conditionalFormatting>
  <conditionalFormatting sqref="Z53:AC58">
    <cfRule type="expression" dxfId="11568" priority="426">
      <formula>Z53&gt;$AG53</formula>
    </cfRule>
  </conditionalFormatting>
  <conditionalFormatting sqref="D97:AF97 D88:AF88">
    <cfRule type="expression" dxfId="11567" priority="422">
      <formula>D$9&gt;=20/24</formula>
    </cfRule>
    <cfRule type="expression" dxfId="11566" priority="423">
      <formula>AND(D$9&gt;=14/24,D$9&lt;20/24)</formula>
    </cfRule>
    <cfRule type="expression" dxfId="11565" priority="424">
      <formula>AND(D$9&gt;=8/24,D$9&lt;14/24)</formula>
    </cfRule>
    <cfRule type="expression" dxfId="11564" priority="425">
      <formula>D$9&lt;8/24</formula>
    </cfRule>
  </conditionalFormatting>
  <conditionalFormatting sqref="T47:W47">
    <cfRule type="expression" dxfId="11563" priority="418">
      <formula>T$9&gt;=20/24</formula>
    </cfRule>
    <cfRule type="expression" dxfId="11562" priority="419">
      <formula>AND(T$9&gt;=14/24,T$9&lt;20/24)</formula>
    </cfRule>
    <cfRule type="expression" dxfId="11561" priority="420">
      <formula>AND(T$9&gt;=8/24,T$9&lt;14/24)</formula>
    </cfRule>
    <cfRule type="expression" dxfId="11560" priority="421">
      <formula>T$9&lt;8/24</formula>
    </cfRule>
  </conditionalFormatting>
  <conditionalFormatting sqref="T47:W47">
    <cfRule type="expression" dxfId="11559" priority="417">
      <formula>T47&gt;$AG47</formula>
    </cfRule>
  </conditionalFormatting>
  <conditionalFormatting sqref="I53:L53">
    <cfRule type="expression" dxfId="11558" priority="409">
      <formula>I$9&gt;=20/24</formula>
    </cfRule>
    <cfRule type="expression" dxfId="11557" priority="410">
      <formula>AND(I$9&gt;=14/24,I$9&lt;20/24)</formula>
    </cfRule>
    <cfRule type="expression" dxfId="11556" priority="411">
      <formula>AND(I$9&gt;=8/24,I$9&lt;14/24)</formula>
    </cfRule>
    <cfRule type="expression" dxfId="11555" priority="412">
      <formula>I$9&lt;8/24</formula>
    </cfRule>
  </conditionalFormatting>
  <conditionalFormatting sqref="I53:L53">
    <cfRule type="expression" dxfId="11554" priority="408">
      <formula>I53&gt;$AG53</formula>
    </cfRule>
  </conditionalFormatting>
  <conditionalFormatting sqref="AG70 AG87 E100:N106 Q67:W69">
    <cfRule type="expression" dxfId="11553" priority="404">
      <formula>E$9&gt;=20/24</formula>
    </cfRule>
    <cfRule type="expression" dxfId="11552" priority="405">
      <formula>AND(E$9&gt;=14/24,E$9&lt;20/24)</formula>
    </cfRule>
    <cfRule type="expression" dxfId="11551" priority="406">
      <formula>AND(E$9&gt;=8/24,E$9&lt;14/24)</formula>
    </cfRule>
    <cfRule type="expression" dxfId="11550" priority="407">
      <formula>E$9&lt;8/24</formula>
    </cfRule>
  </conditionalFormatting>
  <conditionalFormatting sqref="AG48 AG66 AG70 Q67:W69">
    <cfRule type="expression" dxfId="11549" priority="403">
      <formula>Q48&gt;$AG48</formula>
    </cfRule>
  </conditionalFormatting>
  <conditionalFormatting sqref="AD58:AF58">
    <cfRule type="expression" dxfId="11548" priority="399">
      <formula>AD$9&gt;=20/24</formula>
    </cfRule>
    <cfRule type="expression" dxfId="11547" priority="400">
      <formula>AND(AD$9&gt;=14/24,AD$9&lt;20/24)</formula>
    </cfRule>
    <cfRule type="expression" dxfId="11546" priority="401">
      <formula>AND(AD$9&gt;=8/24,AD$9&lt;14/24)</formula>
    </cfRule>
    <cfRule type="expression" dxfId="11545" priority="402">
      <formula>AD$9&lt;8/24</formula>
    </cfRule>
  </conditionalFormatting>
  <conditionalFormatting sqref="AD58:AF58">
    <cfRule type="expression" dxfId="11544" priority="398">
      <formula>AD58&gt;$AG58</formula>
    </cfRule>
  </conditionalFormatting>
  <conditionalFormatting sqref="A43">
    <cfRule type="expression" dxfId="11543" priority="397">
      <formula>$AH43=0</formula>
    </cfRule>
  </conditionalFormatting>
  <conditionalFormatting sqref="X91:AF95">
    <cfRule type="expression" dxfId="11542" priority="393">
      <formula>X$9&gt;=20/24</formula>
    </cfRule>
    <cfRule type="expression" dxfId="11541" priority="394">
      <formula>AND(X$9&gt;=14/24,X$9&lt;20/24)</formula>
    </cfRule>
    <cfRule type="expression" dxfId="11540" priority="395">
      <formula>AND(X$9&gt;=8/24,X$9&lt;14/24)</formula>
    </cfRule>
    <cfRule type="expression" dxfId="11539" priority="396">
      <formula>X$9&lt;8/24</formula>
    </cfRule>
  </conditionalFormatting>
  <conditionalFormatting sqref="AL45 AL41 AL22:AL32 AL38:AL39 AL7:AL15 AL17:AL20 AL34:AL36">
    <cfRule type="iconSet" priority="494">
      <iconSet iconSet="3TrafficLights2" reverse="1">
        <cfvo type="percent" val="0"/>
        <cfvo type="num" val="1"/>
        <cfvo type="num" val="1"/>
      </iconSet>
    </cfRule>
  </conditionalFormatting>
  <conditionalFormatting sqref="I49:J49 J50 K49:L50 M49:AF51">
    <cfRule type="expression" dxfId="11538" priority="389">
      <formula>I$9&gt;=20/24</formula>
    </cfRule>
    <cfRule type="expression" dxfId="11537" priority="390">
      <formula>AND(I$9&gt;=14/24,I$9&lt;20/24)</formula>
    </cfRule>
    <cfRule type="expression" dxfId="11536" priority="391">
      <formula>AND(I$9&gt;=8/24,I$9&lt;14/24)</formula>
    </cfRule>
    <cfRule type="expression" dxfId="11535" priority="392">
      <formula>I$9&lt;8/24</formula>
    </cfRule>
  </conditionalFormatting>
  <conditionalFormatting sqref="I49:J49 J50 K49:L50 M49:AF51">
    <cfRule type="expression" dxfId="11534" priority="388">
      <formula>I49&gt;$AG49</formula>
    </cfRule>
  </conditionalFormatting>
  <conditionalFormatting sqref="AG52">
    <cfRule type="expression" dxfId="11533" priority="384">
      <formula>AG$9&gt;=20/24</formula>
    </cfRule>
    <cfRule type="expression" dxfId="11532" priority="385">
      <formula>AND(AG$9&gt;=14/24,AG$9&lt;20/24)</formula>
    </cfRule>
    <cfRule type="expression" dxfId="11531" priority="386">
      <formula>AND(AG$9&gt;=8/24,AG$9&lt;14/24)</formula>
    </cfRule>
    <cfRule type="expression" dxfId="11530" priority="387">
      <formula>AG$9&lt;8/24</formula>
    </cfRule>
  </conditionalFormatting>
  <conditionalFormatting sqref="AG52">
    <cfRule type="expression" dxfId="11529" priority="383">
      <formula>AG52&gt;$AG52</formula>
    </cfRule>
  </conditionalFormatting>
  <conditionalFormatting sqref="D107:AF107">
    <cfRule type="expression" dxfId="11528" priority="379">
      <formula>D$9&gt;=20/24</formula>
    </cfRule>
    <cfRule type="expression" dxfId="11527" priority="380">
      <formula>AND(D$9&gt;=14/24,D$9&lt;20/24)</formula>
    </cfRule>
    <cfRule type="expression" dxfId="11526" priority="381">
      <formula>AND(D$9&gt;=8/24,D$9&lt;14/24)</formula>
    </cfRule>
    <cfRule type="expression" dxfId="11525" priority="382">
      <formula>D$9&lt;8/24</formula>
    </cfRule>
  </conditionalFormatting>
  <conditionalFormatting sqref="AL40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1524" priority="377">
      <formula>$AH40=0</formula>
    </cfRule>
  </conditionalFormatting>
  <conditionalFormatting sqref="A90">
    <cfRule type="expression" dxfId="11523" priority="375">
      <formula>$AH90=0</formula>
    </cfRule>
  </conditionalFormatting>
  <conditionalFormatting sqref="A87">
    <cfRule type="expression" dxfId="11522" priority="376">
      <formula>$AH87=0</formula>
    </cfRule>
  </conditionalFormatting>
  <conditionalFormatting sqref="D110:AF110">
    <cfRule type="expression" dxfId="11521" priority="371">
      <formula>D$9&gt;=20/24</formula>
    </cfRule>
    <cfRule type="expression" dxfId="11520" priority="372">
      <formula>AND(D$9&gt;=14/24,D$9&lt;20/24)</formula>
    </cfRule>
    <cfRule type="expression" dxfId="11519" priority="373">
      <formula>AND(D$9&gt;=8/24,D$9&lt;14/24)</formula>
    </cfRule>
    <cfRule type="expression" dxfId="11518" priority="374">
      <formula>D$9&lt;8/24</formula>
    </cfRule>
  </conditionalFormatting>
  <conditionalFormatting sqref="A110">
    <cfRule type="expression" dxfId="11517" priority="370">
      <formula>$AH110=0</formula>
    </cfRule>
  </conditionalFormatting>
  <conditionalFormatting sqref="A21">
    <cfRule type="expression" dxfId="11516" priority="368">
      <formula>$AH21=0</formula>
    </cfRule>
  </conditionalFormatting>
  <conditionalFormatting sqref="AL21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1515" priority="366">
      <formula>$AH37=0</formula>
    </cfRule>
  </conditionalFormatting>
  <conditionalFormatting sqref="AL37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1514" priority="362">
      <formula>Y$9&gt;=20/24</formula>
    </cfRule>
    <cfRule type="expression" dxfId="11513" priority="363">
      <formula>AND(Y$9&gt;=14/24,Y$9&lt;20/24)</formula>
    </cfRule>
    <cfRule type="expression" dxfId="11512" priority="364">
      <formula>AND(Y$9&gt;=8/24,Y$9&lt;14/24)</formula>
    </cfRule>
    <cfRule type="expression" dxfId="11511" priority="365">
      <formula>Y$9&lt;8/24</formula>
    </cfRule>
  </conditionalFormatting>
  <conditionalFormatting sqref="Y100:AC106">
    <cfRule type="expression" dxfId="11510" priority="358">
      <formula>Y$9&gt;=20/24</formula>
    </cfRule>
    <cfRule type="expression" dxfId="11509" priority="359">
      <formula>AND(Y$9&gt;=14/24,Y$9&lt;20/24)</formula>
    </cfRule>
    <cfRule type="expression" dxfId="11508" priority="360">
      <formula>AND(Y$9&gt;=8/24,Y$9&lt;14/24)</formula>
    </cfRule>
    <cfRule type="expression" dxfId="11507" priority="361">
      <formula>Y$9&lt;8/24</formula>
    </cfRule>
  </conditionalFormatting>
  <conditionalFormatting sqref="Z34:AF43 Z17:AF32">
    <cfRule type="expression" dxfId="11506" priority="354">
      <formula>Z$9&gt;=20/24</formula>
    </cfRule>
    <cfRule type="expression" dxfId="11505" priority="355">
      <formula>AND(Z$9&gt;=14/24,Z$9&lt;20/24)</formula>
    </cfRule>
    <cfRule type="expression" dxfId="11504" priority="356">
      <formula>AND(Z$9&gt;=8/24,Z$9&lt;14/24)</formula>
    </cfRule>
    <cfRule type="expression" dxfId="11503" priority="357">
      <formula>Z$9&lt;8/24</formula>
    </cfRule>
  </conditionalFormatting>
  <conditionalFormatting sqref="D47:S47">
    <cfRule type="expression" dxfId="11502" priority="350">
      <formula>D$9&gt;=20/24</formula>
    </cfRule>
    <cfRule type="expression" dxfId="11501" priority="351">
      <formula>AND(D$9&gt;=14/24,D$9&lt;20/24)</formula>
    </cfRule>
    <cfRule type="expression" dxfId="11500" priority="352">
      <formula>AND(D$9&gt;=8/24,D$9&lt;14/24)</formula>
    </cfRule>
    <cfRule type="expression" dxfId="11499" priority="353">
      <formula>D$9&lt;8/24</formula>
    </cfRule>
  </conditionalFormatting>
  <conditionalFormatting sqref="D47:S47 Z34:AF43 Z17:AF32">
    <cfRule type="expression" dxfId="11498" priority="349">
      <formula>D17&gt;$AG17</formula>
    </cfRule>
  </conditionalFormatting>
  <conditionalFormatting sqref="D99">
    <cfRule type="expression" dxfId="11497" priority="345">
      <formula>D$9&gt;=20/24</formula>
    </cfRule>
    <cfRule type="expression" dxfId="11496" priority="346">
      <formula>AND(D$9&gt;=14/24,D$9&lt;20/24)</formula>
    </cfRule>
    <cfRule type="expression" dxfId="11495" priority="347">
      <formula>AND(D$9&gt;=8/24,D$9&lt;14/24)</formula>
    </cfRule>
    <cfRule type="expression" dxfId="11494" priority="348">
      <formula>D$9&lt;8/24</formula>
    </cfRule>
  </conditionalFormatting>
  <conditionalFormatting sqref="D100:D106 D96:W96 D83:AF85 I67:P69 J74:Y76 Z75:AF76">
    <cfRule type="expression" dxfId="11493" priority="341">
      <formula>D$9&gt;=20/24</formula>
    </cfRule>
    <cfRule type="expression" dxfId="11492" priority="342">
      <formula>AND(D$9&gt;=14/24,D$9&lt;20/24)</formula>
    </cfRule>
    <cfRule type="expression" dxfId="11491" priority="343">
      <formula>AND(D$9&gt;=8/24,D$9&lt;14/24)</formula>
    </cfRule>
    <cfRule type="expression" dxfId="11490" priority="344">
      <formula>D$9&lt;8/24</formula>
    </cfRule>
  </conditionalFormatting>
  <conditionalFormatting sqref="I67:P69">
    <cfRule type="expression" dxfId="11489" priority="340">
      <formula>I67&gt;$AG67</formula>
    </cfRule>
  </conditionalFormatting>
  <conditionalFormatting sqref="D71:H71 D54:L57">
    <cfRule type="expression" dxfId="11488" priority="259">
      <formula>D$9&gt;=20/24</formula>
    </cfRule>
    <cfRule type="expression" dxfId="11487" priority="260">
      <formula>AND(D$9&gt;=14/24,D$9&lt;20/24)</formula>
    </cfRule>
    <cfRule type="expression" dxfId="11486" priority="261">
      <formula>AND(D$9&gt;=8/24,D$9&lt;14/24)</formula>
    </cfRule>
    <cfRule type="expression" dxfId="11485" priority="262">
      <formula>D$9&lt;8/24</formula>
    </cfRule>
  </conditionalFormatting>
  <conditionalFormatting sqref="P46:AF46">
    <cfRule type="expression" dxfId="11484" priority="331">
      <formula>P$9&gt;=20/24</formula>
    </cfRule>
    <cfRule type="expression" dxfId="11483" priority="332">
      <formula>AND(P$9&gt;=14/24,P$9&lt;20/24)</formula>
    </cfRule>
    <cfRule type="expression" dxfId="11482" priority="333">
      <formula>AND(P$9&gt;=8/24,P$9&lt;14/24)</formula>
    </cfRule>
    <cfRule type="expression" dxfId="11481" priority="334">
      <formula>P$9&lt;8/24</formula>
    </cfRule>
  </conditionalFormatting>
  <conditionalFormatting sqref="P46:AF46">
    <cfRule type="expression" dxfId="11480" priority="330">
      <formula>P46&gt;$AG46</formula>
    </cfRule>
  </conditionalFormatting>
  <conditionalFormatting sqref="D98:AF98 D89:AF89 D87:AF87 D70:AF70">
    <cfRule type="expression" dxfId="11479" priority="326">
      <formula>D$9&gt;=20/24</formula>
    </cfRule>
    <cfRule type="expression" dxfId="11478" priority="327">
      <formula>AND(D$9&gt;=14/24,D$9&lt;20/24)</formula>
    </cfRule>
    <cfRule type="expression" dxfId="11477" priority="328">
      <formula>AND(D$9&gt;=8/24,D$9&lt;14/24)</formula>
    </cfRule>
    <cfRule type="expression" dxfId="11476" priority="329">
      <formula>D$9&lt;8/24</formula>
    </cfRule>
  </conditionalFormatting>
  <conditionalFormatting sqref="D70:AF70 D48:AF48 D65:AF66">
    <cfRule type="expression" dxfId="11475" priority="325">
      <formula>D48&gt;$AG48</formula>
    </cfRule>
  </conditionalFormatting>
  <conditionalFormatting sqref="D82:AF82">
    <cfRule type="expression" dxfId="11474" priority="321">
      <formula>D$9&gt;=20/24</formula>
    </cfRule>
    <cfRule type="expression" dxfId="11473" priority="322">
      <formula>AND(D$9&gt;=14/24,D$9&lt;20/24)</formula>
    </cfRule>
    <cfRule type="expression" dxfId="11472" priority="323">
      <formula>AND(D$9&gt;=8/24,D$9&lt;14/24)</formula>
    </cfRule>
    <cfRule type="expression" dxfId="11471" priority="324">
      <formula>D$9&lt;8/24</formula>
    </cfRule>
  </conditionalFormatting>
  <conditionalFormatting sqref="D91:W95">
    <cfRule type="expression" dxfId="11470" priority="317">
      <formula>D$9&gt;=20/24</formula>
    </cfRule>
    <cfRule type="expression" dxfId="11469" priority="318">
      <formula>AND(D$9&gt;=14/24,D$9&lt;20/24)</formula>
    </cfRule>
    <cfRule type="expression" dxfId="11468" priority="319">
      <formula>AND(D$9&gt;=8/24,D$9&lt;14/24)</formula>
    </cfRule>
    <cfRule type="expression" dxfId="11467" priority="320">
      <formula>D$9&lt;8/24</formula>
    </cfRule>
  </conditionalFormatting>
  <conditionalFormatting sqref="D52:AF52">
    <cfRule type="expression" dxfId="11466" priority="313">
      <formula>D$9&gt;=20/24</formula>
    </cfRule>
    <cfRule type="expression" dxfId="11465" priority="314">
      <formula>AND(D$9&gt;=14/24,D$9&lt;20/24)</formula>
    </cfRule>
    <cfRule type="expression" dxfId="11464" priority="315">
      <formula>AND(D$9&gt;=8/24,D$9&lt;14/24)</formula>
    </cfRule>
    <cfRule type="expression" dxfId="11463" priority="316">
      <formula>D$9&lt;8/24</formula>
    </cfRule>
  </conditionalFormatting>
  <conditionalFormatting sqref="D52:AF52">
    <cfRule type="expression" dxfId="11462" priority="312">
      <formula>D52&gt;$AG52</formula>
    </cfRule>
  </conditionalFormatting>
  <conditionalFormatting sqref="D49:H51 I50:I51 J51:L51">
    <cfRule type="expression" dxfId="11461" priority="227">
      <formula>D$9&gt;=20/24</formula>
    </cfRule>
    <cfRule type="expression" dxfId="11460" priority="228">
      <formula>AND(D$9&gt;=14/24,D$9&lt;20/24)</formula>
    </cfRule>
    <cfRule type="expression" dxfId="11459" priority="229">
      <formula>AND(D$9&gt;=8/24,D$9&lt;14/24)</formula>
    </cfRule>
    <cfRule type="expression" dxfId="11458" priority="230">
      <formula>D$9&lt;8/24</formula>
    </cfRule>
  </conditionalFormatting>
  <conditionalFormatting sqref="Z59:AF64">
    <cfRule type="expression" dxfId="11457" priority="300">
      <formula>Z$9&gt;=20/24</formula>
    </cfRule>
    <cfRule type="expression" dxfId="11456" priority="301">
      <formula>AND(Z$9&gt;=14/24,Z$9&lt;20/24)</formula>
    </cfRule>
    <cfRule type="expression" dxfId="11455" priority="302">
      <formula>AND(Z$9&gt;=8/24,Z$9&lt;14/24)</formula>
    </cfRule>
    <cfRule type="expression" dxfId="11454" priority="303">
      <formula>Z$9&lt;8/24</formula>
    </cfRule>
  </conditionalFormatting>
  <conditionalFormatting sqref="Z59:AF64">
    <cfRule type="expression" dxfId="11453" priority="299">
      <formula>Z59&gt;$AG59</formula>
    </cfRule>
  </conditionalFormatting>
  <conditionalFormatting sqref="Z45:AF45 Z13:AF15">
    <cfRule type="expression" dxfId="11452" priority="298">
      <formula>Z13&gt;$AG13</formula>
    </cfRule>
  </conditionalFormatting>
  <conditionalFormatting sqref="Z12:AF12">
    <cfRule type="expression" dxfId="11451" priority="294">
      <formula>Z$9&gt;=20/24</formula>
    </cfRule>
    <cfRule type="expression" dxfId="11450" priority="295">
      <formula>AND(Z$9&gt;=14/24,Z$9&lt;20/24)</formula>
    </cfRule>
    <cfRule type="expression" dxfId="11449" priority="296">
      <formula>AND(Z$9&gt;=8/24,Z$9&lt;14/24)</formula>
    </cfRule>
    <cfRule type="expression" dxfId="11448" priority="297">
      <formula>Z$9&lt;8/24</formula>
    </cfRule>
  </conditionalFormatting>
  <conditionalFormatting sqref="Z12:AF12">
    <cfRule type="expression" dxfId="11447" priority="293">
      <formula>Z12&gt;$AG12</formula>
    </cfRule>
  </conditionalFormatting>
  <conditionalFormatting sqref="Z13:AF15">
    <cfRule type="expression" dxfId="11446" priority="289">
      <formula>Z$9&gt;=20/24</formula>
    </cfRule>
    <cfRule type="expression" dxfId="11445" priority="290">
      <formula>AND(Z$9&gt;=14/24,Z$9&lt;20/24)</formula>
    </cfRule>
    <cfRule type="expression" dxfId="11444" priority="291">
      <formula>AND(Z$9&gt;=8/24,Z$9&lt;14/24)</formula>
    </cfRule>
    <cfRule type="expression" dxfId="11443" priority="292">
      <formula>Z$9&lt;8/24</formula>
    </cfRule>
  </conditionalFormatting>
  <conditionalFormatting sqref="Z45:AF45">
    <cfRule type="expression" dxfId="11442" priority="285">
      <formula>Z$9&gt;=20/24</formula>
    </cfRule>
    <cfRule type="expression" dxfId="11441" priority="286">
      <formula>AND(Z$9&gt;=14/24,Z$9&lt;20/24)</formula>
    </cfRule>
    <cfRule type="expression" dxfId="11440" priority="287">
      <formula>AND(Z$9&gt;=8/24,Z$9&lt;14/24)</formula>
    </cfRule>
    <cfRule type="expression" dxfId="11439" priority="288">
      <formula>Z$9&lt;8/24</formula>
    </cfRule>
  </conditionalFormatting>
  <conditionalFormatting sqref="Z77:AF81">
    <cfRule type="expression" dxfId="11438" priority="281">
      <formula>Z$9&gt;=20/24</formula>
    </cfRule>
    <cfRule type="expression" dxfId="11437" priority="282">
      <formula>AND(Z$9&gt;=14/24,Z$9&lt;20/24)</formula>
    </cfRule>
    <cfRule type="expression" dxfId="11436" priority="283">
      <formula>AND(Z$9&gt;=8/24,Z$9&lt;14/24)</formula>
    </cfRule>
    <cfRule type="expression" dxfId="11435" priority="284">
      <formula>Z$9&lt;8/24</formula>
    </cfRule>
  </conditionalFormatting>
  <conditionalFormatting sqref="AL78:AN78 AL84:AN84 AN79:AN80">
    <cfRule type="expression" dxfId="11434" priority="277">
      <formula>AL$9&gt;=20/24</formula>
    </cfRule>
    <cfRule type="expression" dxfId="11433" priority="278">
      <formula>AND(AL$9&gt;=14/24,AL$9&lt;20/24)</formula>
    </cfRule>
    <cfRule type="expression" dxfId="11432" priority="279">
      <formula>AND(AL$9&gt;=8/24,AL$9&lt;14/24)</formula>
    </cfRule>
    <cfRule type="expression" dxfId="11431" priority="280">
      <formula>AL$9&lt;8/24</formula>
    </cfRule>
  </conditionalFormatting>
  <conditionalFormatting sqref="AN81:AN82">
    <cfRule type="expression" dxfId="11430" priority="273">
      <formula>AN$9&gt;=20/24</formula>
    </cfRule>
    <cfRule type="expression" dxfId="11429" priority="274">
      <formula>AND(AN$9&gt;=14/24,AN$9&lt;20/24)</formula>
    </cfRule>
    <cfRule type="expression" dxfId="11428" priority="275">
      <formula>AND(AN$9&gt;=8/24,AN$9&lt;14/24)</formula>
    </cfRule>
    <cfRule type="expression" dxfId="11427" priority="276">
      <formula>AN$9&lt;8/24</formula>
    </cfRule>
  </conditionalFormatting>
  <conditionalFormatting sqref="AL79:AM83">
    <cfRule type="expression" dxfId="11426" priority="495">
      <formula>AJ$9&gt;=20/24</formula>
    </cfRule>
    <cfRule type="expression" dxfId="11425" priority="496">
      <formula>AND(AJ$9&gt;=14/24,AJ$9&lt;20/24)</formula>
    </cfRule>
    <cfRule type="expression" dxfId="11424" priority="497">
      <formula>AND(AJ$9&gt;=8/24,AJ$9&lt;14/24)</formula>
    </cfRule>
    <cfRule type="expression" dxfId="11423" priority="498">
      <formula>AJ$9&lt;8/24</formula>
    </cfRule>
  </conditionalFormatting>
  <conditionalFormatting sqref="A117">
    <cfRule type="expression" dxfId="11422" priority="272">
      <formula>$AH117=0</formula>
    </cfRule>
  </conditionalFormatting>
  <conditionalFormatting sqref="D17:Y32 D34:Y43 D45:Y45 D12:Y15">
    <cfRule type="expression" dxfId="11421" priority="268">
      <formula>D$9&gt;=20/24</formula>
    </cfRule>
    <cfRule type="expression" dxfId="11420" priority="269">
      <formula>AND(D$9&gt;=14/24,D$9&lt;20/24)</formula>
    </cfRule>
    <cfRule type="expression" dxfId="11419" priority="270">
      <formula>AND(D$9&gt;=8/24,D$9&lt;14/24)</formula>
    </cfRule>
    <cfRule type="expression" dxfId="11418" priority="271">
      <formula>D$9&lt;8/24</formula>
    </cfRule>
  </conditionalFormatting>
  <conditionalFormatting sqref="D17:Y32 D34:Y43 D45:Y45 D12:Y15">
    <cfRule type="expression" dxfId="11417" priority="267">
      <formula>D12&gt;$AG12</formula>
    </cfRule>
  </conditionalFormatting>
  <conditionalFormatting sqref="D53:H53">
    <cfRule type="expression" dxfId="11416" priority="255">
      <formula>D$9&gt;=20/24</formula>
    </cfRule>
    <cfRule type="expression" dxfId="11415" priority="256">
      <formula>AND(D$9&gt;=14/24,D$9&lt;20/24)</formula>
    </cfRule>
    <cfRule type="expression" dxfId="11414" priority="257">
      <formula>AND(D$9&gt;=8/24,D$9&lt;14/24)</formula>
    </cfRule>
    <cfRule type="expression" dxfId="11413" priority="258">
      <formula>D$9&lt;8/24</formula>
    </cfRule>
  </conditionalFormatting>
  <conditionalFormatting sqref="D53:H57 I54:L57">
    <cfRule type="expression" dxfId="11412" priority="254">
      <formula>D53&gt;$AG53</formula>
    </cfRule>
  </conditionalFormatting>
  <conditionalFormatting sqref="D67:H69 D72:I74">
    <cfRule type="expression" dxfId="11411" priority="250">
      <formula>D$9&gt;=20/24</formula>
    </cfRule>
    <cfRule type="expression" dxfId="11410" priority="251">
      <formula>AND(D$9&gt;=14/24,D$9&lt;20/24)</formula>
    </cfRule>
    <cfRule type="expression" dxfId="11409" priority="252">
      <formula>AND(D$9&gt;=8/24,D$9&lt;14/24)</formula>
    </cfRule>
    <cfRule type="expression" dxfId="11408" priority="253">
      <formula>D$9&lt;8/24</formula>
    </cfRule>
  </conditionalFormatting>
  <conditionalFormatting sqref="D67:H69">
    <cfRule type="expression" dxfId="11407" priority="249">
      <formula>D67&gt;$AG67</formula>
    </cfRule>
  </conditionalFormatting>
  <conditionalFormatting sqref="D46:O46">
    <cfRule type="expression" dxfId="11406" priority="241">
      <formula>D$9&gt;=20/24</formula>
    </cfRule>
    <cfRule type="expression" dxfId="11405" priority="242">
      <formula>AND(D$9&gt;=14/24,D$9&lt;20/24)</formula>
    </cfRule>
    <cfRule type="expression" dxfId="11404" priority="243">
      <formula>AND(D$9&gt;=8/24,D$9&lt;14/24)</formula>
    </cfRule>
    <cfRule type="expression" dxfId="11403" priority="244">
      <formula>D$9&lt;8/24</formula>
    </cfRule>
  </conditionalFormatting>
  <conditionalFormatting sqref="D46:O46">
    <cfRule type="expression" dxfId="11402" priority="240">
      <formula>D46&gt;$AG46</formula>
    </cfRule>
  </conditionalFormatting>
  <conditionalFormatting sqref="D58:M58">
    <cfRule type="expression" dxfId="11401" priority="236">
      <formula>D$9&gt;=20/24</formula>
    </cfRule>
    <cfRule type="expression" dxfId="11400" priority="237">
      <formula>AND(D$9&gt;=14/24,D$9&lt;20/24)</formula>
    </cfRule>
    <cfRule type="expression" dxfId="11399" priority="238">
      <formula>AND(D$9&gt;=8/24,D$9&lt;14/24)</formula>
    </cfRule>
    <cfRule type="expression" dxfId="11398" priority="239">
      <formula>D$9&lt;8/24</formula>
    </cfRule>
  </conditionalFormatting>
  <conditionalFormatting sqref="D58:M58">
    <cfRule type="expression" dxfId="11397" priority="235">
      <formula>D58&gt;$AG58</formula>
    </cfRule>
  </conditionalFormatting>
  <conditionalFormatting sqref="D49:H51 I50:I51 J51:L51">
    <cfRule type="expression" dxfId="11396" priority="226">
      <formula>D49&gt;$AG49</formula>
    </cfRule>
  </conditionalFormatting>
  <conditionalFormatting sqref="D75:I76">
    <cfRule type="expression" dxfId="11395" priority="214">
      <formula>D$9&gt;=20/24</formula>
    </cfRule>
    <cfRule type="expression" dxfId="11394" priority="215">
      <formula>AND(D$9&gt;=14/24,D$9&lt;20/24)</formula>
    </cfRule>
    <cfRule type="expression" dxfId="11393" priority="216">
      <formula>AND(D$9&gt;=8/24,D$9&lt;14/24)</formula>
    </cfRule>
    <cfRule type="expression" dxfId="11392" priority="217">
      <formula>D$9&lt;8/24</formula>
    </cfRule>
  </conditionalFormatting>
  <conditionalFormatting sqref="D59:Y64">
    <cfRule type="expression" dxfId="11391" priority="192">
      <formula>D$9&gt;=20/24</formula>
    </cfRule>
    <cfRule type="expression" dxfId="11390" priority="193">
      <formula>AND(D$9&gt;=14/24,D$9&lt;20/24)</formula>
    </cfRule>
    <cfRule type="expression" dxfId="11389" priority="194">
      <formula>AND(D$9&gt;=8/24,D$9&lt;14/24)</formula>
    </cfRule>
    <cfRule type="expression" dxfId="11388" priority="195">
      <formula>D$9&lt;8/24</formula>
    </cfRule>
  </conditionalFormatting>
  <conditionalFormatting sqref="D59:Y64">
    <cfRule type="expression" dxfId="11387" priority="191">
      <formula>D59&gt;$AG59</formula>
    </cfRule>
  </conditionalFormatting>
  <conditionalFormatting sqref="D77:Y81">
    <cfRule type="expression" dxfId="11386" priority="187">
      <formula>D$9&gt;=20/24</formula>
    </cfRule>
    <cfRule type="expression" dxfId="11385" priority="188">
      <formula>AND(D$9&gt;=14/24,D$9&lt;20/24)</formula>
    </cfRule>
    <cfRule type="expression" dxfId="11384" priority="189">
      <formula>AND(D$9&gt;=8/24,D$9&lt;14/24)</formula>
    </cfRule>
    <cfRule type="expression" dxfId="11383" priority="190">
      <formula>D$9&lt;8/24</formula>
    </cfRule>
  </conditionalFormatting>
  <conditionalFormatting sqref="A11">
    <cfRule type="expression" dxfId="11382" priority="186">
      <formula>$AH11=0</formula>
    </cfRule>
  </conditionalFormatting>
  <conditionalFormatting sqref="Z11:AF11">
    <cfRule type="expression" dxfId="11381" priority="182">
      <formula>Z$9&gt;=20/24</formula>
    </cfRule>
    <cfRule type="expression" dxfId="11380" priority="183">
      <formula>AND(Z$9&gt;=14/24,Z$9&lt;20/24)</formula>
    </cfRule>
    <cfRule type="expression" dxfId="11379" priority="184">
      <formula>AND(Z$9&gt;=8/24,Z$9&lt;14/24)</formula>
    </cfRule>
    <cfRule type="expression" dxfId="11378" priority="185">
      <formula>Z$9&lt;8/24</formula>
    </cfRule>
  </conditionalFormatting>
  <conditionalFormatting sqref="Z11:AF11">
    <cfRule type="expression" dxfId="11377" priority="181">
      <formula>Z11&gt;$AG11</formula>
    </cfRule>
  </conditionalFormatting>
  <conditionalFormatting sqref="D11:Y11">
    <cfRule type="expression" dxfId="11376" priority="177">
      <formula>D$9&gt;=20/24</formula>
    </cfRule>
    <cfRule type="expression" dxfId="11375" priority="178">
      <formula>AND(D$9&gt;=14/24,D$9&lt;20/24)</formula>
    </cfRule>
    <cfRule type="expression" dxfId="11374" priority="179">
      <formula>AND(D$9&gt;=8/24,D$9&lt;14/24)</formula>
    </cfRule>
    <cfRule type="expression" dxfId="11373" priority="180">
      <formula>D$9&lt;8/24</formula>
    </cfRule>
  </conditionalFormatting>
  <conditionalFormatting sqref="D11:Y11">
    <cfRule type="expression" dxfId="11372" priority="176">
      <formula>D11&gt;$AG11</formula>
    </cfRule>
  </conditionalFormatting>
  <conditionalFormatting sqref="A16">
    <cfRule type="expression" dxfId="11371" priority="174">
      <formula>$AH16=0</formula>
    </cfRule>
  </conditionalFormatting>
  <conditionalFormatting sqref="AL1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11370" priority="170">
      <formula>Z$9&gt;=20/24</formula>
    </cfRule>
    <cfRule type="expression" dxfId="11369" priority="171">
      <formula>AND(Z$9&gt;=14/24,Z$9&lt;20/24)</formula>
    </cfRule>
    <cfRule type="expression" dxfId="11368" priority="172">
      <formula>AND(Z$9&gt;=8/24,Z$9&lt;14/24)</formula>
    </cfRule>
    <cfRule type="expression" dxfId="11367" priority="173">
      <formula>Z$9&lt;8/24</formula>
    </cfRule>
  </conditionalFormatting>
  <conditionalFormatting sqref="Z16:AF16">
    <cfRule type="expression" dxfId="11366" priority="169">
      <formula>Z16&gt;$AG16</formula>
    </cfRule>
  </conditionalFormatting>
  <conditionalFormatting sqref="D16:Y16">
    <cfRule type="expression" dxfId="11365" priority="165">
      <formula>D$9&gt;=20/24</formula>
    </cfRule>
    <cfRule type="expression" dxfId="11364" priority="166">
      <formula>AND(D$9&gt;=14/24,D$9&lt;20/24)</formula>
    </cfRule>
    <cfRule type="expression" dxfId="11363" priority="167">
      <formula>AND(D$9&gt;=8/24,D$9&lt;14/24)</formula>
    </cfRule>
    <cfRule type="expression" dxfId="11362" priority="168">
      <formula>D$9&lt;8/24</formula>
    </cfRule>
  </conditionalFormatting>
  <conditionalFormatting sqref="D16:Y16">
    <cfRule type="expression" dxfId="11361" priority="164">
      <formula>D16&gt;$AG16</formula>
    </cfRule>
  </conditionalFormatting>
  <conditionalFormatting sqref="A33">
    <cfRule type="expression" dxfId="11360" priority="162">
      <formula>$AH33=0</formula>
    </cfRule>
  </conditionalFormatting>
  <conditionalFormatting sqref="AL33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11359" priority="158">
      <formula>Z$9&gt;=20/24</formula>
    </cfRule>
    <cfRule type="expression" dxfId="11358" priority="159">
      <formula>AND(Z$9&gt;=14/24,Z$9&lt;20/24)</formula>
    </cfRule>
    <cfRule type="expression" dxfId="11357" priority="160">
      <formula>AND(Z$9&gt;=8/24,Z$9&lt;14/24)</formula>
    </cfRule>
    <cfRule type="expression" dxfId="11356" priority="161">
      <formula>Z$9&lt;8/24</formula>
    </cfRule>
  </conditionalFormatting>
  <conditionalFormatting sqref="Z33:AF33">
    <cfRule type="expression" dxfId="11355" priority="157">
      <formula>Z33&gt;$AG33</formula>
    </cfRule>
  </conditionalFormatting>
  <conditionalFormatting sqref="D33:Y33">
    <cfRule type="expression" dxfId="11354" priority="153">
      <formula>D$9&gt;=20/24</formula>
    </cfRule>
    <cfRule type="expression" dxfId="11353" priority="154">
      <formula>AND(D$9&gt;=14/24,D$9&lt;20/24)</formula>
    </cfRule>
    <cfRule type="expression" dxfId="11352" priority="155">
      <formula>AND(D$9&gt;=8/24,D$9&lt;14/24)</formula>
    </cfRule>
    <cfRule type="expression" dxfId="11351" priority="156">
      <formula>D$9&lt;8/24</formula>
    </cfRule>
  </conditionalFormatting>
  <conditionalFormatting sqref="D33:Y33">
    <cfRule type="expression" dxfId="11350" priority="152">
      <formula>D33&gt;$AG33</formula>
    </cfRule>
  </conditionalFormatting>
  <conditionalFormatting sqref="A44">
    <cfRule type="expression" dxfId="11349" priority="150">
      <formula>$AH44=0</formula>
    </cfRule>
  </conditionalFormatting>
  <conditionalFormatting sqref="AL44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11348" priority="149">
      <formula>Z44&gt;$AG44</formula>
    </cfRule>
  </conditionalFormatting>
  <conditionalFormatting sqref="Z44:AF44">
    <cfRule type="expression" dxfId="11347" priority="145">
      <formula>Z$9&gt;=20/24</formula>
    </cfRule>
    <cfRule type="expression" dxfId="11346" priority="146">
      <formula>AND(Z$9&gt;=14/24,Z$9&lt;20/24)</formula>
    </cfRule>
    <cfRule type="expression" dxfId="11345" priority="147">
      <formula>AND(Z$9&gt;=8/24,Z$9&lt;14/24)</formula>
    </cfRule>
    <cfRule type="expression" dxfId="11344" priority="148">
      <formula>Z$9&lt;8/24</formula>
    </cfRule>
  </conditionalFormatting>
  <conditionalFormatting sqref="D44:Y44">
    <cfRule type="expression" dxfId="11343" priority="141">
      <formula>D$9&gt;=20/24</formula>
    </cfRule>
    <cfRule type="expression" dxfId="11342" priority="142">
      <formula>AND(D$9&gt;=14/24,D$9&lt;20/24)</formula>
    </cfRule>
    <cfRule type="expression" dxfId="11341" priority="143">
      <formula>AND(D$9&gt;=8/24,D$9&lt;14/24)</formula>
    </cfRule>
    <cfRule type="expression" dxfId="11340" priority="144">
      <formula>D$9&lt;8/24</formula>
    </cfRule>
  </conditionalFormatting>
  <conditionalFormatting sqref="D44:Y44">
    <cfRule type="expression" dxfId="11339" priority="140">
      <formula>D44&gt;$AG44</formula>
    </cfRule>
  </conditionalFormatting>
  <conditionalFormatting sqref="D117:AF117">
    <cfRule type="expression" dxfId="11338" priority="136">
      <formula>D$9&gt;=20/24</formula>
    </cfRule>
    <cfRule type="expression" dxfId="11337" priority="137">
      <formula>AND(D$9&gt;=14/24,D$9&lt;20/24)</formula>
    </cfRule>
    <cfRule type="expression" dxfId="11336" priority="138">
      <formula>AND(D$9&gt;=8/24,D$9&lt;14/24)</formula>
    </cfRule>
    <cfRule type="expression" dxfId="11335" priority="139">
      <formula>D$9&lt;8/24</formula>
    </cfRule>
  </conditionalFormatting>
  <conditionalFormatting sqref="B109:C109 B111:C116">
    <cfRule type="expression" dxfId="11334" priority="124">
      <formula>B$9&gt;=20/24</formula>
    </cfRule>
    <cfRule type="expression" dxfId="11333" priority="125">
      <formula>AND(B$9&gt;=14/24,B$9&lt;20/24)</formula>
    </cfRule>
    <cfRule type="expression" dxfId="11332" priority="126">
      <formula>AND(B$9&gt;=8/24,B$9&lt;14/24)</formula>
    </cfRule>
    <cfRule type="expression" dxfId="11331" priority="127">
      <formula>B$9&lt;8/24</formula>
    </cfRule>
  </conditionalFormatting>
  <conditionalFormatting sqref="B99:C99">
    <cfRule type="expression" dxfId="11330" priority="120">
      <formula>B$9&gt;=20/24</formula>
    </cfRule>
    <cfRule type="expression" dxfId="11329" priority="121">
      <formula>AND(B$9&gt;=14/24,B$9&lt;20/24)</formula>
    </cfRule>
    <cfRule type="expression" dxfId="11328" priority="122">
      <formula>AND(B$9&gt;=8/24,B$9&lt;14/24)</formula>
    </cfRule>
    <cfRule type="expression" dxfId="11327" priority="123">
      <formula>B$9&lt;8/24</formula>
    </cfRule>
  </conditionalFormatting>
  <conditionalFormatting sqref="B71:C71 B54:C57">
    <cfRule type="expression" dxfId="11326" priority="116">
      <formula>B$9&gt;=20/24</formula>
    </cfRule>
    <cfRule type="expression" dxfId="11325" priority="117">
      <formula>AND(B$9&gt;=14/24,B$9&lt;20/24)</formula>
    </cfRule>
    <cfRule type="expression" dxfId="11324" priority="118">
      <formula>AND(B$9&gt;=8/24,B$9&lt;14/24)</formula>
    </cfRule>
    <cfRule type="expression" dxfId="11323" priority="119">
      <formula>B$9&lt;8/24</formula>
    </cfRule>
  </conditionalFormatting>
  <conditionalFormatting sqref="B53:C53">
    <cfRule type="expression" dxfId="11322" priority="112">
      <formula>B$9&gt;=20/24</formula>
    </cfRule>
    <cfRule type="expression" dxfId="11321" priority="113">
      <formula>AND(B$9&gt;=14/24,B$9&lt;20/24)</formula>
    </cfRule>
    <cfRule type="expression" dxfId="11320" priority="114">
      <formula>AND(B$9&gt;=8/24,B$9&lt;14/24)</formula>
    </cfRule>
    <cfRule type="expression" dxfId="11319" priority="115">
      <formula>B$9&lt;8/24</formula>
    </cfRule>
  </conditionalFormatting>
  <conditionalFormatting sqref="B53:C57">
    <cfRule type="expression" dxfId="11318" priority="111">
      <formula>B53&gt;$AG53</formula>
    </cfRule>
  </conditionalFormatting>
  <conditionalFormatting sqref="B86:C86 B96:C96 B100:C106 B72:C74 B47:C47 B67:C69">
    <cfRule type="expression" dxfId="11317" priority="107">
      <formula>B$9&gt;=20/24</formula>
    </cfRule>
    <cfRule type="expression" dxfId="11316" priority="108">
      <formula>AND(B$9&gt;=14/24,B$9&lt;20/24)</formula>
    </cfRule>
    <cfRule type="expression" dxfId="11315" priority="109">
      <formula>AND(B$9&gt;=8/24,B$9&lt;14/24)</formula>
    </cfRule>
    <cfRule type="expression" dxfId="11314" priority="110">
      <formula>B$9&lt;8/24</formula>
    </cfRule>
  </conditionalFormatting>
  <conditionalFormatting sqref="B47:C47 B67:C69">
    <cfRule type="expression" dxfId="11313" priority="106">
      <formula>B47&gt;$AG47</formula>
    </cfRule>
  </conditionalFormatting>
  <conditionalFormatting sqref="B97:C97 B88:C88">
    <cfRule type="expression" dxfId="11312" priority="102">
      <formula>B$9&gt;=20/24</formula>
    </cfRule>
    <cfRule type="expression" dxfId="11311" priority="103">
      <formula>AND(B$9&gt;=14/24,B$9&lt;20/24)</formula>
    </cfRule>
    <cfRule type="expression" dxfId="11310" priority="104">
      <formula>AND(B$9&gt;=8/24,B$9&lt;14/24)</formula>
    </cfRule>
    <cfRule type="expression" dxfId="11309" priority="105">
      <formula>B$9&lt;8/24</formula>
    </cfRule>
  </conditionalFormatting>
  <conditionalFormatting sqref="B58:C58">
    <cfRule type="expression" dxfId="11308" priority="98">
      <formula>B$9&gt;=20/24</formula>
    </cfRule>
    <cfRule type="expression" dxfId="11307" priority="99">
      <formula>AND(B$9&gt;=14/24,B$9&lt;20/24)</formula>
    </cfRule>
    <cfRule type="expression" dxfId="11306" priority="100">
      <formula>AND(B$9&gt;=8/24,B$9&lt;14/24)</formula>
    </cfRule>
    <cfRule type="expression" dxfId="11305" priority="101">
      <formula>B$9&lt;8/24</formula>
    </cfRule>
  </conditionalFormatting>
  <conditionalFormatting sqref="B58:C58">
    <cfRule type="expression" dxfId="11304" priority="97">
      <formula>B58&gt;$AG58</formula>
    </cfRule>
  </conditionalFormatting>
  <conditionalFormatting sqref="B91:C95">
    <cfRule type="expression" dxfId="11303" priority="93">
      <formula>B$9&gt;=20/24</formula>
    </cfRule>
    <cfRule type="expression" dxfId="11302" priority="94">
      <formula>AND(B$9&gt;=14/24,B$9&lt;20/24)</formula>
    </cfRule>
    <cfRule type="expression" dxfId="11301" priority="95">
      <formula>AND(B$9&gt;=8/24,B$9&lt;14/24)</formula>
    </cfRule>
    <cfRule type="expression" dxfId="11300" priority="96">
      <formula>B$9&lt;8/24</formula>
    </cfRule>
  </conditionalFormatting>
  <conditionalFormatting sqref="B49:C51">
    <cfRule type="expression" dxfId="11299" priority="89">
      <formula>B$9&gt;=20/24</formula>
    </cfRule>
    <cfRule type="expression" dxfId="11298" priority="90">
      <formula>AND(B$9&gt;=14/24,B$9&lt;20/24)</formula>
    </cfRule>
    <cfRule type="expression" dxfId="11297" priority="91">
      <formula>AND(B$9&gt;=8/24,B$9&lt;14/24)</formula>
    </cfRule>
    <cfRule type="expression" dxfId="11296" priority="92">
      <formula>B$9&lt;8/24</formula>
    </cfRule>
  </conditionalFormatting>
  <conditionalFormatting sqref="B49:C51">
    <cfRule type="expression" dxfId="11295" priority="88">
      <formula>B49&gt;$AG49</formula>
    </cfRule>
  </conditionalFormatting>
  <conditionalFormatting sqref="B107:C107">
    <cfRule type="expression" dxfId="11294" priority="84">
      <formula>B$9&gt;=20/24</formula>
    </cfRule>
    <cfRule type="expression" dxfId="11293" priority="85">
      <formula>AND(B$9&gt;=14/24,B$9&lt;20/24)</formula>
    </cfRule>
    <cfRule type="expression" dxfId="11292" priority="86">
      <formula>AND(B$9&gt;=8/24,B$9&lt;14/24)</formula>
    </cfRule>
    <cfRule type="expression" dxfId="11291" priority="87">
      <formula>B$9&lt;8/24</formula>
    </cfRule>
  </conditionalFormatting>
  <conditionalFormatting sqref="B110:C110">
    <cfRule type="expression" dxfId="11290" priority="80">
      <formula>B$9&gt;=20/24</formula>
    </cfRule>
    <cfRule type="expression" dxfId="11289" priority="81">
      <formula>AND(B$9&gt;=14/24,B$9&lt;20/24)</formula>
    </cfRule>
    <cfRule type="expression" dxfId="11288" priority="82">
      <formula>AND(B$9&gt;=8/24,B$9&lt;14/24)</formula>
    </cfRule>
    <cfRule type="expression" dxfId="11287" priority="83">
      <formula>B$9&lt;8/24</formula>
    </cfRule>
  </conditionalFormatting>
  <conditionalFormatting sqref="B34:C43 B17:C32">
    <cfRule type="expression" dxfId="11286" priority="76">
      <formula>B$9&gt;=20/24</formula>
    </cfRule>
    <cfRule type="expression" dxfId="11285" priority="77">
      <formula>AND(B$9&gt;=14/24,B$9&lt;20/24)</formula>
    </cfRule>
    <cfRule type="expression" dxfId="11284" priority="78">
      <formula>AND(B$9&gt;=8/24,B$9&lt;14/24)</formula>
    </cfRule>
    <cfRule type="expression" dxfId="11283" priority="79">
      <formula>B$9&lt;8/24</formula>
    </cfRule>
  </conditionalFormatting>
  <conditionalFormatting sqref="B34:C43 B17:C32">
    <cfRule type="expression" dxfId="11282" priority="75">
      <formula>B17&gt;$AG17</formula>
    </cfRule>
  </conditionalFormatting>
  <conditionalFormatting sqref="B83:C85 B75:C76">
    <cfRule type="expression" dxfId="11281" priority="71">
      <formula>B$9&gt;=20/24</formula>
    </cfRule>
    <cfRule type="expression" dxfId="11280" priority="72">
      <formula>AND(B$9&gt;=14/24,B$9&lt;20/24)</formula>
    </cfRule>
    <cfRule type="expression" dxfId="11279" priority="73">
      <formula>AND(B$9&gt;=8/24,B$9&lt;14/24)</formula>
    </cfRule>
    <cfRule type="expression" dxfId="11278" priority="74">
      <formula>B$9&lt;8/24</formula>
    </cfRule>
  </conditionalFormatting>
  <conditionalFormatting sqref="B46:C46">
    <cfRule type="expression" dxfId="11277" priority="67">
      <formula>B$9&gt;=20/24</formula>
    </cfRule>
    <cfRule type="expression" dxfId="11276" priority="68">
      <formula>AND(B$9&gt;=14/24,B$9&lt;20/24)</formula>
    </cfRule>
    <cfRule type="expression" dxfId="11275" priority="69">
      <formula>AND(B$9&gt;=8/24,B$9&lt;14/24)</formula>
    </cfRule>
    <cfRule type="expression" dxfId="11274" priority="70">
      <formula>B$9&lt;8/24</formula>
    </cfRule>
  </conditionalFormatting>
  <conditionalFormatting sqref="B46:C46">
    <cfRule type="expression" dxfId="11273" priority="66">
      <formula>B46&gt;$AG46</formula>
    </cfRule>
  </conditionalFormatting>
  <conditionalFormatting sqref="B87:C87 B89:C89 B98:C98 B70:C70">
    <cfRule type="expression" dxfId="11272" priority="62">
      <formula>B$9&gt;=20/24</formula>
    </cfRule>
    <cfRule type="expression" dxfId="11271" priority="63">
      <formula>AND(B$9&gt;=14/24,B$9&lt;20/24)</formula>
    </cfRule>
    <cfRule type="expression" dxfId="11270" priority="64">
      <formula>AND(B$9&gt;=8/24,B$9&lt;14/24)</formula>
    </cfRule>
    <cfRule type="expression" dxfId="11269" priority="65">
      <formula>B$9&lt;8/24</formula>
    </cfRule>
  </conditionalFormatting>
  <conditionalFormatting sqref="B70:C70 B48:C48 B65:C66">
    <cfRule type="expression" dxfId="11268" priority="61">
      <formula>B48&gt;$AG48</formula>
    </cfRule>
  </conditionalFormatting>
  <conditionalFormatting sqref="B82:C82">
    <cfRule type="expression" dxfId="11267" priority="57">
      <formula>B$9&gt;=20/24</formula>
    </cfRule>
    <cfRule type="expression" dxfId="11266" priority="58">
      <formula>AND(B$9&gt;=14/24,B$9&lt;20/24)</formula>
    </cfRule>
    <cfRule type="expression" dxfId="11265" priority="59">
      <formula>AND(B$9&gt;=8/24,B$9&lt;14/24)</formula>
    </cfRule>
    <cfRule type="expression" dxfId="11264" priority="60">
      <formula>B$9&lt;8/24</formula>
    </cfRule>
  </conditionalFormatting>
  <conditionalFormatting sqref="B52:C52">
    <cfRule type="expression" dxfId="11263" priority="53">
      <formula>B$9&gt;=20/24</formula>
    </cfRule>
    <cfRule type="expression" dxfId="11262" priority="54">
      <formula>AND(B$9&gt;=14/24,B$9&lt;20/24)</formula>
    </cfRule>
    <cfRule type="expression" dxfId="11261" priority="55">
      <formula>AND(B$9&gt;=8/24,B$9&lt;14/24)</formula>
    </cfRule>
    <cfRule type="expression" dxfId="11260" priority="56">
      <formula>B$9&lt;8/24</formula>
    </cfRule>
  </conditionalFormatting>
  <conditionalFormatting sqref="B52:C52">
    <cfRule type="expression" dxfId="11259" priority="52">
      <formula>B52&gt;$AG52</formula>
    </cfRule>
  </conditionalFormatting>
  <conditionalFormatting sqref="B59:C64">
    <cfRule type="expression" dxfId="11258" priority="44">
      <formula>B$9&gt;=20/24</formula>
    </cfRule>
    <cfRule type="expression" dxfId="11257" priority="45">
      <formula>AND(B$9&gt;=14/24,B$9&lt;20/24)</formula>
    </cfRule>
    <cfRule type="expression" dxfId="11256" priority="46">
      <formula>AND(B$9&gt;=8/24,B$9&lt;14/24)</formula>
    </cfRule>
    <cfRule type="expression" dxfId="11255" priority="47">
      <formula>B$9&lt;8/24</formula>
    </cfRule>
  </conditionalFormatting>
  <conditionalFormatting sqref="B59:C64">
    <cfRule type="expression" dxfId="11254" priority="43">
      <formula>B59&gt;$AG59</formula>
    </cfRule>
  </conditionalFormatting>
  <conditionalFormatting sqref="B45:C45 B13:C15">
    <cfRule type="expression" dxfId="11253" priority="42">
      <formula>B13&gt;$AG13</formula>
    </cfRule>
  </conditionalFormatting>
  <conditionalFormatting sqref="B12:C12">
    <cfRule type="expression" dxfId="11252" priority="38">
      <formula>B$9&gt;=20/24</formula>
    </cfRule>
    <cfRule type="expression" dxfId="11251" priority="39">
      <formula>AND(B$9&gt;=14/24,B$9&lt;20/24)</formula>
    </cfRule>
    <cfRule type="expression" dxfId="11250" priority="40">
      <formula>AND(B$9&gt;=8/24,B$9&lt;14/24)</formula>
    </cfRule>
    <cfRule type="expression" dxfId="11249" priority="41">
      <formula>B$9&lt;8/24</formula>
    </cfRule>
  </conditionalFormatting>
  <conditionalFormatting sqref="B12:C12">
    <cfRule type="expression" dxfId="11248" priority="37">
      <formula>B12&gt;$AG12</formula>
    </cfRule>
  </conditionalFormatting>
  <conditionalFormatting sqref="B13:C15">
    <cfRule type="expression" dxfId="11247" priority="33">
      <formula>B$9&gt;=20/24</formula>
    </cfRule>
    <cfRule type="expression" dxfId="11246" priority="34">
      <formula>AND(B$9&gt;=14/24,B$9&lt;20/24)</formula>
    </cfRule>
    <cfRule type="expression" dxfId="11245" priority="35">
      <formula>AND(B$9&gt;=8/24,B$9&lt;14/24)</formula>
    </cfRule>
    <cfRule type="expression" dxfId="11244" priority="36">
      <formula>B$9&lt;8/24</formula>
    </cfRule>
  </conditionalFormatting>
  <conditionalFormatting sqref="B45:C45">
    <cfRule type="expression" dxfId="11243" priority="29">
      <formula>B$9&gt;=20/24</formula>
    </cfRule>
    <cfRule type="expression" dxfId="11242" priority="30">
      <formula>AND(B$9&gt;=14/24,B$9&lt;20/24)</formula>
    </cfRule>
    <cfRule type="expression" dxfId="11241" priority="31">
      <formula>AND(B$9&gt;=8/24,B$9&lt;14/24)</formula>
    </cfRule>
    <cfRule type="expression" dxfId="11240" priority="32">
      <formula>B$9&lt;8/24</formula>
    </cfRule>
  </conditionalFormatting>
  <conditionalFormatting sqref="B77:C81">
    <cfRule type="expression" dxfId="11239" priority="25">
      <formula>B$9&gt;=20/24</formula>
    </cfRule>
    <cfRule type="expression" dxfId="11238" priority="26">
      <formula>AND(B$9&gt;=14/24,B$9&lt;20/24)</formula>
    </cfRule>
    <cfRule type="expression" dxfId="11237" priority="27">
      <formula>AND(B$9&gt;=8/24,B$9&lt;14/24)</formula>
    </cfRule>
    <cfRule type="expression" dxfId="11236" priority="28">
      <formula>B$9&lt;8/24</formula>
    </cfRule>
  </conditionalFormatting>
  <conditionalFormatting sqref="B11:C11">
    <cfRule type="expression" dxfId="11235" priority="21">
      <formula>B$9&gt;=20/24</formula>
    </cfRule>
    <cfRule type="expression" dxfId="11234" priority="22">
      <formula>AND(B$9&gt;=14/24,B$9&lt;20/24)</formula>
    </cfRule>
    <cfRule type="expression" dxfId="11233" priority="23">
      <formula>AND(B$9&gt;=8/24,B$9&lt;14/24)</formula>
    </cfRule>
    <cfRule type="expression" dxfId="11232" priority="24">
      <formula>B$9&lt;8/24</formula>
    </cfRule>
  </conditionalFormatting>
  <conditionalFormatting sqref="B11:C11">
    <cfRule type="expression" dxfId="11231" priority="20">
      <formula>B11&gt;$AG11</formula>
    </cfRule>
  </conditionalFormatting>
  <conditionalFormatting sqref="B16:C16">
    <cfRule type="expression" dxfId="11230" priority="16">
      <formula>B$9&gt;=20/24</formula>
    </cfRule>
    <cfRule type="expression" dxfId="11229" priority="17">
      <formula>AND(B$9&gt;=14/24,B$9&lt;20/24)</formula>
    </cfRule>
    <cfRule type="expression" dxfId="11228" priority="18">
      <formula>AND(B$9&gt;=8/24,B$9&lt;14/24)</formula>
    </cfRule>
    <cfRule type="expression" dxfId="11227" priority="19">
      <formula>B$9&lt;8/24</formula>
    </cfRule>
  </conditionalFormatting>
  <conditionalFormatting sqref="B16:C16">
    <cfRule type="expression" dxfId="11226" priority="15">
      <formula>B16&gt;$AG16</formula>
    </cfRule>
  </conditionalFormatting>
  <conditionalFormatting sqref="B33:C33">
    <cfRule type="expression" dxfId="11225" priority="11">
      <formula>B$9&gt;=20/24</formula>
    </cfRule>
    <cfRule type="expression" dxfId="11224" priority="12">
      <formula>AND(B$9&gt;=14/24,B$9&lt;20/24)</formula>
    </cfRule>
    <cfRule type="expression" dxfId="11223" priority="13">
      <formula>AND(B$9&gt;=8/24,B$9&lt;14/24)</formula>
    </cfRule>
    <cfRule type="expression" dxfId="11222" priority="14">
      <formula>B$9&lt;8/24</formula>
    </cfRule>
  </conditionalFormatting>
  <conditionalFormatting sqref="B33:C33">
    <cfRule type="expression" dxfId="11221" priority="10">
      <formula>B33&gt;$AG33</formula>
    </cfRule>
  </conditionalFormatting>
  <conditionalFormatting sqref="B44:C44">
    <cfRule type="expression" dxfId="11220" priority="9">
      <formula>B44&gt;$AG44</formula>
    </cfRule>
  </conditionalFormatting>
  <conditionalFormatting sqref="B44:C44">
    <cfRule type="expression" dxfId="11219" priority="5">
      <formula>B$9&gt;=20/24</formula>
    </cfRule>
    <cfRule type="expression" dxfId="11218" priority="6">
      <formula>AND(B$9&gt;=14/24,B$9&lt;20/24)</formula>
    </cfRule>
    <cfRule type="expression" dxfId="11217" priority="7">
      <formula>AND(B$9&gt;=8/24,B$9&lt;14/24)</formula>
    </cfRule>
    <cfRule type="expression" dxfId="11216" priority="8">
      <formula>B$9&lt;8/24</formula>
    </cfRule>
  </conditionalFormatting>
  <conditionalFormatting sqref="B117:C117">
    <cfRule type="expression" dxfId="11215" priority="1">
      <formula>B$9&gt;=20/24</formula>
    </cfRule>
    <cfRule type="expression" dxfId="11214" priority="2">
      <formula>AND(B$9&gt;=14/24,B$9&lt;20/24)</formula>
    </cfRule>
    <cfRule type="expression" dxfId="11213" priority="3">
      <formula>AND(B$9&gt;=8/24,B$9&lt;14/24)</formula>
    </cfRule>
    <cfRule type="expression" dxfId="11212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8" id="{D8F35035-86AA-43E5-83E2-1EAB7FD7221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09" id="{029D14C9-A372-47DC-9D5E-2F6A38DA886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0" id="{938730CC-1A05-4971-944F-A17EE49E931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1" id="{051092A3-111C-4DDF-B2AD-E518414DB1D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D90:AF90</xm:sqref>
        </x14:conditionalFormatting>
        <x14:conditionalFormatting xmlns:xm="http://schemas.microsoft.com/office/excel/2006/main">
          <x14:cfRule type="expression" priority="48" id="{A293CECA-0998-454A-A2DD-95DB787512A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7A926ADA-7FBC-4AE1-8F76-39164867C87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540C9681-5CA3-4E22-9140-38F35B88C9A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A1D48E65-418D-4B28-B783-DD64D850F49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B90:C90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11" activePane="bottomLeft" state="frozen"/>
      <selection activeCell="Z85" sqref="Z85"/>
      <selection pane="bottomLeft" activeCell="A38" sqref="A38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2079/12/3</v>
      </c>
      <c r="C4" s="196"/>
      <c r="D4" s="196"/>
      <c r="E4" s="197" t="str">
        <f ca="1">"2079/"&amp;"12/"&amp;INT(MID(CELL("filename",G6),FIND("]",CELL("filename",G6))+1,200))</f>
        <v>2079/12/3</v>
      </c>
      <c r="F4" s="197"/>
      <c r="G4" s="197"/>
      <c r="H4" s="197" t="str">
        <f ca="1">TEXT(E4,"dddd")</f>
        <v>Sunday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561.9</v>
      </c>
      <c r="C5" s="33">
        <f t="shared" si="0"/>
        <v>538.29999999999995</v>
      </c>
      <c r="D5" s="33">
        <f t="shared" si="0"/>
        <v>425</v>
      </c>
      <c r="E5" s="33">
        <f t="shared" si="0"/>
        <v>444.8</v>
      </c>
      <c r="F5" s="33">
        <f t="shared" si="0"/>
        <v>465.2</v>
      </c>
      <c r="G5" s="33">
        <f t="shared" si="0"/>
        <v>461.3</v>
      </c>
      <c r="H5" s="33">
        <f t="shared" si="0"/>
        <v>534.9</v>
      </c>
      <c r="I5" s="33">
        <f t="shared" si="0"/>
        <v>542.79999999999995</v>
      </c>
      <c r="J5" s="33">
        <f t="shared" si="0"/>
        <v>515.1</v>
      </c>
      <c r="K5" s="33">
        <f t="shared" si="0"/>
        <v>483.3</v>
      </c>
      <c r="L5" s="33">
        <f t="shared" si="0"/>
        <v>496.30000000000007</v>
      </c>
      <c r="M5" s="33">
        <f t="shared" si="0"/>
        <v>434.4</v>
      </c>
      <c r="N5" s="33">
        <f t="shared" si="0"/>
        <v>543.9</v>
      </c>
      <c r="O5" s="33">
        <f t="shared" si="0"/>
        <v>552.5</v>
      </c>
      <c r="P5" s="33">
        <f t="shared" si="0"/>
        <v>537.9</v>
      </c>
      <c r="Q5" s="33">
        <f t="shared" si="0"/>
        <v>546</v>
      </c>
      <c r="R5" s="33">
        <f t="shared" si="0"/>
        <v>570.1</v>
      </c>
      <c r="S5" s="33">
        <f t="shared" si="0"/>
        <v>562.20000000000005</v>
      </c>
      <c r="T5" s="33">
        <f t="shared" si="0"/>
        <v>593</v>
      </c>
      <c r="U5" s="33">
        <f t="shared" si="0"/>
        <v>568.20000000000005</v>
      </c>
      <c r="V5" s="33">
        <f t="shared" si="0"/>
        <v>544.20000000000005</v>
      </c>
      <c r="W5" s="33">
        <f t="shared" si="0"/>
        <v>537.40000000000009</v>
      </c>
      <c r="X5" s="33">
        <f t="shared" si="0"/>
        <v>573.9</v>
      </c>
      <c r="Y5" s="33">
        <f t="shared" si="0"/>
        <v>487.90000000000003</v>
      </c>
      <c r="Z5" s="33">
        <f t="shared" si="0"/>
        <v>481.3</v>
      </c>
      <c r="AA5" s="33">
        <f t="shared" si="0"/>
        <v>479.3</v>
      </c>
      <c r="AB5" s="33">
        <f t="shared" si="0"/>
        <v>525.70000000000005</v>
      </c>
      <c r="AC5" s="33">
        <f t="shared" si="0"/>
        <v>523</v>
      </c>
      <c r="AD5" s="33">
        <f t="shared" si="0"/>
        <v>535</v>
      </c>
      <c r="AE5" s="33">
        <f t="shared" si="0"/>
        <v>474</v>
      </c>
      <c r="AF5" s="33">
        <f>B82</f>
        <v>456.2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1391MW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Load=1010</v>
      </c>
      <c r="B7" s="38">
        <f t="shared" ref="B7:AF7" si="1">B89</f>
        <v>1134.54</v>
      </c>
      <c r="C7" s="38">
        <f t="shared" si="1"/>
        <v>1123.24</v>
      </c>
      <c r="D7" s="38">
        <f t="shared" si="1"/>
        <v>1060.94</v>
      </c>
      <c r="E7" s="38">
        <f t="shared" si="1"/>
        <v>1009.74</v>
      </c>
      <c r="F7" s="38">
        <f t="shared" si="1"/>
        <v>1029.54</v>
      </c>
      <c r="G7" s="38">
        <f t="shared" si="1"/>
        <v>1043.94</v>
      </c>
      <c r="H7" s="38">
        <f t="shared" si="1"/>
        <v>1092.8399999999999</v>
      </c>
      <c r="I7" s="38">
        <f t="shared" si="1"/>
        <v>1186.3399999999999</v>
      </c>
      <c r="J7" s="38">
        <f t="shared" si="1"/>
        <v>1255.2399999999998</v>
      </c>
      <c r="K7" s="38">
        <f t="shared" si="1"/>
        <v>1332.94</v>
      </c>
      <c r="L7" s="38">
        <f t="shared" si="1"/>
        <v>1391.34</v>
      </c>
      <c r="M7" s="38">
        <f t="shared" si="1"/>
        <v>1348.6399999999999</v>
      </c>
      <c r="N7" s="38">
        <f>N89</f>
        <v>1213.54</v>
      </c>
      <c r="O7" s="38">
        <f t="shared" si="1"/>
        <v>1327.04</v>
      </c>
      <c r="P7" s="38">
        <f t="shared" si="1"/>
        <v>1285.6399999999999</v>
      </c>
      <c r="Q7" s="38">
        <f t="shared" si="1"/>
        <v>1232.04</v>
      </c>
      <c r="R7" s="38">
        <f t="shared" si="1"/>
        <v>1251.24</v>
      </c>
      <c r="S7" s="38">
        <f t="shared" si="1"/>
        <v>1295.27</v>
      </c>
      <c r="T7" s="38">
        <f t="shared" si="1"/>
        <v>1279.74</v>
      </c>
      <c r="U7" s="38">
        <f t="shared" si="1"/>
        <v>1320.54</v>
      </c>
      <c r="V7" s="38">
        <f t="shared" si="1"/>
        <v>1322.93</v>
      </c>
      <c r="W7" s="38">
        <f t="shared" si="1"/>
        <v>1261.6400000000001</v>
      </c>
      <c r="X7" s="38">
        <f t="shared" si="1"/>
        <v>1243.1400000000001</v>
      </c>
      <c r="Y7" s="38">
        <f t="shared" si="1"/>
        <v>1417.8400000000001</v>
      </c>
      <c r="Z7" s="38">
        <f t="shared" si="1"/>
        <v>1616.8400000000001</v>
      </c>
      <c r="AA7" s="38">
        <f t="shared" si="1"/>
        <v>1321.54</v>
      </c>
      <c r="AB7" s="38">
        <f t="shared" si="1"/>
        <v>1290.1400000000001</v>
      </c>
      <c r="AC7" s="38">
        <f t="shared" si="1"/>
        <v>1284.24</v>
      </c>
      <c r="AD7" s="38">
        <f t="shared" si="1"/>
        <v>1284.1400000000001</v>
      </c>
      <c r="AE7" s="38">
        <f t="shared" si="1"/>
        <v>1148.3400000000001</v>
      </c>
      <c r="AF7" s="38">
        <f t="shared" si="1"/>
        <v>1010.04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24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24</v>
      </c>
      <c r="T11" s="50">
        <v>24</v>
      </c>
      <c r="U11" s="50">
        <v>24</v>
      </c>
      <c r="V11" s="50">
        <v>24</v>
      </c>
      <c r="W11" s="50">
        <v>24</v>
      </c>
      <c r="X11" s="50">
        <v>24</v>
      </c>
      <c r="Y11" s="50">
        <v>24</v>
      </c>
      <c r="Z11" s="50">
        <v>24</v>
      </c>
      <c r="AA11" s="50">
        <v>24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17.5</v>
      </c>
      <c r="C12" s="50">
        <v>17.5</v>
      </c>
      <c r="D12" s="50">
        <v>17.399999999999999</v>
      </c>
      <c r="E12" s="50">
        <v>17.399999999999999</v>
      </c>
      <c r="F12" s="50">
        <v>17.399999999999999</v>
      </c>
      <c r="G12" s="50">
        <v>17.399999999999999</v>
      </c>
      <c r="H12" s="50">
        <v>17.399999999999999</v>
      </c>
      <c r="I12" s="50">
        <v>17.399999999999999</v>
      </c>
      <c r="J12" s="50">
        <v>17.399999999999999</v>
      </c>
      <c r="K12" s="50">
        <v>17.399999999999999</v>
      </c>
      <c r="L12" s="50">
        <v>17.399999999999999</v>
      </c>
      <c r="M12" s="50">
        <v>17.399999999999999</v>
      </c>
      <c r="N12" s="50">
        <v>17.399999999999999</v>
      </c>
      <c r="O12" s="50">
        <v>17.399999999999999</v>
      </c>
      <c r="P12" s="50">
        <v>17.399999999999999</v>
      </c>
      <c r="Q12" s="50">
        <v>17.399999999999999</v>
      </c>
      <c r="R12" s="50">
        <v>17.399999999999999</v>
      </c>
      <c r="S12" s="50">
        <v>14.9</v>
      </c>
      <c r="T12" s="50">
        <v>14.9</v>
      </c>
      <c r="U12" s="50">
        <v>14.9</v>
      </c>
      <c r="V12" s="50">
        <v>14.9</v>
      </c>
      <c r="W12" s="50">
        <v>14.9</v>
      </c>
      <c r="X12" s="50">
        <v>14.9</v>
      </c>
      <c r="Y12" s="50">
        <v>14.9</v>
      </c>
      <c r="Z12" s="50">
        <v>14.9</v>
      </c>
      <c r="AA12" s="50">
        <v>14.9</v>
      </c>
      <c r="AB12" s="50">
        <v>18.399999999999999</v>
      </c>
      <c r="AC12" s="50">
        <v>18.399999999999999</v>
      </c>
      <c r="AD12" s="50">
        <v>18.399999999999999</v>
      </c>
      <c r="AE12" s="50">
        <v>18.399999999999999</v>
      </c>
      <c r="AF12" s="50">
        <v>18.399999999999999</v>
      </c>
      <c r="AG12" s="51">
        <v>52.4</v>
      </c>
      <c r="AH12" s="52">
        <f t="shared" si="2"/>
        <v>18.399999999999999</v>
      </c>
      <c r="AI12" s="53">
        <f t="shared" si="3"/>
        <v>14.9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27.7</v>
      </c>
      <c r="C13" s="50">
        <v>27.7</v>
      </c>
      <c r="D13" s="50">
        <v>28.6</v>
      </c>
      <c r="E13" s="50">
        <v>28.6</v>
      </c>
      <c r="F13" s="50">
        <v>28.6</v>
      </c>
      <c r="G13" s="50">
        <v>28.6</v>
      </c>
      <c r="H13" s="50">
        <v>28.6</v>
      </c>
      <c r="I13" s="50">
        <v>28.6</v>
      </c>
      <c r="J13" s="50">
        <v>28.6</v>
      </c>
      <c r="K13" s="50">
        <v>28.6</v>
      </c>
      <c r="L13" s="50">
        <v>28.6</v>
      </c>
      <c r="M13" s="50">
        <v>28.6</v>
      </c>
      <c r="N13" s="50">
        <v>28.6</v>
      </c>
      <c r="O13" s="50">
        <v>28.6</v>
      </c>
      <c r="P13" s="50">
        <v>28.6</v>
      </c>
      <c r="Q13" s="50">
        <v>28.6</v>
      </c>
      <c r="R13" s="50">
        <v>28.6</v>
      </c>
      <c r="S13" s="50">
        <v>28.6</v>
      </c>
      <c r="T13" s="50">
        <v>28.6</v>
      </c>
      <c r="U13" s="50">
        <v>28.6</v>
      </c>
      <c r="V13" s="50">
        <v>28.6</v>
      </c>
      <c r="W13" s="50">
        <v>28.6</v>
      </c>
      <c r="X13" s="50">
        <v>28.6</v>
      </c>
      <c r="Y13" s="50">
        <v>28.6</v>
      </c>
      <c r="Z13" s="50">
        <v>28.6</v>
      </c>
      <c r="AA13" s="50">
        <v>28.6</v>
      </c>
      <c r="AB13" s="50">
        <v>28.6</v>
      </c>
      <c r="AC13" s="50">
        <v>28.6</v>
      </c>
      <c r="AD13" s="50">
        <v>28.6</v>
      </c>
      <c r="AE13" s="50">
        <v>28.6</v>
      </c>
      <c r="AF13" s="50">
        <v>28.6</v>
      </c>
      <c r="AG13" s="55">
        <v>50</v>
      </c>
      <c r="AH13" s="52">
        <f t="shared" si="2"/>
        <v>28.6</v>
      </c>
      <c r="AI13" s="53">
        <f t="shared" si="3"/>
        <v>27.7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14.5</v>
      </c>
      <c r="C14" s="50">
        <v>14.5</v>
      </c>
      <c r="D14" s="50">
        <v>16.5</v>
      </c>
      <c r="E14" s="50">
        <v>16.5</v>
      </c>
      <c r="F14" s="50">
        <v>16.5</v>
      </c>
      <c r="G14" s="50">
        <v>16.5</v>
      </c>
      <c r="H14" s="50">
        <v>16.5</v>
      </c>
      <c r="I14" s="50">
        <v>16.5</v>
      </c>
      <c r="J14" s="50">
        <v>16.5</v>
      </c>
      <c r="K14" s="50">
        <v>16.5</v>
      </c>
      <c r="L14" s="50">
        <v>16.5</v>
      </c>
      <c r="M14" s="50">
        <v>16.5</v>
      </c>
      <c r="N14" s="50">
        <v>16.5</v>
      </c>
      <c r="O14" s="50">
        <v>16.5</v>
      </c>
      <c r="P14" s="50">
        <v>16.5</v>
      </c>
      <c r="Q14" s="50">
        <v>16.5</v>
      </c>
      <c r="R14" s="50">
        <v>16.5</v>
      </c>
      <c r="S14" s="50">
        <v>14.5</v>
      </c>
      <c r="T14" s="50">
        <v>14.5</v>
      </c>
      <c r="U14" s="50">
        <v>14.5</v>
      </c>
      <c r="V14" s="50">
        <v>14.5</v>
      </c>
      <c r="W14" s="50">
        <v>14.5</v>
      </c>
      <c r="X14" s="50">
        <v>14.5</v>
      </c>
      <c r="Y14" s="50">
        <v>14.5</v>
      </c>
      <c r="Z14" s="50">
        <v>14.5</v>
      </c>
      <c r="AA14" s="50">
        <v>14.5</v>
      </c>
      <c r="AB14" s="50">
        <v>14.5</v>
      </c>
      <c r="AC14" s="50">
        <v>14.5</v>
      </c>
      <c r="AD14" s="50">
        <v>14.5</v>
      </c>
      <c r="AE14" s="50">
        <v>14.5</v>
      </c>
      <c r="AF14" s="50">
        <v>14.5</v>
      </c>
      <c r="AG14" s="55">
        <v>45</v>
      </c>
      <c r="AH14" s="52">
        <f t="shared" si="2"/>
        <v>16.5</v>
      </c>
      <c r="AI14" s="53">
        <f t="shared" si="3"/>
        <v>14.5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11</v>
      </c>
      <c r="C15" s="50">
        <v>11</v>
      </c>
      <c r="D15" s="50">
        <v>9.5</v>
      </c>
      <c r="E15" s="50">
        <v>9.5</v>
      </c>
      <c r="F15" s="50">
        <v>9.5</v>
      </c>
      <c r="G15" s="50">
        <v>9.5</v>
      </c>
      <c r="H15" s="50">
        <v>9.5</v>
      </c>
      <c r="I15" s="50">
        <v>9.5</v>
      </c>
      <c r="J15" s="50">
        <v>9.5</v>
      </c>
      <c r="K15" s="50">
        <v>9.5</v>
      </c>
      <c r="L15" s="50">
        <v>9.5</v>
      </c>
      <c r="M15" s="50">
        <v>9.5</v>
      </c>
      <c r="N15" s="50">
        <v>9.5</v>
      </c>
      <c r="O15" s="50">
        <v>9.5</v>
      </c>
      <c r="P15" s="50">
        <v>9.5</v>
      </c>
      <c r="Q15" s="50">
        <v>9.5</v>
      </c>
      <c r="R15" s="50">
        <v>9.5</v>
      </c>
      <c r="S15" s="50">
        <v>8</v>
      </c>
      <c r="T15" s="50">
        <v>8</v>
      </c>
      <c r="U15" s="50">
        <v>8</v>
      </c>
      <c r="V15" s="50">
        <v>8</v>
      </c>
      <c r="W15" s="50">
        <v>8</v>
      </c>
      <c r="X15" s="50">
        <v>8</v>
      </c>
      <c r="Y15" s="50">
        <v>8</v>
      </c>
      <c r="Z15" s="50">
        <v>8</v>
      </c>
      <c r="AA15" s="50">
        <v>8</v>
      </c>
      <c r="AB15" s="50">
        <v>10</v>
      </c>
      <c r="AC15" s="50">
        <v>10</v>
      </c>
      <c r="AD15" s="50">
        <v>10</v>
      </c>
      <c r="AE15" s="50">
        <v>10</v>
      </c>
      <c r="AF15" s="50">
        <v>10</v>
      </c>
      <c r="AG15" s="55">
        <v>42</v>
      </c>
      <c r="AH15" s="52">
        <f t="shared" si="2"/>
        <v>11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7</v>
      </c>
      <c r="C18" s="50">
        <v>7</v>
      </c>
      <c r="D18" s="50">
        <v>7</v>
      </c>
      <c r="E18" s="50">
        <v>7</v>
      </c>
      <c r="F18" s="50">
        <v>7</v>
      </c>
      <c r="G18" s="50">
        <v>7</v>
      </c>
      <c r="H18" s="50">
        <v>7</v>
      </c>
      <c r="I18" s="50">
        <v>7</v>
      </c>
      <c r="J18" s="50">
        <v>7</v>
      </c>
      <c r="K18" s="50">
        <v>7</v>
      </c>
      <c r="L18" s="50">
        <v>7</v>
      </c>
      <c r="M18" s="50">
        <v>7</v>
      </c>
      <c r="N18" s="50">
        <v>7</v>
      </c>
      <c r="O18" s="50">
        <v>7</v>
      </c>
      <c r="P18" s="50">
        <v>7</v>
      </c>
      <c r="Q18" s="50">
        <v>7</v>
      </c>
      <c r="R18" s="50">
        <v>7</v>
      </c>
      <c r="S18" s="50">
        <v>6.6</v>
      </c>
      <c r="T18" s="50">
        <v>6.6</v>
      </c>
      <c r="U18" s="50">
        <v>6.6</v>
      </c>
      <c r="V18" s="50">
        <v>6.6</v>
      </c>
      <c r="W18" s="50">
        <v>6.6</v>
      </c>
      <c r="X18" s="50">
        <v>6.6</v>
      </c>
      <c r="Y18" s="50">
        <v>6.6</v>
      </c>
      <c r="Z18" s="50">
        <v>6.6</v>
      </c>
      <c r="AA18" s="50">
        <v>6.6</v>
      </c>
      <c r="AB18" s="50">
        <v>7.9</v>
      </c>
      <c r="AC18" s="50">
        <v>7.9</v>
      </c>
      <c r="AD18" s="50">
        <v>7.9</v>
      </c>
      <c r="AE18" s="50">
        <v>7.9</v>
      </c>
      <c r="AF18" s="50">
        <v>7.9</v>
      </c>
      <c r="AG18" s="56">
        <v>30</v>
      </c>
      <c r="AH18" s="52">
        <f t="shared" si="2"/>
        <v>7.9</v>
      </c>
      <c r="AI18" s="53">
        <f t="shared" si="3"/>
        <v>6.6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7</v>
      </c>
      <c r="C19" s="50">
        <v>7</v>
      </c>
      <c r="D19" s="50">
        <v>7</v>
      </c>
      <c r="E19" s="50">
        <v>7</v>
      </c>
      <c r="F19" s="50">
        <v>7</v>
      </c>
      <c r="G19" s="50">
        <v>7</v>
      </c>
      <c r="H19" s="50">
        <v>7</v>
      </c>
      <c r="I19" s="50">
        <v>7</v>
      </c>
      <c r="J19" s="50">
        <v>7</v>
      </c>
      <c r="K19" s="50">
        <v>7</v>
      </c>
      <c r="L19" s="50">
        <v>7</v>
      </c>
      <c r="M19" s="50">
        <v>7</v>
      </c>
      <c r="N19" s="50">
        <v>7</v>
      </c>
      <c r="O19" s="50">
        <v>7</v>
      </c>
      <c r="P19" s="50">
        <v>7</v>
      </c>
      <c r="Q19" s="50">
        <v>7</v>
      </c>
      <c r="R19" s="50">
        <v>7</v>
      </c>
      <c r="S19" s="50">
        <v>7</v>
      </c>
      <c r="T19" s="50">
        <v>7</v>
      </c>
      <c r="U19" s="50">
        <v>7</v>
      </c>
      <c r="V19" s="50">
        <v>7</v>
      </c>
      <c r="W19" s="50">
        <v>7</v>
      </c>
      <c r="X19" s="50">
        <v>7</v>
      </c>
      <c r="Y19" s="50">
        <v>7</v>
      </c>
      <c r="Z19" s="50">
        <v>7</v>
      </c>
      <c r="AA19" s="50">
        <v>7</v>
      </c>
      <c r="AB19" s="50">
        <v>7</v>
      </c>
      <c r="AC19" s="50">
        <v>7</v>
      </c>
      <c r="AD19" s="50">
        <v>7</v>
      </c>
      <c r="AE19" s="50">
        <v>7</v>
      </c>
      <c r="AF19" s="50">
        <v>7</v>
      </c>
      <c r="AG19" s="55">
        <v>24.2</v>
      </c>
      <c r="AH19" s="52">
        <f t="shared" si="2"/>
        <v>7</v>
      </c>
      <c r="AI19" s="53">
        <f t="shared" si="3"/>
        <v>7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13.2</v>
      </c>
      <c r="C22" s="50">
        <v>13.2</v>
      </c>
      <c r="D22" s="50">
        <v>13.2</v>
      </c>
      <c r="E22" s="50">
        <v>13.2</v>
      </c>
      <c r="F22" s="50">
        <v>13.2</v>
      </c>
      <c r="G22" s="50">
        <v>13.2</v>
      </c>
      <c r="H22" s="50">
        <v>13.2</v>
      </c>
      <c r="I22" s="50">
        <v>13.2</v>
      </c>
      <c r="J22" s="50">
        <v>13.2</v>
      </c>
      <c r="K22" s="50">
        <v>13.2</v>
      </c>
      <c r="L22" s="50">
        <v>13.2</v>
      </c>
      <c r="M22" s="50">
        <v>13.2</v>
      </c>
      <c r="N22" s="50">
        <v>13.2</v>
      </c>
      <c r="O22" s="50">
        <v>13.2</v>
      </c>
      <c r="P22" s="50">
        <v>13.2</v>
      </c>
      <c r="Q22" s="50">
        <v>13.2</v>
      </c>
      <c r="R22" s="50">
        <v>13.2</v>
      </c>
      <c r="S22" s="50">
        <v>13.2</v>
      </c>
      <c r="T22" s="50">
        <v>13.2</v>
      </c>
      <c r="U22" s="50">
        <v>13.2</v>
      </c>
      <c r="V22" s="50">
        <v>13.2</v>
      </c>
      <c r="W22" s="50">
        <v>13.2</v>
      </c>
      <c r="X22" s="50">
        <v>13.2</v>
      </c>
      <c r="Y22" s="50">
        <v>13.2</v>
      </c>
      <c r="Z22" s="50">
        <v>13.2</v>
      </c>
      <c r="AA22" s="50">
        <v>13.2</v>
      </c>
      <c r="AB22" s="50">
        <v>7.7</v>
      </c>
      <c r="AC22" s="50">
        <v>7.7</v>
      </c>
      <c r="AD22" s="50">
        <v>7.7</v>
      </c>
      <c r="AE22" s="50">
        <v>7.7</v>
      </c>
      <c r="AF22" s="50">
        <v>7.7</v>
      </c>
      <c r="AG22" s="55">
        <v>25</v>
      </c>
      <c r="AH22" s="52">
        <f t="shared" si="2"/>
        <v>13.2</v>
      </c>
      <c r="AI22" s="53">
        <f t="shared" si="3"/>
        <v>7.7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0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5">
        <v>25</v>
      </c>
      <c r="AH24" s="52">
        <f t="shared" si="2"/>
        <v>6</v>
      </c>
      <c r="AI24" s="53">
        <f t="shared" si="3"/>
        <v>0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7</v>
      </c>
      <c r="C26" s="50">
        <v>7</v>
      </c>
      <c r="D26" s="50">
        <v>7</v>
      </c>
      <c r="E26" s="50">
        <v>7</v>
      </c>
      <c r="F26" s="50">
        <v>7</v>
      </c>
      <c r="G26" s="50">
        <v>7</v>
      </c>
      <c r="H26" s="50">
        <v>7</v>
      </c>
      <c r="I26" s="50">
        <v>7</v>
      </c>
      <c r="J26" s="50">
        <v>7</v>
      </c>
      <c r="K26" s="50">
        <v>7</v>
      </c>
      <c r="L26" s="50">
        <v>7</v>
      </c>
      <c r="M26" s="50">
        <v>7</v>
      </c>
      <c r="N26" s="50">
        <v>7</v>
      </c>
      <c r="O26" s="50">
        <v>7</v>
      </c>
      <c r="P26" s="50">
        <v>7</v>
      </c>
      <c r="Q26" s="50">
        <v>7</v>
      </c>
      <c r="R26" s="50">
        <v>7</v>
      </c>
      <c r="S26" s="50">
        <v>7</v>
      </c>
      <c r="T26" s="50">
        <v>7</v>
      </c>
      <c r="U26" s="50">
        <v>7</v>
      </c>
      <c r="V26" s="50">
        <v>7</v>
      </c>
      <c r="W26" s="50">
        <v>7</v>
      </c>
      <c r="X26" s="50">
        <v>7</v>
      </c>
      <c r="Y26" s="50">
        <v>7</v>
      </c>
      <c r="Z26" s="50">
        <v>7</v>
      </c>
      <c r="AA26" s="50">
        <v>7</v>
      </c>
      <c r="AB26" s="50">
        <v>7</v>
      </c>
      <c r="AC26" s="50">
        <v>7</v>
      </c>
      <c r="AD26" s="50">
        <v>7</v>
      </c>
      <c r="AE26" s="50">
        <v>7</v>
      </c>
      <c r="AF26" s="50">
        <v>7</v>
      </c>
      <c r="AG26" s="55">
        <v>23.5</v>
      </c>
      <c r="AH26" s="52">
        <f t="shared" si="2"/>
        <v>7</v>
      </c>
      <c r="AI26" s="53">
        <f t="shared" si="3"/>
        <v>7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7</v>
      </c>
      <c r="C28" s="50">
        <v>7</v>
      </c>
      <c r="D28" s="50">
        <v>7</v>
      </c>
      <c r="E28" s="50">
        <v>7</v>
      </c>
      <c r="F28" s="50">
        <v>7</v>
      </c>
      <c r="G28" s="50">
        <v>7</v>
      </c>
      <c r="H28" s="50">
        <v>7</v>
      </c>
      <c r="I28" s="50">
        <v>7</v>
      </c>
      <c r="J28" s="50">
        <v>7</v>
      </c>
      <c r="K28" s="50">
        <v>7</v>
      </c>
      <c r="L28" s="50">
        <v>7</v>
      </c>
      <c r="M28" s="50">
        <v>7</v>
      </c>
      <c r="N28" s="50">
        <v>7</v>
      </c>
      <c r="O28" s="50">
        <v>7</v>
      </c>
      <c r="P28" s="50">
        <v>7</v>
      </c>
      <c r="Q28" s="50">
        <v>7</v>
      </c>
      <c r="R28" s="50">
        <v>7</v>
      </c>
      <c r="S28" s="50">
        <v>7</v>
      </c>
      <c r="T28" s="50">
        <v>7</v>
      </c>
      <c r="U28" s="50">
        <v>7</v>
      </c>
      <c r="V28" s="50">
        <v>7</v>
      </c>
      <c r="W28" s="50">
        <v>7</v>
      </c>
      <c r="X28" s="50">
        <v>7</v>
      </c>
      <c r="Y28" s="50">
        <v>7</v>
      </c>
      <c r="Z28" s="50">
        <v>7</v>
      </c>
      <c r="AA28" s="50">
        <v>7</v>
      </c>
      <c r="AB28" s="50">
        <v>7</v>
      </c>
      <c r="AC28" s="50">
        <v>7</v>
      </c>
      <c r="AD28" s="50">
        <v>7</v>
      </c>
      <c r="AE28" s="50">
        <v>7</v>
      </c>
      <c r="AF28" s="50">
        <v>7</v>
      </c>
      <c r="AG28" s="55">
        <v>22.1</v>
      </c>
      <c r="AH28" s="52">
        <f t="shared" si="2"/>
        <v>7</v>
      </c>
      <c r="AI28" s="53">
        <f t="shared" si="3"/>
        <v>7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55">
        <v>22</v>
      </c>
      <c r="AH29" s="52">
        <f t="shared" si="2"/>
        <v>8</v>
      </c>
      <c r="AI29" s="53">
        <f t="shared" si="3"/>
        <v>8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5">
        <v>22</v>
      </c>
      <c r="AH30" s="52">
        <f t="shared" si="2"/>
        <v>10</v>
      </c>
      <c r="AI30" s="53">
        <f t="shared" si="3"/>
        <v>10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5">
        <v>13.6</v>
      </c>
      <c r="AH35" s="52">
        <f t="shared" si="2"/>
        <v>0</v>
      </c>
      <c r="AI35" s="53">
        <f t="shared" si="3"/>
        <v>0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4.8</v>
      </c>
      <c r="C38" s="50">
        <v>4.8</v>
      </c>
      <c r="D38" s="50">
        <v>4.8</v>
      </c>
      <c r="E38" s="50">
        <v>4.8</v>
      </c>
      <c r="F38" s="50">
        <v>4.8</v>
      </c>
      <c r="G38" s="50">
        <v>4.8</v>
      </c>
      <c r="H38" s="50">
        <v>4.8</v>
      </c>
      <c r="I38" s="50">
        <v>4.8</v>
      </c>
      <c r="J38" s="50">
        <v>4.8</v>
      </c>
      <c r="K38" s="50">
        <v>4.8</v>
      </c>
      <c r="L38" s="50">
        <v>4.8</v>
      </c>
      <c r="M38" s="50">
        <v>4.8</v>
      </c>
      <c r="N38" s="50">
        <v>4.8</v>
      </c>
      <c r="O38" s="50">
        <v>4.8</v>
      </c>
      <c r="P38" s="50">
        <v>4.8</v>
      </c>
      <c r="Q38" s="50">
        <v>4.8</v>
      </c>
      <c r="R38" s="50">
        <v>4.8</v>
      </c>
      <c r="S38" s="50">
        <v>4.8</v>
      </c>
      <c r="T38" s="50">
        <v>4.8</v>
      </c>
      <c r="U38" s="50">
        <v>4.8</v>
      </c>
      <c r="V38" s="50">
        <v>4.8</v>
      </c>
      <c r="W38" s="50">
        <v>4.8</v>
      </c>
      <c r="X38" s="50">
        <v>4.8</v>
      </c>
      <c r="Y38" s="50">
        <v>4.8</v>
      </c>
      <c r="Z38" s="50">
        <v>4.8</v>
      </c>
      <c r="AA38" s="50">
        <v>4.8</v>
      </c>
      <c r="AB38" s="50">
        <v>4.8</v>
      </c>
      <c r="AC38" s="50">
        <v>4.8</v>
      </c>
      <c r="AD38" s="50">
        <v>4.8</v>
      </c>
      <c r="AE38" s="50">
        <v>4.8</v>
      </c>
      <c r="AF38" s="50">
        <v>4.8</v>
      </c>
      <c r="AG38" s="55">
        <v>12</v>
      </c>
      <c r="AH38" s="52">
        <f t="shared" si="2"/>
        <v>4.8</v>
      </c>
      <c r="AI38" s="53">
        <f t="shared" si="3"/>
        <v>4.8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5.2</v>
      </c>
      <c r="C41" s="50">
        <v>5.2</v>
      </c>
      <c r="D41" s="50">
        <v>5.2</v>
      </c>
      <c r="E41" s="50">
        <v>5.2</v>
      </c>
      <c r="F41" s="50">
        <v>5.2</v>
      </c>
      <c r="G41" s="50">
        <v>5.2</v>
      </c>
      <c r="H41" s="50">
        <v>5.2</v>
      </c>
      <c r="I41" s="50">
        <v>5.2</v>
      </c>
      <c r="J41" s="50">
        <v>5.2</v>
      </c>
      <c r="K41" s="50">
        <v>5.2</v>
      </c>
      <c r="L41" s="50">
        <v>5.2</v>
      </c>
      <c r="M41" s="50">
        <v>5.2</v>
      </c>
      <c r="N41" s="50">
        <v>5.2</v>
      </c>
      <c r="O41" s="50">
        <v>5.2</v>
      </c>
      <c r="P41" s="50">
        <v>5.2</v>
      </c>
      <c r="Q41" s="50">
        <v>5.2</v>
      </c>
      <c r="R41" s="50">
        <v>5.2</v>
      </c>
      <c r="S41" s="50">
        <v>5.2</v>
      </c>
      <c r="T41" s="50">
        <v>5.2</v>
      </c>
      <c r="U41" s="50">
        <v>5.2</v>
      </c>
      <c r="V41" s="50">
        <v>5.2</v>
      </c>
      <c r="W41" s="50">
        <v>5.2</v>
      </c>
      <c r="X41" s="50">
        <v>5.2</v>
      </c>
      <c r="Y41" s="50">
        <v>5.2</v>
      </c>
      <c r="Z41" s="50">
        <v>5.2</v>
      </c>
      <c r="AA41" s="50">
        <v>5.2</v>
      </c>
      <c r="AB41" s="50">
        <v>5.2</v>
      </c>
      <c r="AC41" s="50">
        <v>5.2</v>
      </c>
      <c r="AD41" s="50">
        <v>5.2</v>
      </c>
      <c r="AE41" s="50">
        <v>5.2</v>
      </c>
      <c r="AF41" s="50">
        <v>5.2</v>
      </c>
      <c r="AG41" s="56">
        <v>11.88</v>
      </c>
      <c r="AH41" s="52">
        <f t="shared" si="2"/>
        <v>5.2</v>
      </c>
      <c r="AI41" s="53">
        <f t="shared" si="3"/>
        <v>5.2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3.5</v>
      </c>
      <c r="C44" s="50">
        <v>3.5</v>
      </c>
      <c r="D44" s="50">
        <v>3.5</v>
      </c>
      <c r="E44" s="50">
        <v>3.5</v>
      </c>
      <c r="F44" s="50">
        <v>3.5</v>
      </c>
      <c r="G44" s="50">
        <v>3.5</v>
      </c>
      <c r="H44" s="50">
        <v>3.5</v>
      </c>
      <c r="I44" s="50">
        <v>3.5</v>
      </c>
      <c r="J44" s="50">
        <v>3.5</v>
      </c>
      <c r="K44" s="50">
        <v>3.5</v>
      </c>
      <c r="L44" s="50">
        <v>3.5</v>
      </c>
      <c r="M44" s="50">
        <v>3.5</v>
      </c>
      <c r="N44" s="50">
        <v>3.5</v>
      </c>
      <c r="O44" s="50">
        <v>3.5</v>
      </c>
      <c r="P44" s="50">
        <v>3.5</v>
      </c>
      <c r="Q44" s="50">
        <v>3.5</v>
      </c>
      <c r="R44" s="50">
        <v>3.5</v>
      </c>
      <c r="S44" s="50">
        <v>3.5</v>
      </c>
      <c r="T44" s="50">
        <v>3.5</v>
      </c>
      <c r="U44" s="50">
        <v>3.5</v>
      </c>
      <c r="V44" s="50">
        <v>3.5</v>
      </c>
      <c r="W44" s="50">
        <v>3.5</v>
      </c>
      <c r="X44" s="50">
        <v>3.5</v>
      </c>
      <c r="Y44" s="50">
        <v>3.5</v>
      </c>
      <c r="Z44" s="50">
        <v>3.5</v>
      </c>
      <c r="AA44" s="50">
        <v>3.5</v>
      </c>
      <c r="AB44" s="50">
        <v>3.5</v>
      </c>
      <c r="AC44" s="50">
        <v>3.5</v>
      </c>
      <c r="AD44" s="50">
        <v>3.5</v>
      </c>
      <c r="AE44" s="50">
        <v>3.5</v>
      </c>
      <c r="AF44" s="50">
        <v>3.5</v>
      </c>
      <c r="AG44" s="61">
        <v>10</v>
      </c>
      <c r="AH44" s="52">
        <f t="shared" si="2"/>
        <v>3.5</v>
      </c>
      <c r="AI44" s="53">
        <f t="shared" si="3"/>
        <v>3.5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3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C48" si="4">SUM(B12:B46)</f>
        <v>360.70000000000005</v>
      </c>
      <c r="C48" s="67">
        <f t="shared" si="4"/>
        <v>360.70000000000005</v>
      </c>
      <c r="D48" s="67">
        <f t="shared" ref="D48:AG48" si="5">SUM(D12:D46)</f>
        <v>362</v>
      </c>
      <c r="E48" s="67">
        <f t="shared" si="5"/>
        <v>362</v>
      </c>
      <c r="F48" s="67">
        <f t="shared" si="5"/>
        <v>362</v>
      </c>
      <c r="G48" s="67">
        <f t="shared" si="5"/>
        <v>356</v>
      </c>
      <c r="H48" s="67">
        <f t="shared" si="5"/>
        <v>362</v>
      </c>
      <c r="I48" s="67">
        <f t="shared" si="5"/>
        <v>362</v>
      </c>
      <c r="J48" s="67">
        <f t="shared" si="5"/>
        <v>362</v>
      </c>
      <c r="K48" s="67">
        <f t="shared" si="5"/>
        <v>362</v>
      </c>
      <c r="L48" s="67">
        <f t="shared" si="5"/>
        <v>362</v>
      </c>
      <c r="M48" s="67">
        <f t="shared" si="5"/>
        <v>362</v>
      </c>
      <c r="N48" s="67">
        <f t="shared" si="5"/>
        <v>362</v>
      </c>
      <c r="O48" s="67">
        <f t="shared" si="5"/>
        <v>356</v>
      </c>
      <c r="P48" s="67">
        <f t="shared" si="5"/>
        <v>356</v>
      </c>
      <c r="Q48" s="67">
        <f t="shared" si="5"/>
        <v>356</v>
      </c>
      <c r="R48" s="67">
        <f t="shared" si="5"/>
        <v>356</v>
      </c>
      <c r="S48" s="67">
        <f t="shared" si="5"/>
        <v>349.6</v>
      </c>
      <c r="T48" s="67">
        <f t="shared" si="5"/>
        <v>349.6</v>
      </c>
      <c r="U48" s="67">
        <f t="shared" si="5"/>
        <v>349.6</v>
      </c>
      <c r="V48" s="67">
        <f t="shared" si="5"/>
        <v>349.6</v>
      </c>
      <c r="W48" s="67">
        <f t="shared" si="5"/>
        <v>349.6</v>
      </c>
      <c r="X48" s="67">
        <f t="shared" si="5"/>
        <v>349.6</v>
      </c>
      <c r="Y48" s="67">
        <f t="shared" si="5"/>
        <v>349.6</v>
      </c>
      <c r="Z48" s="67">
        <v>349.6</v>
      </c>
      <c r="AA48" s="67">
        <f t="shared" si="5"/>
        <v>349.6</v>
      </c>
      <c r="AB48" s="67">
        <f t="shared" si="5"/>
        <v>350.90000000000003</v>
      </c>
      <c r="AC48" s="67">
        <f t="shared" si="5"/>
        <v>350.90000000000003</v>
      </c>
      <c r="AD48" s="67">
        <f t="shared" si="5"/>
        <v>350.90000000000003</v>
      </c>
      <c r="AE48" s="67">
        <f t="shared" si="5"/>
        <v>350.90000000000003</v>
      </c>
      <c r="AF48" s="67">
        <f t="shared" si="5"/>
        <v>350.90000000000003</v>
      </c>
      <c r="AG48" s="68">
        <f t="shared" si="5"/>
        <v>875.68</v>
      </c>
      <c r="AH48" s="52">
        <f t="shared" si="2"/>
        <v>362</v>
      </c>
      <c r="AI48" s="53">
        <f t="shared" si="3"/>
        <v>349.6</v>
      </c>
      <c r="AK48" s="54"/>
    </row>
    <row r="49" spans="1:41" x14ac:dyDescent="0.25">
      <c r="A49" s="69" t="s">
        <v>53</v>
      </c>
      <c r="B49" s="50">
        <v>60</v>
      </c>
      <c r="C49" s="50">
        <v>40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15</v>
      </c>
      <c r="J49" s="50">
        <v>76</v>
      </c>
      <c r="K49" s="50">
        <v>100</v>
      </c>
      <c r="L49" s="50">
        <v>130</v>
      </c>
      <c r="M49" s="70">
        <v>100</v>
      </c>
      <c r="N49" s="70">
        <v>40</v>
      </c>
      <c r="O49" s="50">
        <v>80</v>
      </c>
      <c r="P49" s="50">
        <v>50</v>
      </c>
      <c r="Q49" s="50">
        <v>70</v>
      </c>
      <c r="R49" s="50">
        <v>80</v>
      </c>
      <c r="S49" s="50">
        <v>70</v>
      </c>
      <c r="T49" s="50">
        <v>70</v>
      </c>
      <c r="U49" s="50">
        <v>80</v>
      </c>
      <c r="V49" s="50">
        <v>80</v>
      </c>
      <c r="W49" s="50">
        <v>70</v>
      </c>
      <c r="X49" s="50">
        <v>80</v>
      </c>
      <c r="Y49" s="50">
        <v>140</v>
      </c>
      <c r="Z49" s="50">
        <v>190</v>
      </c>
      <c r="AA49" s="50">
        <v>180</v>
      </c>
      <c r="AB49" s="50">
        <v>180</v>
      </c>
      <c r="AC49" s="50">
        <v>150</v>
      </c>
      <c r="AD49" s="50">
        <v>170</v>
      </c>
      <c r="AE49" s="50">
        <v>100</v>
      </c>
      <c r="AF49" s="50">
        <v>50</v>
      </c>
      <c r="AG49" s="56">
        <v>456</v>
      </c>
      <c r="AH49" s="52">
        <f t="shared" si="2"/>
        <v>190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30</v>
      </c>
      <c r="L50" s="72">
        <v>30.7</v>
      </c>
      <c r="M50" s="72">
        <v>30.7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30.7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9.1999999999999993</v>
      </c>
      <c r="C51" s="74">
        <v>9.1999999999999993</v>
      </c>
      <c r="D51" s="74">
        <v>9.1999999999999993</v>
      </c>
      <c r="E51" s="74">
        <v>9.1999999999999993</v>
      </c>
      <c r="F51" s="74">
        <v>9.1999999999999993</v>
      </c>
      <c r="G51" s="74">
        <v>9.1999999999999993</v>
      </c>
      <c r="H51" s="74">
        <v>9.1999999999999993</v>
      </c>
      <c r="I51" s="74">
        <v>9.1999999999999993</v>
      </c>
      <c r="J51" s="74">
        <v>9.1999999999999993</v>
      </c>
      <c r="K51" s="74">
        <v>9.1999999999999993</v>
      </c>
      <c r="L51" s="74">
        <v>9.1999999999999993</v>
      </c>
      <c r="M51" s="74">
        <v>9.1999999999999993</v>
      </c>
      <c r="N51" s="74">
        <v>9.1999999999999993</v>
      </c>
      <c r="O51" s="74">
        <v>9.1999999999999993</v>
      </c>
      <c r="P51" s="74">
        <v>9.1999999999999993</v>
      </c>
      <c r="Q51" s="74">
        <v>9.1999999999999993</v>
      </c>
      <c r="R51" s="74">
        <v>9.1999999999999993</v>
      </c>
      <c r="S51" s="74">
        <v>9.1999999999999993</v>
      </c>
      <c r="T51" s="74">
        <v>9.1999999999999993</v>
      </c>
      <c r="U51" s="74">
        <v>9.1999999999999993</v>
      </c>
      <c r="V51" s="74">
        <v>9.1999999999999993</v>
      </c>
      <c r="W51" s="74">
        <v>9.1999999999999993</v>
      </c>
      <c r="X51" s="74">
        <v>9.1999999999999993</v>
      </c>
      <c r="Y51" s="74">
        <v>9.1999999999999993</v>
      </c>
      <c r="Z51" s="74">
        <v>9.1999999999999993</v>
      </c>
      <c r="AA51" s="74">
        <v>9.1999999999999993</v>
      </c>
      <c r="AB51" s="74">
        <v>9.1999999999999993</v>
      </c>
      <c r="AC51" s="74">
        <v>9.1999999999999993</v>
      </c>
      <c r="AD51" s="74">
        <v>9.1999999999999993</v>
      </c>
      <c r="AE51" s="74">
        <v>9.1999999999999993</v>
      </c>
      <c r="AF51" s="74">
        <v>9.1999999999999993</v>
      </c>
      <c r="AG51" s="75">
        <v>22.1</v>
      </c>
      <c r="AH51" s="52">
        <f t="shared" si="2"/>
        <v>9.1999999999999993</v>
      </c>
      <c r="AI51" s="53">
        <f t="shared" si="3"/>
        <v>9.1999999999999993</v>
      </c>
      <c r="AK51" s="54"/>
    </row>
    <row r="52" spans="1:41" ht="15.75" thickBot="1" x14ac:dyDescent="0.3">
      <c r="A52" s="76" t="s">
        <v>56</v>
      </c>
      <c r="B52" s="67">
        <f t="shared" ref="B52:C52" si="6">SUM(B49:B51)</f>
        <v>94.2</v>
      </c>
      <c r="C52" s="67">
        <f t="shared" si="6"/>
        <v>74.2</v>
      </c>
      <c r="D52" s="67">
        <f t="shared" ref="D52:AG52" si="7">SUM(D49:D51)</f>
        <v>34.200000000000003</v>
      </c>
      <c r="E52" s="67">
        <f t="shared" si="7"/>
        <v>34.200000000000003</v>
      </c>
      <c r="F52" s="67">
        <f t="shared" si="7"/>
        <v>34.200000000000003</v>
      </c>
      <c r="G52" s="67">
        <f t="shared" si="7"/>
        <v>34.200000000000003</v>
      </c>
      <c r="H52" s="67">
        <f t="shared" si="7"/>
        <v>34.200000000000003</v>
      </c>
      <c r="I52" s="67">
        <f t="shared" si="7"/>
        <v>49.2</v>
      </c>
      <c r="J52" s="67">
        <f t="shared" si="7"/>
        <v>110.2</v>
      </c>
      <c r="K52" s="67">
        <f t="shared" si="7"/>
        <v>139.19999999999999</v>
      </c>
      <c r="L52" s="67">
        <f t="shared" si="7"/>
        <v>169.89999999999998</v>
      </c>
      <c r="M52" s="67">
        <f t="shared" si="7"/>
        <v>139.89999999999998</v>
      </c>
      <c r="N52" s="67">
        <f t="shared" si="7"/>
        <v>74.2</v>
      </c>
      <c r="O52" s="67">
        <f t="shared" si="7"/>
        <v>114.2</v>
      </c>
      <c r="P52" s="67">
        <f t="shared" si="7"/>
        <v>84.2</v>
      </c>
      <c r="Q52" s="67">
        <f t="shared" si="7"/>
        <v>104.2</v>
      </c>
      <c r="R52" s="67">
        <f t="shared" si="7"/>
        <v>114.2</v>
      </c>
      <c r="S52" s="67">
        <f t="shared" si="7"/>
        <v>104.2</v>
      </c>
      <c r="T52" s="67">
        <f t="shared" si="7"/>
        <v>104.2</v>
      </c>
      <c r="U52" s="67">
        <f t="shared" si="7"/>
        <v>114.2</v>
      </c>
      <c r="V52" s="67">
        <f t="shared" si="7"/>
        <v>114.2</v>
      </c>
      <c r="W52" s="67">
        <f t="shared" si="7"/>
        <v>104.2</v>
      </c>
      <c r="X52" s="67">
        <f t="shared" si="7"/>
        <v>114.2</v>
      </c>
      <c r="Y52" s="67">
        <f t="shared" si="7"/>
        <v>174.2</v>
      </c>
      <c r="Z52" s="67">
        <v>224.2</v>
      </c>
      <c r="AA52" s="67">
        <f t="shared" si="7"/>
        <v>214.2</v>
      </c>
      <c r="AB52" s="67">
        <f t="shared" si="7"/>
        <v>214.2</v>
      </c>
      <c r="AC52" s="67">
        <f t="shared" si="7"/>
        <v>184.2</v>
      </c>
      <c r="AD52" s="67">
        <f t="shared" si="7"/>
        <v>204.2</v>
      </c>
      <c r="AE52" s="67">
        <f t="shared" si="7"/>
        <v>134.19999999999999</v>
      </c>
      <c r="AF52" s="67">
        <f t="shared" si="7"/>
        <v>84.2</v>
      </c>
      <c r="AG52" s="68">
        <f t="shared" si="7"/>
        <v>538.1</v>
      </c>
      <c r="AH52" s="52">
        <f t="shared" si="2"/>
        <v>224.2</v>
      </c>
      <c r="AI52" s="53">
        <f t="shared" si="3"/>
        <v>34.200000000000003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28</v>
      </c>
      <c r="I53" s="50">
        <v>29</v>
      </c>
      <c r="J53" s="50">
        <v>29</v>
      </c>
      <c r="K53" s="50">
        <v>80.8</v>
      </c>
      <c r="L53" s="50">
        <v>93.1</v>
      </c>
      <c r="M53" s="50">
        <v>80.8</v>
      </c>
      <c r="N53" s="50">
        <v>73</v>
      </c>
      <c r="O53" s="50">
        <v>73</v>
      </c>
      <c r="P53" s="50">
        <v>73</v>
      </c>
      <c r="Q53" s="50">
        <v>90</v>
      </c>
      <c r="R53" s="50">
        <v>91.1</v>
      </c>
      <c r="S53" s="50">
        <v>91.1</v>
      </c>
      <c r="T53" s="50">
        <v>93</v>
      </c>
      <c r="U53" s="50">
        <v>93</v>
      </c>
      <c r="V53" s="50">
        <v>93</v>
      </c>
      <c r="W53" s="50">
        <v>93</v>
      </c>
      <c r="X53" s="50">
        <v>93</v>
      </c>
      <c r="Y53" s="50">
        <v>134</v>
      </c>
      <c r="Z53" s="50">
        <v>140.6</v>
      </c>
      <c r="AA53" s="50">
        <v>120</v>
      </c>
      <c r="AB53" s="50">
        <v>110</v>
      </c>
      <c r="AC53" s="50">
        <v>101</v>
      </c>
      <c r="AD53" s="50">
        <v>84</v>
      </c>
      <c r="AE53" s="50">
        <v>0</v>
      </c>
      <c r="AF53" s="50">
        <v>0</v>
      </c>
      <c r="AG53" s="56">
        <v>144</v>
      </c>
      <c r="AH53" s="52">
        <f t="shared" si="2"/>
        <v>140.6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0</v>
      </c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17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18.8</v>
      </c>
      <c r="I55" s="72">
        <v>23</v>
      </c>
      <c r="J55" s="72">
        <v>23</v>
      </c>
      <c r="K55" s="72">
        <v>47.6</v>
      </c>
      <c r="L55" s="72">
        <v>47.1</v>
      </c>
      <c r="M55" s="72">
        <v>33.700000000000003</v>
      </c>
      <c r="N55" s="72">
        <v>34</v>
      </c>
      <c r="O55" s="72">
        <v>34</v>
      </c>
      <c r="P55" s="72">
        <v>34</v>
      </c>
      <c r="Q55" s="72">
        <v>41</v>
      </c>
      <c r="R55" s="72">
        <v>41</v>
      </c>
      <c r="S55" s="50">
        <v>45.33</v>
      </c>
      <c r="T55" s="50">
        <v>46.5</v>
      </c>
      <c r="U55" s="50">
        <v>46.5</v>
      </c>
      <c r="V55" s="50">
        <v>46.5</v>
      </c>
      <c r="W55" s="50">
        <v>32</v>
      </c>
      <c r="X55" s="50">
        <v>43.3</v>
      </c>
      <c r="Y55" s="50">
        <v>42.7</v>
      </c>
      <c r="Z55" s="50">
        <v>46.7</v>
      </c>
      <c r="AA55" s="50">
        <v>32</v>
      </c>
      <c r="AB55" s="50">
        <v>32</v>
      </c>
      <c r="AC55" s="50">
        <v>35</v>
      </c>
      <c r="AD55" s="50">
        <v>34.799999999999997</v>
      </c>
      <c r="AE55" s="50">
        <v>47</v>
      </c>
      <c r="AF55" s="50">
        <v>16.5</v>
      </c>
      <c r="AG55" s="61">
        <v>69</v>
      </c>
      <c r="AH55" s="52">
        <f t="shared" si="2"/>
        <v>47.6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38</v>
      </c>
      <c r="C56" s="72">
        <v>38</v>
      </c>
      <c r="D56" s="72">
        <v>38</v>
      </c>
      <c r="E56" s="63">
        <v>37.1</v>
      </c>
      <c r="F56" s="63">
        <v>37.1</v>
      </c>
      <c r="G56" s="63">
        <v>37.1</v>
      </c>
      <c r="H56" s="63">
        <v>37.1</v>
      </c>
      <c r="I56" s="63">
        <v>36.799999999999997</v>
      </c>
      <c r="J56" s="63">
        <v>36.799999999999997</v>
      </c>
      <c r="K56" s="63">
        <v>36.799999999999997</v>
      </c>
      <c r="L56" s="63">
        <v>34</v>
      </c>
      <c r="M56" s="72">
        <v>34</v>
      </c>
      <c r="N56" s="72">
        <v>34</v>
      </c>
      <c r="O56" s="72">
        <v>34</v>
      </c>
      <c r="P56" s="72">
        <v>34</v>
      </c>
      <c r="Q56" s="72">
        <v>34</v>
      </c>
      <c r="R56" s="72">
        <v>34</v>
      </c>
      <c r="S56" s="50">
        <v>34</v>
      </c>
      <c r="T56" s="50">
        <v>36.799999999999997</v>
      </c>
      <c r="U56" s="50">
        <v>36.799999999999997</v>
      </c>
      <c r="V56" s="50">
        <v>36.799999999999997</v>
      </c>
      <c r="W56" s="50">
        <v>36.799999999999997</v>
      </c>
      <c r="X56" s="50">
        <v>36.799999999999997</v>
      </c>
      <c r="Y56" s="50">
        <v>36.799999999999997</v>
      </c>
      <c r="Z56" s="50">
        <v>37</v>
      </c>
      <c r="AA56" s="50">
        <v>37</v>
      </c>
      <c r="AB56" s="50">
        <v>37</v>
      </c>
      <c r="AC56" s="50">
        <v>36</v>
      </c>
      <c r="AD56" s="50">
        <v>36</v>
      </c>
      <c r="AE56" s="50">
        <v>36</v>
      </c>
      <c r="AF56" s="50">
        <v>36</v>
      </c>
      <c r="AG56" s="61">
        <v>60</v>
      </c>
      <c r="AH56" s="52">
        <f t="shared" si="2"/>
        <v>38</v>
      </c>
      <c r="AI56" s="53">
        <f t="shared" si="3"/>
        <v>34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13</v>
      </c>
      <c r="F57" s="63">
        <v>13</v>
      </c>
      <c r="G57" s="63">
        <v>13</v>
      </c>
      <c r="H57" s="63">
        <v>13</v>
      </c>
      <c r="I57" s="63">
        <v>13</v>
      </c>
      <c r="J57" s="63">
        <v>13</v>
      </c>
      <c r="K57" s="63">
        <v>13</v>
      </c>
      <c r="L57" s="63">
        <v>13.5</v>
      </c>
      <c r="M57" s="72">
        <v>13.5</v>
      </c>
      <c r="N57" s="72">
        <v>13.5</v>
      </c>
      <c r="O57" s="72">
        <v>13.5</v>
      </c>
      <c r="P57" s="72">
        <v>13.5</v>
      </c>
      <c r="Q57" s="72">
        <v>13.5</v>
      </c>
      <c r="R57" s="72">
        <v>13.5</v>
      </c>
      <c r="S57" s="72">
        <v>13.5</v>
      </c>
      <c r="T57" s="72">
        <v>0</v>
      </c>
      <c r="U57" s="72">
        <v>0</v>
      </c>
      <c r="V57" s="72">
        <v>0</v>
      </c>
      <c r="W57" s="72">
        <v>0</v>
      </c>
      <c r="X57" s="72">
        <v>0</v>
      </c>
      <c r="Y57" s="72">
        <v>25</v>
      </c>
      <c r="Z57" s="50">
        <v>29.3</v>
      </c>
      <c r="AA57" s="50">
        <v>25.3</v>
      </c>
      <c r="AB57" s="50">
        <v>25.3</v>
      </c>
      <c r="AC57" s="50">
        <v>10</v>
      </c>
      <c r="AD57" s="50">
        <v>9.8000000000000007</v>
      </c>
      <c r="AE57" s="50">
        <v>9.8000000000000007</v>
      </c>
      <c r="AF57" s="50">
        <v>13</v>
      </c>
      <c r="AG57" s="61">
        <v>30</v>
      </c>
      <c r="AH57" s="52">
        <f t="shared" si="2"/>
        <v>29.3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9</v>
      </c>
      <c r="AF59" s="72">
        <v>9</v>
      </c>
      <c r="AG59" s="61">
        <v>24</v>
      </c>
      <c r="AH59" s="52">
        <f t="shared" si="2"/>
        <v>15</v>
      </c>
      <c r="AI59" s="53">
        <f t="shared" si="3"/>
        <v>9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9.1</v>
      </c>
      <c r="C61" s="72">
        <v>9.1</v>
      </c>
      <c r="D61" s="72">
        <v>9.1</v>
      </c>
      <c r="E61" s="72">
        <v>9.1</v>
      </c>
      <c r="F61" s="72">
        <v>9.1</v>
      </c>
      <c r="G61" s="72">
        <v>9.1</v>
      </c>
      <c r="H61" s="72">
        <v>9.1</v>
      </c>
      <c r="I61" s="72">
        <v>9.1</v>
      </c>
      <c r="J61" s="72">
        <v>9.1</v>
      </c>
      <c r="K61" s="72">
        <v>9.1</v>
      </c>
      <c r="L61" s="72">
        <v>9.1</v>
      </c>
      <c r="M61" s="72">
        <v>9.1</v>
      </c>
      <c r="N61" s="72">
        <v>9.1</v>
      </c>
      <c r="O61" s="72">
        <v>9.1</v>
      </c>
      <c r="P61" s="72">
        <v>9.1</v>
      </c>
      <c r="Q61" s="72">
        <v>9.1</v>
      </c>
      <c r="R61" s="72">
        <v>9.1</v>
      </c>
      <c r="S61" s="72">
        <v>9.1</v>
      </c>
      <c r="T61" s="72">
        <v>9.1</v>
      </c>
      <c r="U61" s="72">
        <v>9.1</v>
      </c>
      <c r="V61" s="72">
        <v>9.1</v>
      </c>
      <c r="W61" s="72">
        <v>9.1</v>
      </c>
      <c r="X61" s="72">
        <v>9.1</v>
      </c>
      <c r="Y61" s="72">
        <v>9.1</v>
      </c>
      <c r="Z61" s="72">
        <v>9.1</v>
      </c>
      <c r="AA61" s="72">
        <v>9.1</v>
      </c>
      <c r="AB61" s="72">
        <v>9.1</v>
      </c>
      <c r="AC61" s="72">
        <v>9.1</v>
      </c>
      <c r="AD61" s="72">
        <v>9.1</v>
      </c>
      <c r="AE61" s="72">
        <v>9.1</v>
      </c>
      <c r="AF61" s="72">
        <v>9.1</v>
      </c>
      <c r="AG61" s="61">
        <v>14.1</v>
      </c>
      <c r="AH61" s="52">
        <f t="shared" si="2"/>
        <v>9.1</v>
      </c>
      <c r="AI61" s="53">
        <f t="shared" si="3"/>
        <v>9.1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4.8</v>
      </c>
      <c r="C62" s="72">
        <v>4.8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4.8</v>
      </c>
      <c r="N62" s="72">
        <v>4.8</v>
      </c>
      <c r="O62" s="72">
        <v>4.8</v>
      </c>
      <c r="P62" s="72">
        <v>4.8</v>
      </c>
      <c r="Q62" s="72">
        <v>4.8</v>
      </c>
      <c r="R62" s="72">
        <v>4.8</v>
      </c>
      <c r="S62" s="72">
        <v>4.8</v>
      </c>
      <c r="T62" s="72">
        <v>4.8</v>
      </c>
      <c r="U62" s="72">
        <v>4.8</v>
      </c>
      <c r="V62" s="72">
        <v>4.8</v>
      </c>
      <c r="W62" s="72">
        <v>4.8</v>
      </c>
      <c r="X62" s="72">
        <v>4.8</v>
      </c>
      <c r="Y62" s="72">
        <v>4.8</v>
      </c>
      <c r="Z62" s="72">
        <v>4.8</v>
      </c>
      <c r="AA62" s="72">
        <v>4.8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4.8</v>
      </c>
      <c r="AI62" s="53">
        <f t="shared" si="3"/>
        <v>4.8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C66" si="8">SUM(B53:B65)</f>
        <v>93.44</v>
      </c>
      <c r="C66" s="67">
        <f t="shared" si="8"/>
        <v>76.44</v>
      </c>
      <c r="D66" s="67">
        <f t="shared" ref="D66:AG66" si="9">SUM(D53:D65)</f>
        <v>76.44</v>
      </c>
      <c r="E66" s="67">
        <f t="shared" si="9"/>
        <v>88.539999999999992</v>
      </c>
      <c r="F66" s="67">
        <f t="shared" si="9"/>
        <v>88.539999999999992</v>
      </c>
      <c r="G66" s="67">
        <f t="shared" si="9"/>
        <v>88.539999999999992</v>
      </c>
      <c r="H66" s="67">
        <f t="shared" si="9"/>
        <v>135.33999999999997</v>
      </c>
      <c r="I66" s="67">
        <f t="shared" si="9"/>
        <v>140.23999999999998</v>
      </c>
      <c r="J66" s="67">
        <f t="shared" si="9"/>
        <v>140.23999999999998</v>
      </c>
      <c r="K66" s="67">
        <f t="shared" si="9"/>
        <v>216.64</v>
      </c>
      <c r="L66" s="67">
        <f t="shared" si="9"/>
        <v>226.14</v>
      </c>
      <c r="M66" s="67">
        <f t="shared" si="9"/>
        <v>200.44</v>
      </c>
      <c r="N66" s="67">
        <f t="shared" si="9"/>
        <v>192.94</v>
      </c>
      <c r="O66" s="67">
        <f t="shared" si="9"/>
        <v>192.94</v>
      </c>
      <c r="P66" s="67">
        <f t="shared" si="9"/>
        <v>192.94</v>
      </c>
      <c r="Q66" s="67">
        <f t="shared" si="9"/>
        <v>216.94</v>
      </c>
      <c r="R66" s="67">
        <f t="shared" si="9"/>
        <v>218.04</v>
      </c>
      <c r="S66" s="67">
        <f t="shared" si="9"/>
        <v>222.37</v>
      </c>
      <c r="T66" s="67">
        <f t="shared" si="9"/>
        <v>214.74</v>
      </c>
      <c r="U66" s="67">
        <f t="shared" si="9"/>
        <v>214.74</v>
      </c>
      <c r="V66" s="67">
        <f t="shared" si="9"/>
        <v>214.74</v>
      </c>
      <c r="W66" s="67">
        <f t="shared" si="9"/>
        <v>200.24</v>
      </c>
      <c r="X66" s="67">
        <f t="shared" si="9"/>
        <v>211.54000000000002</v>
      </c>
      <c r="Y66" s="67">
        <f t="shared" si="9"/>
        <v>279.94000000000005</v>
      </c>
      <c r="Z66" s="67">
        <v>291.04000000000008</v>
      </c>
      <c r="AA66" s="67">
        <f t="shared" si="9"/>
        <v>255.74</v>
      </c>
      <c r="AB66" s="67">
        <f t="shared" si="9"/>
        <v>245.74</v>
      </c>
      <c r="AC66" s="67">
        <f t="shared" si="9"/>
        <v>223.44</v>
      </c>
      <c r="AD66" s="67">
        <f t="shared" si="9"/>
        <v>206.04000000000002</v>
      </c>
      <c r="AE66" s="67">
        <f t="shared" si="9"/>
        <v>128.23999999999998</v>
      </c>
      <c r="AF66" s="67">
        <f t="shared" si="9"/>
        <v>100.94</v>
      </c>
      <c r="AG66" s="68">
        <f t="shared" si="9"/>
        <v>489.91</v>
      </c>
      <c r="AH66" s="52">
        <f t="shared" si="2"/>
        <v>291.04000000000008</v>
      </c>
      <c r="AI66" s="53">
        <f t="shared" si="3"/>
        <v>76.44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10</v>
      </c>
      <c r="R67" s="50">
        <v>10</v>
      </c>
      <c r="S67" s="50">
        <v>30</v>
      </c>
      <c r="T67" s="50">
        <v>30</v>
      </c>
      <c r="U67" s="50">
        <v>30</v>
      </c>
      <c r="V67" s="50">
        <v>50.19</v>
      </c>
      <c r="W67" s="50">
        <v>40</v>
      </c>
      <c r="X67" s="50">
        <v>20</v>
      </c>
      <c r="Y67" s="50">
        <v>30</v>
      </c>
      <c r="Z67" s="50">
        <v>40</v>
      </c>
      <c r="AA67" s="50">
        <v>14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50.19</v>
      </c>
      <c r="AI67" s="53">
        <f t="shared" si="3"/>
        <v>0</v>
      </c>
      <c r="AK67" s="54"/>
    </row>
    <row r="68" spans="1:40" x14ac:dyDescent="0.25">
      <c r="A68" s="60" t="s">
        <v>72</v>
      </c>
      <c r="B68" s="50">
        <v>0</v>
      </c>
      <c r="C68" s="50">
        <v>0</v>
      </c>
      <c r="D68" s="50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5</v>
      </c>
      <c r="R68" s="72">
        <v>5</v>
      </c>
      <c r="S68" s="72">
        <v>14</v>
      </c>
      <c r="T68" s="72">
        <v>14</v>
      </c>
      <c r="U68" s="72">
        <v>14</v>
      </c>
      <c r="V68" s="72">
        <v>19</v>
      </c>
      <c r="W68" s="72">
        <v>17.100000000000001</v>
      </c>
      <c r="X68" s="72">
        <v>7.6</v>
      </c>
      <c r="Y68" s="72">
        <v>7.5</v>
      </c>
      <c r="Z68" s="72">
        <v>17.7</v>
      </c>
      <c r="AA68" s="72">
        <v>4.9000000000000004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19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50">
        <v>0</v>
      </c>
      <c r="C69" s="50">
        <v>0</v>
      </c>
      <c r="D69" s="50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74">
        <v>2</v>
      </c>
      <c r="R69" s="74">
        <v>2</v>
      </c>
      <c r="S69" s="74">
        <v>5</v>
      </c>
      <c r="T69" s="74">
        <v>5</v>
      </c>
      <c r="U69" s="74">
        <v>5</v>
      </c>
      <c r="V69" s="74">
        <v>7</v>
      </c>
      <c r="W69" s="74">
        <v>6.3</v>
      </c>
      <c r="X69" s="74">
        <v>2.8</v>
      </c>
      <c r="Y69" s="74">
        <v>2.7</v>
      </c>
      <c r="Z69" s="74">
        <v>6.4</v>
      </c>
      <c r="AA69" s="74">
        <v>1.8</v>
      </c>
      <c r="AB69" s="74">
        <v>0</v>
      </c>
      <c r="AC69" s="74">
        <v>0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7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0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1">M67+M68+M69</f>
        <v>0</v>
      </c>
      <c r="N70" s="67">
        <f t="shared" si="11"/>
        <v>0</v>
      </c>
      <c r="O70" s="67">
        <f t="shared" si="11"/>
        <v>0</v>
      </c>
      <c r="P70" s="67">
        <f t="shared" si="11"/>
        <v>0</v>
      </c>
      <c r="Q70" s="67">
        <f t="shared" si="11"/>
        <v>17</v>
      </c>
      <c r="R70" s="67">
        <f t="shared" si="11"/>
        <v>17</v>
      </c>
      <c r="S70" s="67">
        <f t="shared" si="11"/>
        <v>49</v>
      </c>
      <c r="T70" s="67">
        <f t="shared" si="11"/>
        <v>49</v>
      </c>
      <c r="U70" s="67">
        <f t="shared" si="11"/>
        <v>49</v>
      </c>
      <c r="V70" s="67">
        <f t="shared" si="11"/>
        <v>76.19</v>
      </c>
      <c r="W70" s="67">
        <f t="shared" si="11"/>
        <v>63.4</v>
      </c>
      <c r="X70" s="67">
        <f t="shared" si="11"/>
        <v>30.400000000000002</v>
      </c>
      <c r="Y70" s="67">
        <f t="shared" si="11"/>
        <v>40.200000000000003</v>
      </c>
      <c r="Z70" s="67">
        <v>64.100000000000009</v>
      </c>
      <c r="AA70" s="67">
        <f t="shared" si="11"/>
        <v>20.7</v>
      </c>
      <c r="AB70" s="67">
        <f t="shared" si="11"/>
        <v>0</v>
      </c>
      <c r="AC70" s="67">
        <f t="shared" si="11"/>
        <v>0</v>
      </c>
      <c r="AD70" s="67">
        <f t="shared" si="11"/>
        <v>0</v>
      </c>
      <c r="AE70" s="67">
        <f t="shared" si="11"/>
        <v>0</v>
      </c>
      <c r="AF70" s="67">
        <f t="shared" si="11"/>
        <v>0</v>
      </c>
      <c r="AG70" s="68">
        <f>SUM(AG67:AG69)</f>
        <v>106</v>
      </c>
      <c r="AH70" s="52">
        <f t="shared" si="2"/>
        <v>76.19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72</v>
      </c>
      <c r="C71" s="50">
        <v>68.7</v>
      </c>
      <c r="D71" s="50">
        <v>68.3</v>
      </c>
      <c r="E71" s="50">
        <v>59.2</v>
      </c>
      <c r="F71" s="50">
        <v>66.5</v>
      </c>
      <c r="G71" s="50">
        <v>58.3</v>
      </c>
      <c r="H71" s="50">
        <v>56</v>
      </c>
      <c r="I71" s="50">
        <v>68.7</v>
      </c>
      <c r="J71" s="50">
        <v>66</v>
      </c>
      <c r="K71" s="50">
        <v>62.5</v>
      </c>
      <c r="L71" s="50">
        <v>61.6</v>
      </c>
      <c r="M71" s="50">
        <v>60.6</v>
      </c>
      <c r="N71" s="50">
        <v>60.9</v>
      </c>
      <c r="O71" s="50">
        <v>65.400000000000006</v>
      </c>
      <c r="P71" s="50">
        <v>69</v>
      </c>
      <c r="Q71" s="50">
        <v>65</v>
      </c>
      <c r="R71" s="50">
        <v>70</v>
      </c>
      <c r="S71" s="50">
        <v>68.7</v>
      </c>
      <c r="T71" s="50">
        <v>67.8</v>
      </c>
      <c r="U71" s="50">
        <v>69</v>
      </c>
      <c r="V71" s="50">
        <v>67.7</v>
      </c>
      <c r="W71" s="50">
        <v>68.099999999999994</v>
      </c>
      <c r="X71" s="50">
        <v>65.599999999999994</v>
      </c>
      <c r="Y71" s="50">
        <v>68</v>
      </c>
      <c r="Z71" s="50">
        <v>75.099999999999994</v>
      </c>
      <c r="AA71" s="50">
        <v>68.2</v>
      </c>
      <c r="AB71" s="50">
        <v>68.2</v>
      </c>
      <c r="AC71" s="50">
        <v>62.1</v>
      </c>
      <c r="AD71" s="50">
        <v>62</v>
      </c>
      <c r="AE71" s="50">
        <v>56.7</v>
      </c>
      <c r="AF71" s="50">
        <v>54</v>
      </c>
      <c r="AG71" s="56"/>
      <c r="AH71" s="52">
        <f t="shared" si="2"/>
        <v>75.099999999999994</v>
      </c>
      <c r="AI71" s="53">
        <f t="shared" si="3"/>
        <v>54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317.89999999999998</v>
      </c>
      <c r="C73" s="72">
        <v>345</v>
      </c>
      <c r="D73" s="72">
        <v>317.89999999999998</v>
      </c>
      <c r="E73" s="72">
        <v>294</v>
      </c>
      <c r="F73" s="72">
        <v>307.3</v>
      </c>
      <c r="G73" s="72">
        <v>333.3</v>
      </c>
      <c r="H73" s="72">
        <v>310.39999999999998</v>
      </c>
      <c r="I73" s="72">
        <v>354</v>
      </c>
      <c r="J73" s="72">
        <v>331.2</v>
      </c>
      <c r="K73" s="72">
        <v>302</v>
      </c>
      <c r="L73" s="72">
        <v>289</v>
      </c>
      <c r="M73" s="72">
        <v>313.7</v>
      </c>
      <c r="N73" s="72">
        <v>332</v>
      </c>
      <c r="O73" s="72">
        <v>365</v>
      </c>
      <c r="P73" s="72">
        <v>366</v>
      </c>
      <c r="Q73" s="72">
        <v>338</v>
      </c>
      <c r="R73" s="72">
        <v>344</v>
      </c>
      <c r="S73" s="72">
        <v>367</v>
      </c>
      <c r="T73" s="72">
        <v>358.6</v>
      </c>
      <c r="U73" s="72">
        <v>379.8</v>
      </c>
      <c r="V73" s="72">
        <v>354.6</v>
      </c>
      <c r="W73" s="72">
        <v>333.6</v>
      </c>
      <c r="X73" s="72">
        <v>329.6</v>
      </c>
      <c r="Y73" s="72">
        <v>358.3</v>
      </c>
      <c r="Z73" s="72">
        <v>279</v>
      </c>
      <c r="AA73" s="72">
        <v>290</v>
      </c>
      <c r="AB73" s="72">
        <v>293</v>
      </c>
      <c r="AC73" s="72">
        <v>312</v>
      </c>
      <c r="AD73" s="72">
        <v>312</v>
      </c>
      <c r="AE73" s="72">
        <v>335</v>
      </c>
      <c r="AF73" s="72">
        <v>300</v>
      </c>
      <c r="AG73" s="82"/>
      <c r="AH73" s="52">
        <f t="shared" si="2"/>
        <v>379.8</v>
      </c>
      <c r="AI73" s="53">
        <f t="shared" si="3"/>
        <v>279</v>
      </c>
      <c r="AK73" s="54"/>
    </row>
    <row r="74" spans="1:40" x14ac:dyDescent="0.25">
      <c r="A74" s="60" t="s">
        <v>78</v>
      </c>
      <c r="B74" s="72">
        <v>61.3</v>
      </c>
      <c r="C74" s="72">
        <v>62</v>
      </c>
      <c r="D74" s="72">
        <v>61.7</v>
      </c>
      <c r="E74" s="83">
        <v>61.8</v>
      </c>
      <c r="F74" s="83">
        <v>62.3</v>
      </c>
      <c r="G74" s="83">
        <v>59.9</v>
      </c>
      <c r="H74" s="83">
        <v>62.1</v>
      </c>
      <c r="I74" s="83">
        <v>65.900000000000006</v>
      </c>
      <c r="J74" s="83">
        <v>68.2</v>
      </c>
      <c r="K74" s="83">
        <v>67.599999999999994</v>
      </c>
      <c r="L74" s="83">
        <v>61.2</v>
      </c>
      <c r="M74" s="83">
        <v>45.6</v>
      </c>
      <c r="N74" s="83">
        <v>36.5</v>
      </c>
      <c r="O74" s="83">
        <v>36.5</v>
      </c>
      <c r="P74" s="83">
        <v>36.5</v>
      </c>
      <c r="Q74" s="83">
        <v>43.5</v>
      </c>
      <c r="R74" s="83">
        <v>47</v>
      </c>
      <c r="S74" s="83">
        <v>48.6</v>
      </c>
      <c r="T74" s="83">
        <v>47.9</v>
      </c>
      <c r="U74" s="83">
        <v>54.2</v>
      </c>
      <c r="V74" s="83">
        <v>61</v>
      </c>
      <c r="W74" s="83">
        <v>62.5</v>
      </c>
      <c r="X74" s="83">
        <v>64.2</v>
      </c>
      <c r="Y74" s="72">
        <v>65.5</v>
      </c>
      <c r="Z74" s="72">
        <v>65.5</v>
      </c>
      <c r="AA74" s="72">
        <v>61.6</v>
      </c>
      <c r="AB74" s="72">
        <v>61.6</v>
      </c>
      <c r="AC74" s="72">
        <v>57.6</v>
      </c>
      <c r="AD74" s="72">
        <v>57</v>
      </c>
      <c r="AE74" s="72">
        <v>53</v>
      </c>
      <c r="AF74" s="72">
        <v>52</v>
      </c>
      <c r="AG74" s="82"/>
      <c r="AH74" s="52">
        <f t="shared" si="2"/>
        <v>68.2</v>
      </c>
      <c r="AI74" s="53">
        <f t="shared" si="3"/>
        <v>36.5</v>
      </c>
      <c r="AK74" s="54"/>
    </row>
    <row r="75" spans="1:40" x14ac:dyDescent="0.25">
      <c r="A75" s="60" t="s">
        <v>79</v>
      </c>
      <c r="B75" s="50">
        <v>0</v>
      </c>
      <c r="C75" s="50">
        <v>81.2</v>
      </c>
      <c r="D75" s="50">
        <v>85.4</v>
      </c>
      <c r="E75" s="50">
        <v>5</v>
      </c>
      <c r="F75" s="50">
        <v>8.6999999999999993</v>
      </c>
      <c r="G75" s="50">
        <v>13.7</v>
      </c>
      <c r="H75" s="50">
        <v>27.8</v>
      </c>
      <c r="I75" s="50">
        <v>41.3</v>
      </c>
      <c r="J75" s="50">
        <v>72.400000000000006</v>
      </c>
      <c r="K75" s="50">
        <v>78</v>
      </c>
      <c r="L75" s="50">
        <v>66.5</v>
      </c>
      <c r="M75" s="50">
        <v>71.400000000000006</v>
      </c>
      <c r="N75" s="50">
        <v>0</v>
      </c>
      <c r="O75" s="50">
        <v>72</v>
      </c>
      <c r="P75" s="50">
        <v>76</v>
      </c>
      <c r="Q75" s="50">
        <v>86.4</v>
      </c>
      <c r="R75" s="50">
        <v>80</v>
      </c>
      <c r="S75" s="50">
        <v>80.8</v>
      </c>
      <c r="T75" s="50">
        <v>82.9</v>
      </c>
      <c r="U75" s="50">
        <v>85</v>
      </c>
      <c r="V75" s="50">
        <v>79.900000000000006</v>
      </c>
      <c r="W75" s="50">
        <v>75</v>
      </c>
      <c r="X75" s="50">
        <v>73</v>
      </c>
      <c r="Y75" s="50">
        <v>77.099999999999994</v>
      </c>
      <c r="Z75" s="50">
        <v>63.3</v>
      </c>
      <c r="AA75" s="50">
        <v>56.5</v>
      </c>
      <c r="AB75" s="50">
        <v>56.5</v>
      </c>
      <c r="AC75" s="50">
        <v>94</v>
      </c>
      <c r="AD75" s="50">
        <v>92</v>
      </c>
      <c r="AE75" s="50">
        <v>90.3</v>
      </c>
      <c r="AF75" s="50">
        <v>68</v>
      </c>
      <c r="AG75" s="82"/>
      <c r="AH75" s="52">
        <f t="shared" ref="AH75:AH117" si="12">MAX(B75:AF75)</f>
        <v>94</v>
      </c>
      <c r="AI75" s="53">
        <f t="shared" ref="AI75:AI117" si="13">MIN(B75:AF75)</f>
        <v>0</v>
      </c>
      <c r="AK75" s="54"/>
    </row>
    <row r="76" spans="1:40" x14ac:dyDescent="0.25">
      <c r="A76" s="60" t="s">
        <v>80</v>
      </c>
      <c r="B76" s="84">
        <v>5</v>
      </c>
      <c r="C76" s="84">
        <v>5</v>
      </c>
      <c r="D76" s="84">
        <v>5</v>
      </c>
      <c r="E76" s="84">
        <v>5</v>
      </c>
      <c r="F76" s="84">
        <v>0</v>
      </c>
      <c r="G76" s="84">
        <v>0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2"/>
        <v>5</v>
      </c>
      <c r="AI76" s="53">
        <f t="shared" si="13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2"/>
        <v>0</v>
      </c>
      <c r="AI77" s="53">
        <f t="shared" si="13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2"/>
        <v>0</v>
      </c>
      <c r="AI78" s="53">
        <f t="shared" si="1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2"/>
        <v>0</v>
      </c>
      <c r="AI79" s="53">
        <f t="shared" si="13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2"/>
        <v>0</v>
      </c>
      <c r="AI80" s="53">
        <f t="shared" si="13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2"/>
        <v>0</v>
      </c>
      <c r="AI81" s="53">
        <f t="shared" si="1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14">SUMIF(B71:B81,"&gt;0")</f>
        <v>456.2</v>
      </c>
      <c r="C82" s="67">
        <f t="shared" ref="C82:AF82" si="15">SUMIF(C71:C81,"&gt;0")</f>
        <v>561.9</v>
      </c>
      <c r="D82" s="67">
        <f t="shared" si="15"/>
        <v>538.29999999999995</v>
      </c>
      <c r="E82" s="67">
        <f t="shared" si="15"/>
        <v>425</v>
      </c>
      <c r="F82" s="67">
        <f t="shared" si="15"/>
        <v>444.8</v>
      </c>
      <c r="G82" s="67">
        <f t="shared" si="15"/>
        <v>465.2</v>
      </c>
      <c r="H82" s="67">
        <f t="shared" si="15"/>
        <v>461.3</v>
      </c>
      <c r="I82" s="67">
        <f t="shared" si="15"/>
        <v>534.9</v>
      </c>
      <c r="J82" s="67">
        <f t="shared" si="15"/>
        <v>542.79999999999995</v>
      </c>
      <c r="K82" s="67">
        <f t="shared" si="15"/>
        <v>515.1</v>
      </c>
      <c r="L82" s="67">
        <f t="shared" si="15"/>
        <v>483.3</v>
      </c>
      <c r="M82" s="67">
        <f t="shared" si="15"/>
        <v>496.30000000000007</v>
      </c>
      <c r="N82" s="67">
        <f t="shared" si="15"/>
        <v>434.4</v>
      </c>
      <c r="O82" s="67">
        <f t="shared" si="15"/>
        <v>543.9</v>
      </c>
      <c r="P82" s="67">
        <f t="shared" si="15"/>
        <v>552.5</v>
      </c>
      <c r="Q82" s="67">
        <f t="shared" si="15"/>
        <v>537.9</v>
      </c>
      <c r="R82" s="67">
        <f t="shared" si="15"/>
        <v>546</v>
      </c>
      <c r="S82" s="67">
        <f t="shared" si="15"/>
        <v>570.1</v>
      </c>
      <c r="T82" s="67">
        <f t="shared" si="15"/>
        <v>562.20000000000005</v>
      </c>
      <c r="U82" s="67">
        <f t="shared" si="15"/>
        <v>593</v>
      </c>
      <c r="V82" s="67">
        <f t="shared" si="15"/>
        <v>568.20000000000005</v>
      </c>
      <c r="W82" s="67">
        <f t="shared" si="15"/>
        <v>544.20000000000005</v>
      </c>
      <c r="X82" s="67">
        <f t="shared" si="15"/>
        <v>537.40000000000009</v>
      </c>
      <c r="Y82" s="67">
        <f t="shared" si="15"/>
        <v>573.9</v>
      </c>
      <c r="Z82" s="67">
        <v>487.90000000000003</v>
      </c>
      <c r="AA82" s="67">
        <f t="shared" si="15"/>
        <v>481.3</v>
      </c>
      <c r="AB82" s="67">
        <f t="shared" si="15"/>
        <v>479.3</v>
      </c>
      <c r="AC82" s="67">
        <f t="shared" si="15"/>
        <v>525.70000000000005</v>
      </c>
      <c r="AD82" s="67">
        <f t="shared" si="15"/>
        <v>523</v>
      </c>
      <c r="AE82" s="67">
        <f t="shared" si="15"/>
        <v>535</v>
      </c>
      <c r="AF82" s="67">
        <f t="shared" si="15"/>
        <v>474</v>
      </c>
      <c r="AG82" s="95">
        <f>SUM(AG71:AG81)</f>
        <v>0</v>
      </c>
      <c r="AH82" s="52">
        <f t="shared" si="12"/>
        <v>593</v>
      </c>
      <c r="AI82" s="53">
        <f t="shared" si="13"/>
        <v>425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2"/>
        <v>0</v>
      </c>
      <c r="AI83" s="53">
        <f t="shared" si="13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2"/>
        <v>0</v>
      </c>
      <c r="AI84" s="53">
        <f t="shared" si="13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2"/>
        <v>0</v>
      </c>
      <c r="AI85" s="53">
        <f t="shared" si="13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2"/>
        <v>0</v>
      </c>
      <c r="AI86" s="53">
        <f t="shared" si="1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16">B48+B52+B70+B66+B82+B86</f>
        <v>1004.54</v>
      </c>
      <c r="C87" s="102">
        <f t="shared" ref="C87:AG87" si="17">C48+C52+C70+C66+C82+C86</f>
        <v>1073.24</v>
      </c>
      <c r="D87" s="102">
        <f t="shared" si="17"/>
        <v>1010.9399999999999</v>
      </c>
      <c r="E87" s="102">
        <f t="shared" si="17"/>
        <v>909.74</v>
      </c>
      <c r="F87" s="102">
        <f t="shared" si="17"/>
        <v>929.54</v>
      </c>
      <c r="G87" s="102">
        <f t="shared" si="17"/>
        <v>943.94</v>
      </c>
      <c r="H87" s="102">
        <f t="shared" si="17"/>
        <v>992.83999999999992</v>
      </c>
      <c r="I87" s="102">
        <f t="shared" si="17"/>
        <v>1086.3399999999999</v>
      </c>
      <c r="J87" s="102">
        <f t="shared" si="17"/>
        <v>1155.2399999999998</v>
      </c>
      <c r="K87" s="102">
        <f t="shared" si="17"/>
        <v>1232.94</v>
      </c>
      <c r="L87" s="102">
        <f t="shared" si="17"/>
        <v>1241.3399999999999</v>
      </c>
      <c r="M87" s="102">
        <f t="shared" si="17"/>
        <v>1198.6399999999999</v>
      </c>
      <c r="N87" s="102">
        <f t="shared" si="17"/>
        <v>1063.54</v>
      </c>
      <c r="O87" s="102">
        <f t="shared" si="17"/>
        <v>1207.04</v>
      </c>
      <c r="P87" s="102">
        <f t="shared" si="17"/>
        <v>1185.6399999999999</v>
      </c>
      <c r="Q87" s="102">
        <f t="shared" si="17"/>
        <v>1232.04</v>
      </c>
      <c r="R87" s="102">
        <f t="shared" si="17"/>
        <v>1251.24</v>
      </c>
      <c r="S87" s="102">
        <f t="shared" si="17"/>
        <v>1295.27</v>
      </c>
      <c r="T87" s="102">
        <f t="shared" si="17"/>
        <v>1279.74</v>
      </c>
      <c r="U87" s="102">
        <f t="shared" si="17"/>
        <v>1320.54</v>
      </c>
      <c r="V87" s="102">
        <f t="shared" si="17"/>
        <v>1322.93</v>
      </c>
      <c r="W87" s="102">
        <f t="shared" si="17"/>
        <v>1261.6400000000001</v>
      </c>
      <c r="X87" s="102">
        <f t="shared" si="17"/>
        <v>1243.1400000000001</v>
      </c>
      <c r="Y87" s="102">
        <f t="shared" si="17"/>
        <v>1417.8400000000001</v>
      </c>
      <c r="Z87" s="102">
        <v>1416.8400000000001</v>
      </c>
      <c r="AA87" s="102">
        <f t="shared" si="17"/>
        <v>1321.54</v>
      </c>
      <c r="AB87" s="102">
        <f t="shared" si="17"/>
        <v>1290.1400000000001</v>
      </c>
      <c r="AC87" s="102">
        <f t="shared" si="17"/>
        <v>1284.24</v>
      </c>
      <c r="AD87" s="102">
        <f t="shared" si="17"/>
        <v>1284.1400000000001</v>
      </c>
      <c r="AE87" s="102">
        <f t="shared" si="17"/>
        <v>1148.3400000000001</v>
      </c>
      <c r="AF87" s="102">
        <f t="shared" si="17"/>
        <v>1010.04</v>
      </c>
      <c r="AG87" s="68">
        <f t="shared" si="17"/>
        <v>2065.09</v>
      </c>
      <c r="AH87" s="52">
        <f>MAX(B87:AF87)</f>
        <v>1417.8400000000001</v>
      </c>
      <c r="AI87" s="53">
        <f>MIN(B87:AF87)</f>
        <v>909.74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>
        <f>50+80</f>
        <v>130</v>
      </c>
      <c r="C88" s="104">
        <v>50</v>
      </c>
      <c r="D88" s="104">
        <v>50</v>
      </c>
      <c r="E88" s="104">
        <v>100</v>
      </c>
      <c r="F88" s="104">
        <v>100</v>
      </c>
      <c r="G88" s="104">
        <v>100</v>
      </c>
      <c r="H88" s="104">
        <v>100</v>
      </c>
      <c r="I88" s="104">
        <v>100</v>
      </c>
      <c r="J88" s="104">
        <v>100</v>
      </c>
      <c r="K88" s="104">
        <v>100</v>
      </c>
      <c r="L88" s="104">
        <v>150</v>
      </c>
      <c r="M88" s="104">
        <v>150</v>
      </c>
      <c r="N88" s="104">
        <v>150</v>
      </c>
      <c r="O88" s="104">
        <v>120</v>
      </c>
      <c r="P88" s="104">
        <v>100</v>
      </c>
      <c r="Q88" s="104"/>
      <c r="R88" s="104"/>
      <c r="S88" s="104"/>
      <c r="T88" s="104"/>
      <c r="U88" s="104"/>
      <c r="V88" s="104"/>
      <c r="W88" s="104"/>
      <c r="X88" s="104"/>
      <c r="Y88" s="104"/>
      <c r="Z88" s="104">
        <v>200</v>
      </c>
      <c r="AA88" s="104"/>
      <c r="AB88" s="104"/>
      <c r="AC88" s="104"/>
      <c r="AD88" s="104"/>
      <c r="AE88" s="104"/>
      <c r="AF88" s="104"/>
      <c r="AG88" s="95"/>
      <c r="AH88" s="52">
        <f t="shared" si="12"/>
        <v>200</v>
      </c>
      <c r="AI88" s="53">
        <f t="shared" si="13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18">B87+B88</f>
        <v>1134.54</v>
      </c>
      <c r="C89" s="102">
        <f t="shared" ref="C89:AF89" si="19">C87+C88</f>
        <v>1123.24</v>
      </c>
      <c r="D89" s="102">
        <f t="shared" si="19"/>
        <v>1060.94</v>
      </c>
      <c r="E89" s="102">
        <f t="shared" si="19"/>
        <v>1009.74</v>
      </c>
      <c r="F89" s="102">
        <f t="shared" si="19"/>
        <v>1029.54</v>
      </c>
      <c r="G89" s="102">
        <f t="shared" si="19"/>
        <v>1043.94</v>
      </c>
      <c r="H89" s="102">
        <f t="shared" si="19"/>
        <v>1092.8399999999999</v>
      </c>
      <c r="I89" s="102">
        <f t="shared" si="19"/>
        <v>1186.3399999999999</v>
      </c>
      <c r="J89" s="102">
        <f t="shared" si="19"/>
        <v>1255.2399999999998</v>
      </c>
      <c r="K89" s="102">
        <f t="shared" si="19"/>
        <v>1332.94</v>
      </c>
      <c r="L89" s="102">
        <f t="shared" si="19"/>
        <v>1391.34</v>
      </c>
      <c r="M89" s="102">
        <f t="shared" si="19"/>
        <v>1348.6399999999999</v>
      </c>
      <c r="N89" s="102">
        <f t="shared" si="19"/>
        <v>1213.54</v>
      </c>
      <c r="O89" s="102">
        <f t="shared" si="19"/>
        <v>1327.04</v>
      </c>
      <c r="P89" s="102">
        <f t="shared" si="19"/>
        <v>1285.6399999999999</v>
      </c>
      <c r="Q89" s="102">
        <f t="shared" si="19"/>
        <v>1232.04</v>
      </c>
      <c r="R89" s="102">
        <f t="shared" si="19"/>
        <v>1251.24</v>
      </c>
      <c r="S89" s="102">
        <f t="shared" si="19"/>
        <v>1295.27</v>
      </c>
      <c r="T89" s="102">
        <f t="shared" si="19"/>
        <v>1279.74</v>
      </c>
      <c r="U89" s="102">
        <f t="shared" si="19"/>
        <v>1320.54</v>
      </c>
      <c r="V89" s="102">
        <f t="shared" si="19"/>
        <v>1322.93</v>
      </c>
      <c r="W89" s="102">
        <f t="shared" si="19"/>
        <v>1261.6400000000001</v>
      </c>
      <c r="X89" s="102">
        <f t="shared" si="19"/>
        <v>1243.1400000000001</v>
      </c>
      <c r="Y89" s="102">
        <f t="shared" si="19"/>
        <v>1417.8400000000001</v>
      </c>
      <c r="Z89" s="102">
        <v>1616.8400000000001</v>
      </c>
      <c r="AA89" s="102">
        <f t="shared" si="19"/>
        <v>1321.54</v>
      </c>
      <c r="AB89" s="102">
        <f t="shared" si="19"/>
        <v>1290.1400000000001</v>
      </c>
      <c r="AC89" s="102">
        <f t="shared" si="19"/>
        <v>1284.24</v>
      </c>
      <c r="AD89" s="102">
        <f t="shared" si="19"/>
        <v>1284.1400000000001</v>
      </c>
      <c r="AE89" s="102">
        <f t="shared" si="19"/>
        <v>1148.3400000000001</v>
      </c>
      <c r="AF89" s="102">
        <f t="shared" si="19"/>
        <v>1010.04</v>
      </c>
      <c r="AG89" s="95">
        <f>AG86+AG82+AG70+AG66+AG48+AG88</f>
        <v>1526.99</v>
      </c>
      <c r="AH89" s="52">
        <f t="shared" si="12"/>
        <v>1616.8400000000001</v>
      </c>
      <c r="AI89" s="53">
        <f t="shared" si="13"/>
        <v>1009.74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20">B89-B97</f>
        <v>1134.54</v>
      </c>
      <c r="C90" s="102">
        <f t="shared" ref="C90:AF90" si="21">C89-C97</f>
        <v>1123.24</v>
      </c>
      <c r="D90" s="102">
        <f t="shared" si="21"/>
        <v>1060.94</v>
      </c>
      <c r="E90" s="102">
        <f t="shared" si="21"/>
        <v>1009.74</v>
      </c>
      <c r="F90" s="102">
        <f t="shared" si="21"/>
        <v>1029.54</v>
      </c>
      <c r="G90" s="102">
        <f t="shared" si="21"/>
        <v>1043.94</v>
      </c>
      <c r="H90" s="102">
        <f t="shared" si="21"/>
        <v>1092.8399999999999</v>
      </c>
      <c r="I90" s="102">
        <f t="shared" si="21"/>
        <v>1186.3399999999999</v>
      </c>
      <c r="J90" s="102">
        <f t="shared" si="21"/>
        <v>1255.2399999999998</v>
      </c>
      <c r="K90" s="102">
        <f t="shared" si="21"/>
        <v>1332.94</v>
      </c>
      <c r="L90" s="102">
        <f t="shared" si="21"/>
        <v>1391.34</v>
      </c>
      <c r="M90" s="102">
        <f t="shared" si="21"/>
        <v>1348.6399999999999</v>
      </c>
      <c r="N90" s="102">
        <f t="shared" si="21"/>
        <v>1213.54</v>
      </c>
      <c r="O90" s="102">
        <f t="shared" si="21"/>
        <v>1327.04</v>
      </c>
      <c r="P90" s="102">
        <f t="shared" si="21"/>
        <v>1285.6399999999999</v>
      </c>
      <c r="Q90" s="102">
        <f t="shared" si="21"/>
        <v>1232.04</v>
      </c>
      <c r="R90" s="102">
        <f t="shared" si="21"/>
        <v>1251.24</v>
      </c>
      <c r="S90" s="102">
        <f t="shared" si="21"/>
        <v>1295.27</v>
      </c>
      <c r="T90" s="102">
        <f t="shared" si="21"/>
        <v>1279.74</v>
      </c>
      <c r="U90" s="102">
        <f t="shared" si="21"/>
        <v>1320.54</v>
      </c>
      <c r="V90" s="102">
        <f t="shared" si="21"/>
        <v>1322.93</v>
      </c>
      <c r="W90" s="102">
        <f t="shared" si="21"/>
        <v>1261.6400000000001</v>
      </c>
      <c r="X90" s="102">
        <f t="shared" si="21"/>
        <v>1243.1400000000001</v>
      </c>
      <c r="Y90" s="102">
        <f t="shared" si="21"/>
        <v>1417.8400000000001</v>
      </c>
      <c r="Z90" s="102">
        <v>1616.8400000000001</v>
      </c>
      <c r="AA90" s="102">
        <f t="shared" si="21"/>
        <v>1321.54</v>
      </c>
      <c r="AB90" s="102">
        <f t="shared" si="21"/>
        <v>1290.1400000000001</v>
      </c>
      <c r="AC90" s="102">
        <f t="shared" si="21"/>
        <v>1284.24</v>
      </c>
      <c r="AD90" s="102">
        <f t="shared" si="21"/>
        <v>1284.1400000000001</v>
      </c>
      <c r="AE90" s="102">
        <f t="shared" si="21"/>
        <v>1148.3400000000001</v>
      </c>
      <c r="AF90" s="102">
        <f t="shared" si="21"/>
        <v>1010.04</v>
      </c>
      <c r="AG90" s="95"/>
      <c r="AH90" s="52">
        <f t="shared" si="12"/>
        <v>1616.8400000000001</v>
      </c>
      <c r="AI90" s="53">
        <f t="shared" si="13"/>
        <v>1009.74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2"/>
        <v>0</v>
      </c>
      <c r="AI91" s="53">
        <f t="shared" si="1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2"/>
        <v>0</v>
      </c>
      <c r="AI92" s="53">
        <f t="shared" si="1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2"/>
        <v>0</v>
      </c>
      <c r="AI93" s="53">
        <f t="shared" si="1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2"/>
        <v>0</v>
      </c>
      <c r="AI94" s="53">
        <f t="shared" si="1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2"/>
        <v>0</v>
      </c>
      <c r="AI95" s="53">
        <f t="shared" si="1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2"/>
        <v>0</v>
      </c>
      <c r="AI96" s="53">
        <f t="shared" si="1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12"/>
        <v>0</v>
      </c>
      <c r="AI97" s="53">
        <f t="shared" si="13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" si="22">B82-B97</f>
        <v>456.2</v>
      </c>
      <c r="C98" s="67">
        <f t="shared" ref="C98:AF98" si="23">C82-C97</f>
        <v>561.9</v>
      </c>
      <c r="D98" s="67">
        <f t="shared" si="23"/>
        <v>538.29999999999995</v>
      </c>
      <c r="E98" s="67">
        <f t="shared" si="23"/>
        <v>425</v>
      </c>
      <c r="F98" s="67">
        <f t="shared" si="23"/>
        <v>444.8</v>
      </c>
      <c r="G98" s="67">
        <f t="shared" si="23"/>
        <v>465.2</v>
      </c>
      <c r="H98" s="67">
        <f t="shared" si="23"/>
        <v>461.3</v>
      </c>
      <c r="I98" s="67">
        <f t="shared" si="23"/>
        <v>534.9</v>
      </c>
      <c r="J98" s="67">
        <f t="shared" si="23"/>
        <v>542.79999999999995</v>
      </c>
      <c r="K98" s="67">
        <f t="shared" si="23"/>
        <v>515.1</v>
      </c>
      <c r="L98" s="67">
        <f t="shared" si="23"/>
        <v>483.3</v>
      </c>
      <c r="M98" s="67">
        <f t="shared" si="23"/>
        <v>496.30000000000007</v>
      </c>
      <c r="N98" s="67">
        <f t="shared" si="23"/>
        <v>434.4</v>
      </c>
      <c r="O98" s="67">
        <f t="shared" si="23"/>
        <v>543.9</v>
      </c>
      <c r="P98" s="67">
        <f t="shared" si="23"/>
        <v>552.5</v>
      </c>
      <c r="Q98" s="67">
        <f t="shared" si="23"/>
        <v>537.9</v>
      </c>
      <c r="R98" s="67">
        <f t="shared" si="23"/>
        <v>546</v>
      </c>
      <c r="S98" s="67">
        <f t="shared" si="23"/>
        <v>570.1</v>
      </c>
      <c r="T98" s="67">
        <f t="shared" si="23"/>
        <v>562.20000000000005</v>
      </c>
      <c r="U98" s="67">
        <f t="shared" si="23"/>
        <v>593</v>
      </c>
      <c r="V98" s="67">
        <f t="shared" si="23"/>
        <v>568.20000000000005</v>
      </c>
      <c r="W98" s="67">
        <f t="shared" si="23"/>
        <v>544.20000000000005</v>
      </c>
      <c r="X98" s="67">
        <f t="shared" si="23"/>
        <v>537.40000000000009</v>
      </c>
      <c r="Y98" s="67">
        <f t="shared" si="23"/>
        <v>573.9</v>
      </c>
      <c r="Z98" s="67">
        <v>487.90000000000003</v>
      </c>
      <c r="AA98" s="67">
        <f t="shared" si="23"/>
        <v>481.3</v>
      </c>
      <c r="AB98" s="67">
        <f t="shared" si="23"/>
        <v>479.3</v>
      </c>
      <c r="AC98" s="67">
        <f t="shared" si="23"/>
        <v>525.70000000000005</v>
      </c>
      <c r="AD98" s="67">
        <f t="shared" si="23"/>
        <v>523</v>
      </c>
      <c r="AE98" s="67">
        <f t="shared" si="23"/>
        <v>535</v>
      </c>
      <c r="AF98" s="67">
        <f t="shared" si="23"/>
        <v>474</v>
      </c>
      <c r="AG98" s="95"/>
      <c r="AH98" s="52">
        <f t="shared" si="12"/>
        <v>593</v>
      </c>
      <c r="AI98" s="53">
        <f t="shared" si="13"/>
        <v>425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50.03</v>
      </c>
      <c r="C99" s="108">
        <v>49.95</v>
      </c>
      <c r="D99" s="108">
        <v>49.94</v>
      </c>
      <c r="E99" s="108">
        <v>49.976999999999997</v>
      </c>
      <c r="F99" s="108">
        <v>49.988999999999997</v>
      </c>
      <c r="G99" s="108">
        <v>49.98</v>
      </c>
      <c r="H99" s="108">
        <v>49.838000000000001</v>
      </c>
      <c r="I99" s="108">
        <v>49.929000000000002</v>
      </c>
      <c r="J99" s="108">
        <v>49.981000000000002</v>
      </c>
      <c r="K99" s="108">
        <v>50.012</v>
      </c>
      <c r="L99" s="108">
        <v>50.021000000000001</v>
      </c>
      <c r="M99" s="108">
        <v>49.978999999999999</v>
      </c>
      <c r="N99" s="108">
        <v>49.976999999999997</v>
      </c>
      <c r="O99" s="108">
        <v>49.976999999999997</v>
      </c>
      <c r="P99" s="108">
        <v>49.951999999999998</v>
      </c>
      <c r="Q99" s="108">
        <v>49.881999999999998</v>
      </c>
      <c r="R99" s="108">
        <v>49.962000000000003</v>
      </c>
      <c r="S99" s="108">
        <v>50.17</v>
      </c>
      <c r="T99" s="108">
        <v>50.073</v>
      </c>
      <c r="U99" s="108">
        <v>50.073</v>
      </c>
      <c r="V99" s="108">
        <v>49.970999999999997</v>
      </c>
      <c r="W99" s="108">
        <v>50.009</v>
      </c>
      <c r="X99" s="108">
        <v>49.844000000000001</v>
      </c>
      <c r="Y99" s="108">
        <v>50.076000000000001</v>
      </c>
      <c r="Z99" s="108">
        <v>49.908999999999999</v>
      </c>
      <c r="AA99" s="108">
        <v>50.045000000000002</v>
      </c>
      <c r="AB99" s="108">
        <v>50.045000000000002</v>
      </c>
      <c r="AC99" s="108">
        <v>50.029000000000003</v>
      </c>
      <c r="AD99" s="108">
        <v>49.905999999999999</v>
      </c>
      <c r="AE99" s="108">
        <v>50.094999999999999</v>
      </c>
      <c r="AF99" s="108">
        <v>49.936999999999998</v>
      </c>
      <c r="AG99" s="109"/>
      <c r="AH99" s="52">
        <f t="shared" si="12"/>
        <v>50.17</v>
      </c>
      <c r="AI99" s="53">
        <f t="shared" si="13"/>
        <v>49.838000000000001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130</v>
      </c>
      <c r="C100" s="72">
        <v>129.1</v>
      </c>
      <c r="D100" s="72">
        <v>129.69999999999999</v>
      </c>
      <c r="E100" s="72">
        <v>130.6</v>
      </c>
      <c r="F100" s="72">
        <v>130.6</v>
      </c>
      <c r="G100" s="72">
        <v>129.6</v>
      </c>
      <c r="H100" s="72">
        <v>129.1</v>
      </c>
      <c r="I100" s="72">
        <v>129.1</v>
      </c>
      <c r="J100" s="72">
        <v>125.6</v>
      </c>
      <c r="K100" s="72">
        <v>129.69999999999999</v>
      </c>
      <c r="L100" s="72">
        <v>126.9</v>
      </c>
      <c r="M100" s="72">
        <v>126.8</v>
      </c>
      <c r="N100" s="72">
        <v>127.3</v>
      </c>
      <c r="O100" s="72">
        <v>127.3</v>
      </c>
      <c r="P100" s="72">
        <v>125.1</v>
      </c>
      <c r="Q100" s="72">
        <v>126.5</v>
      </c>
      <c r="R100" s="72">
        <v>125.7</v>
      </c>
      <c r="S100" s="72">
        <v>126.8</v>
      </c>
      <c r="T100" s="72">
        <v>127.3</v>
      </c>
      <c r="U100" s="72">
        <v>127.3</v>
      </c>
      <c r="V100" s="72">
        <v>128.1</v>
      </c>
      <c r="W100" s="72">
        <v>130.1</v>
      </c>
      <c r="X100" s="72">
        <v>129.1</v>
      </c>
      <c r="Y100" s="72">
        <v>129.4</v>
      </c>
      <c r="Z100" s="72">
        <v>129.4</v>
      </c>
      <c r="AA100" s="72">
        <v>130</v>
      </c>
      <c r="AB100" s="72">
        <v>130</v>
      </c>
      <c r="AC100" s="72">
        <v>128.9</v>
      </c>
      <c r="AD100" s="72">
        <v>128.80000000000001</v>
      </c>
      <c r="AE100" s="72">
        <v>129</v>
      </c>
      <c r="AF100" s="72">
        <v>130.9</v>
      </c>
      <c r="AG100" s="111"/>
      <c r="AH100" s="52">
        <f t="shared" si="12"/>
        <v>130.9</v>
      </c>
      <c r="AI100" s="53">
        <f t="shared" si="13"/>
        <v>125.1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132.9</v>
      </c>
      <c r="C101" s="72">
        <v>132.19999999999999</v>
      </c>
      <c r="D101" s="72">
        <v>132.9</v>
      </c>
      <c r="E101" s="72">
        <v>133.6</v>
      </c>
      <c r="F101" s="72">
        <v>133.4</v>
      </c>
      <c r="G101" s="72">
        <v>132.19999999999999</v>
      </c>
      <c r="H101" s="72">
        <v>131.80000000000001</v>
      </c>
      <c r="I101" s="72">
        <v>130.6</v>
      </c>
      <c r="J101" s="72">
        <v>128.1</v>
      </c>
      <c r="K101" s="72">
        <v>132</v>
      </c>
      <c r="L101" s="72">
        <v>129.30000000000001</v>
      </c>
      <c r="M101" s="72">
        <v>129.30000000000001</v>
      </c>
      <c r="N101" s="72">
        <v>129.5</v>
      </c>
      <c r="O101" s="72">
        <v>129.5</v>
      </c>
      <c r="P101" s="72">
        <v>128.19999999999999</v>
      </c>
      <c r="Q101" s="72">
        <v>129.1</v>
      </c>
      <c r="R101" s="72">
        <v>128.5</v>
      </c>
      <c r="S101" s="72">
        <v>129</v>
      </c>
      <c r="T101" s="72">
        <v>129.9</v>
      </c>
      <c r="U101" s="72">
        <v>129.9</v>
      </c>
      <c r="V101" s="72">
        <v>130.80000000000001</v>
      </c>
      <c r="W101" s="72">
        <v>132.5</v>
      </c>
      <c r="X101" s="72">
        <v>131.6</v>
      </c>
      <c r="Y101" s="72">
        <v>131.6</v>
      </c>
      <c r="Z101" s="72">
        <v>131.6</v>
      </c>
      <c r="AA101" s="72">
        <v>132.30000000000001</v>
      </c>
      <c r="AB101" s="72">
        <v>132.30000000000001</v>
      </c>
      <c r="AC101" s="72">
        <v>130.69999999999999</v>
      </c>
      <c r="AD101" s="72">
        <v>131</v>
      </c>
      <c r="AE101" s="72">
        <v>132.19999999999999</v>
      </c>
      <c r="AF101" s="72">
        <v>133.69999999999999</v>
      </c>
      <c r="AG101" s="111"/>
      <c r="AH101" s="52">
        <f t="shared" si="12"/>
        <v>133.69999999999999</v>
      </c>
      <c r="AI101" s="53">
        <f t="shared" si="13"/>
        <v>128.1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130.5</v>
      </c>
      <c r="C102" s="72">
        <v>129.9</v>
      </c>
      <c r="D102" s="72">
        <v>132.1</v>
      </c>
      <c r="E102" s="72">
        <v>129.9</v>
      </c>
      <c r="F102" s="72">
        <v>130.6</v>
      </c>
      <c r="G102" s="72">
        <v>131</v>
      </c>
      <c r="H102" s="72">
        <v>131.6</v>
      </c>
      <c r="I102" s="72">
        <v>129.5</v>
      </c>
      <c r="J102" s="72">
        <v>128</v>
      </c>
      <c r="K102" s="72">
        <v>128.4</v>
      </c>
      <c r="L102" s="72">
        <v>127.5</v>
      </c>
      <c r="M102" s="72">
        <v>128.30000000000001</v>
      </c>
      <c r="N102" s="72">
        <v>126.9</v>
      </c>
      <c r="O102" s="72">
        <v>126.9</v>
      </c>
      <c r="P102" s="72">
        <v>128.69999999999999</v>
      </c>
      <c r="Q102" s="72">
        <v>127.6</v>
      </c>
      <c r="R102" s="72">
        <v>127.9</v>
      </c>
      <c r="S102" s="72">
        <v>125.8</v>
      </c>
      <c r="T102" s="72">
        <v>129.1</v>
      </c>
      <c r="U102" s="72">
        <v>128</v>
      </c>
      <c r="V102" s="72">
        <v>129.69999999999999</v>
      </c>
      <c r="W102" s="72">
        <v>129.6</v>
      </c>
      <c r="X102" s="72">
        <v>128.80000000000001</v>
      </c>
      <c r="Y102" s="72">
        <v>127.6</v>
      </c>
      <c r="Z102" s="72">
        <v>127.6</v>
      </c>
      <c r="AA102" s="72">
        <v>131.30000000000001</v>
      </c>
      <c r="AB102" s="72">
        <v>131.30000000000001</v>
      </c>
      <c r="AC102" s="72">
        <v>126.3</v>
      </c>
      <c r="AD102" s="72">
        <v>127</v>
      </c>
      <c r="AE102" s="72">
        <v>129</v>
      </c>
      <c r="AF102" s="72">
        <v>131.4</v>
      </c>
      <c r="AG102" s="111"/>
      <c r="AH102" s="52">
        <f t="shared" si="12"/>
        <v>132.1</v>
      </c>
      <c r="AI102" s="53">
        <f t="shared" si="13"/>
        <v>125.8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2"/>
        <v>0</v>
      </c>
      <c r="AI103" s="53">
        <f t="shared" si="1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133.4</v>
      </c>
      <c r="C104" s="113">
        <v>131.6</v>
      </c>
      <c r="D104" s="113">
        <v>131.4</v>
      </c>
      <c r="E104" s="113">
        <v>131.69999999999999</v>
      </c>
      <c r="F104" s="113">
        <v>131.19999999999999</v>
      </c>
      <c r="G104" s="113">
        <v>130.1</v>
      </c>
      <c r="H104" s="113">
        <v>132.6</v>
      </c>
      <c r="I104" s="113">
        <v>132.30000000000001</v>
      </c>
      <c r="J104" s="113">
        <v>131.80000000000001</v>
      </c>
      <c r="K104" s="113">
        <v>135.30000000000001</v>
      </c>
      <c r="L104" s="113">
        <v>133.80000000000001</v>
      </c>
      <c r="M104" s="113">
        <v>134.69999999999999</v>
      </c>
      <c r="N104" s="113">
        <v>137.80000000000001</v>
      </c>
      <c r="O104" s="113">
        <v>137.80000000000001</v>
      </c>
      <c r="P104" s="113">
        <v>132.19999999999999</v>
      </c>
      <c r="Q104" s="113">
        <v>131.80000000000001</v>
      </c>
      <c r="R104" s="113">
        <v>130.69999999999999</v>
      </c>
      <c r="S104" s="113">
        <v>133.4</v>
      </c>
      <c r="T104" s="113">
        <v>133.5</v>
      </c>
      <c r="U104" s="113">
        <v>134</v>
      </c>
      <c r="V104" s="113">
        <v>134.69999999999999</v>
      </c>
      <c r="W104" s="113">
        <v>138.1</v>
      </c>
      <c r="X104" s="113">
        <v>135.19999999999999</v>
      </c>
      <c r="Y104" s="113">
        <v>136.69999999999999</v>
      </c>
      <c r="Z104" s="113">
        <v>136.69999999999999</v>
      </c>
      <c r="AA104" s="113">
        <v>135.69999999999999</v>
      </c>
      <c r="AB104" s="113">
        <v>135.69999999999999</v>
      </c>
      <c r="AC104" s="113">
        <v>135.30000000000001</v>
      </c>
      <c r="AD104" s="113">
        <v>134</v>
      </c>
      <c r="AE104" s="113">
        <v>133.1</v>
      </c>
      <c r="AF104" s="113">
        <v>135.69999999999999</v>
      </c>
      <c r="AG104" s="114"/>
      <c r="AH104" s="52">
        <f t="shared" si="12"/>
        <v>138.1</v>
      </c>
      <c r="AI104" s="53">
        <f t="shared" si="13"/>
        <v>130.1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132.69999999999999</v>
      </c>
      <c r="C105" s="72">
        <v>134.69999999999999</v>
      </c>
      <c r="D105" s="72">
        <v>132.30000000000001</v>
      </c>
      <c r="E105" s="72">
        <v>133</v>
      </c>
      <c r="F105" s="72">
        <v>130.5</v>
      </c>
      <c r="G105" s="72">
        <v>133.1</v>
      </c>
      <c r="H105" s="72">
        <v>133.30000000000001</v>
      </c>
      <c r="I105" s="72">
        <v>130.4</v>
      </c>
      <c r="J105" s="72">
        <v>130.9</v>
      </c>
      <c r="K105" s="72">
        <v>130.4</v>
      </c>
      <c r="L105" s="72">
        <v>130.30000000000001</v>
      </c>
      <c r="M105" s="72">
        <v>129.1</v>
      </c>
      <c r="N105" s="72">
        <v>130.4</v>
      </c>
      <c r="O105" s="72">
        <v>130.4</v>
      </c>
      <c r="P105" s="72">
        <v>133.4</v>
      </c>
      <c r="Q105" s="72">
        <v>134</v>
      </c>
      <c r="R105" s="72">
        <v>128.5</v>
      </c>
      <c r="S105" s="72">
        <v>132.6</v>
      </c>
      <c r="T105" s="72">
        <v>129</v>
      </c>
      <c r="U105" s="72">
        <v>129</v>
      </c>
      <c r="V105" s="72">
        <v>135.69999999999999</v>
      </c>
      <c r="W105" s="72">
        <v>134</v>
      </c>
      <c r="X105" s="72">
        <v>136.19999999999999</v>
      </c>
      <c r="Y105" s="72">
        <v>127</v>
      </c>
      <c r="Z105" s="72">
        <v>127</v>
      </c>
      <c r="AA105" s="72">
        <v>131.4</v>
      </c>
      <c r="AB105" s="72">
        <v>131.4</v>
      </c>
      <c r="AC105" s="72">
        <v>131.6</v>
      </c>
      <c r="AD105" s="72">
        <v>133</v>
      </c>
      <c r="AE105" s="72">
        <v>134.9</v>
      </c>
      <c r="AF105" s="72">
        <v>136.4</v>
      </c>
      <c r="AG105" s="111"/>
      <c r="AH105" s="52">
        <f t="shared" si="12"/>
        <v>136.4</v>
      </c>
      <c r="AI105" s="53">
        <f t="shared" si="13"/>
        <v>127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66.7</v>
      </c>
      <c r="C106" s="99">
        <v>66.400000000000006</v>
      </c>
      <c r="D106" s="99">
        <v>66.7</v>
      </c>
      <c r="E106" s="99">
        <v>67.099999999999994</v>
      </c>
      <c r="F106" s="99">
        <v>66.900000000000006</v>
      </c>
      <c r="G106" s="99">
        <v>66.3</v>
      </c>
      <c r="H106" s="99">
        <v>66</v>
      </c>
      <c r="I106" s="99">
        <v>65.7</v>
      </c>
      <c r="J106" s="99">
        <v>64.5</v>
      </c>
      <c r="K106" s="99">
        <v>66.2</v>
      </c>
      <c r="L106" s="99">
        <v>64.5</v>
      </c>
      <c r="M106" s="99">
        <v>64.599999999999994</v>
      </c>
      <c r="N106" s="99">
        <v>64.599999999999994</v>
      </c>
      <c r="O106" s="99">
        <v>64.599999999999994</v>
      </c>
      <c r="P106" s="99">
        <v>64.3</v>
      </c>
      <c r="Q106" s="99">
        <v>64.900000000000006</v>
      </c>
      <c r="R106" s="99">
        <v>64.599999999999994</v>
      </c>
      <c r="S106" s="99">
        <v>65</v>
      </c>
      <c r="T106" s="99">
        <v>65.3</v>
      </c>
      <c r="U106" s="99">
        <v>65</v>
      </c>
      <c r="V106" s="99">
        <v>65.3</v>
      </c>
      <c r="W106" s="99">
        <v>66.2</v>
      </c>
      <c r="X106" s="99">
        <v>65.900000000000006</v>
      </c>
      <c r="Y106" s="99">
        <v>65.900000000000006</v>
      </c>
      <c r="Z106" s="99">
        <v>65.900000000000006</v>
      </c>
      <c r="AA106" s="99">
        <v>66.3</v>
      </c>
      <c r="AB106" s="99">
        <v>66.3</v>
      </c>
      <c r="AC106" s="99">
        <v>65.400000000000006</v>
      </c>
      <c r="AD106" s="99">
        <v>65.5</v>
      </c>
      <c r="AE106" s="99">
        <v>66.099999999999994</v>
      </c>
      <c r="AF106" s="99">
        <v>67.099999999999994</v>
      </c>
      <c r="AG106" s="115"/>
      <c r="AH106" s="52">
        <f t="shared" si="12"/>
        <v>67.099999999999994</v>
      </c>
      <c r="AI106" s="53">
        <f t="shared" si="13"/>
        <v>64.3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 t="s">
        <v>256</v>
      </c>
      <c r="AA107" s="99"/>
      <c r="AB107" s="99"/>
      <c r="AC107" s="99"/>
      <c r="AD107" s="99"/>
      <c r="AE107" s="99"/>
      <c r="AF107" s="99"/>
      <c r="AG107" s="115"/>
      <c r="AH107" s="52">
        <f t="shared" si="12"/>
        <v>0</v>
      </c>
      <c r="AI107" s="53">
        <f t="shared" si="13"/>
        <v>0</v>
      </c>
    </row>
    <row r="108" spans="1:88" ht="15.75" thickBot="1" x14ac:dyDescent="0.3">
      <c r="A108" s="117" t="s">
        <v>112</v>
      </c>
      <c r="B108" s="118">
        <f t="shared" ref="B108" si="24">SUM(B18,B24,B27:B28,B56,B58:B59,B61,B63,B109:B113,B135,B141,B147,B156,B158,B170,B177,B180:B181,B188,B190,B192,B196:B198,B200:B202,B207,B213:B214,B216:B218,B226,B231)</f>
        <v>130.4</v>
      </c>
      <c r="C108" s="118">
        <f t="shared" ref="C108:AF108" si="25">SUM(C18,C24,C27:C28,C56,C58:C59,C61,C63,C109:C113,C135,C141,C147,C156,C158,C170,C177,C180:C181,C188,C190,C192,C196:C198,C200:C202,C207,C213:C214,C216:C218,C226,C231)</f>
        <v>123.94</v>
      </c>
      <c r="D108" s="118">
        <f t="shared" si="25"/>
        <v>116.84</v>
      </c>
      <c r="E108" s="118">
        <f t="shared" si="25"/>
        <v>116.13999999999999</v>
      </c>
      <c r="F108" s="118">
        <f t="shared" si="25"/>
        <v>119.03999999999999</v>
      </c>
      <c r="G108" s="118">
        <f t="shared" si="25"/>
        <v>145.84</v>
      </c>
      <c r="H108" s="118">
        <f t="shared" si="25"/>
        <v>174.33999999999997</v>
      </c>
      <c r="I108" s="118">
        <f t="shared" si="25"/>
        <v>210.04</v>
      </c>
      <c r="J108" s="118">
        <f t="shared" si="25"/>
        <v>256.94</v>
      </c>
      <c r="K108" s="118">
        <f t="shared" si="25"/>
        <v>315.33999999999997</v>
      </c>
      <c r="L108" s="118">
        <f t="shared" si="25"/>
        <v>321.54000000000002</v>
      </c>
      <c r="M108" s="118">
        <f t="shared" si="25"/>
        <v>314.54000000000002</v>
      </c>
      <c r="N108" s="118">
        <f t="shared" si="25"/>
        <v>298.44</v>
      </c>
      <c r="O108" s="118">
        <f t="shared" si="25"/>
        <v>292.44</v>
      </c>
      <c r="P108" s="118">
        <v>42</v>
      </c>
      <c r="Q108" s="118">
        <f t="shared" si="25"/>
        <v>254.89999999999998</v>
      </c>
      <c r="R108" s="118">
        <f t="shared" si="25"/>
        <v>254</v>
      </c>
      <c r="S108" s="118">
        <f t="shared" si="25"/>
        <v>253.89999999999998</v>
      </c>
      <c r="T108" s="118">
        <f t="shared" si="25"/>
        <v>257.3</v>
      </c>
      <c r="U108" s="118">
        <f t="shared" si="25"/>
        <v>269.10000000000002</v>
      </c>
      <c r="V108" s="118">
        <f t="shared" si="25"/>
        <v>281.5</v>
      </c>
      <c r="W108" s="118">
        <f t="shared" si="25"/>
        <v>274</v>
      </c>
      <c r="X108" s="118">
        <f t="shared" si="25"/>
        <v>279</v>
      </c>
      <c r="Y108" s="118">
        <f t="shared" si="25"/>
        <v>330.5</v>
      </c>
      <c r="Z108" s="118">
        <v>400.99708333333342</v>
      </c>
      <c r="AA108" s="118">
        <f t="shared" si="25"/>
        <v>317.2</v>
      </c>
      <c r="AB108" s="118">
        <f t="shared" si="25"/>
        <v>318.5</v>
      </c>
      <c r="AC108" s="118">
        <f t="shared" si="25"/>
        <v>266.8</v>
      </c>
      <c r="AD108" s="118">
        <f t="shared" si="25"/>
        <v>241.4</v>
      </c>
      <c r="AE108" s="118">
        <f t="shared" si="25"/>
        <v>182.2</v>
      </c>
      <c r="AF108" s="118">
        <f t="shared" si="25"/>
        <v>145.9</v>
      </c>
      <c r="AG108" s="119"/>
      <c r="AH108" s="52">
        <f t="shared" si="12"/>
        <v>400.99708333333342</v>
      </c>
      <c r="AI108" s="53">
        <f t="shared" si="13"/>
        <v>42</v>
      </c>
    </row>
    <row r="109" spans="1:88" x14ac:dyDescent="0.25">
      <c r="A109" s="107" t="s">
        <v>113</v>
      </c>
      <c r="B109" s="120">
        <v>-17.899999999999999</v>
      </c>
      <c r="C109" s="120">
        <v>-22.5</v>
      </c>
      <c r="D109" s="120">
        <v>-20.6</v>
      </c>
      <c r="E109" s="120">
        <v>-16.899999999999999</v>
      </c>
      <c r="F109" s="120">
        <v>-19.5</v>
      </c>
      <c r="G109" s="120">
        <v>-21</v>
      </c>
      <c r="H109" s="120">
        <v>-12.3</v>
      </c>
      <c r="I109" s="120">
        <v>-8.6999999999999993</v>
      </c>
      <c r="J109" s="120">
        <v>-3.8</v>
      </c>
      <c r="K109" s="120">
        <v>9.3000000000000007</v>
      </c>
      <c r="L109" s="120">
        <v>11.9</v>
      </c>
      <c r="M109" s="120">
        <v>8.6999999999999993</v>
      </c>
      <c r="N109" s="120">
        <v>22.6</v>
      </c>
      <c r="O109" s="120">
        <v>22.6</v>
      </c>
      <c r="P109" s="120">
        <v>16.3</v>
      </c>
      <c r="Q109" s="120">
        <v>8</v>
      </c>
      <c r="R109" s="120">
        <v>8.3000000000000007</v>
      </c>
      <c r="S109" s="120">
        <v>7.7</v>
      </c>
      <c r="T109" s="120">
        <v>4.2</v>
      </c>
      <c r="U109" s="120">
        <v>3.6</v>
      </c>
      <c r="V109" s="120">
        <v>8.1</v>
      </c>
      <c r="W109" s="120">
        <v>8.6999999999999993</v>
      </c>
      <c r="X109" s="120">
        <v>9.3000000000000007</v>
      </c>
      <c r="Y109" s="120">
        <v>14.1</v>
      </c>
      <c r="Z109" s="120">
        <v>14.3</v>
      </c>
      <c r="AA109" s="120">
        <v>19.600000000000001</v>
      </c>
      <c r="AB109" s="120">
        <v>19.600000000000001</v>
      </c>
      <c r="AC109" s="120">
        <v>12.9</v>
      </c>
      <c r="AD109" s="120">
        <v>4.9000000000000004</v>
      </c>
      <c r="AE109" s="120">
        <v>-7.7</v>
      </c>
      <c r="AF109" s="120">
        <v>-9</v>
      </c>
      <c r="AG109" s="121">
        <v>75</v>
      </c>
      <c r="AH109" s="52">
        <f t="shared" si="12"/>
        <v>22.6</v>
      </c>
      <c r="AI109" s="53">
        <f t="shared" si="13"/>
        <v>-22.5</v>
      </c>
    </row>
    <row r="110" spans="1:88" x14ac:dyDescent="0.25">
      <c r="A110" s="110" t="s">
        <v>114</v>
      </c>
      <c r="B110" s="122">
        <v>-22.8</v>
      </c>
      <c r="C110" s="122">
        <v>-28</v>
      </c>
      <c r="D110" s="122">
        <v>-25.5</v>
      </c>
      <c r="E110" s="122">
        <v>-21</v>
      </c>
      <c r="F110" s="122">
        <v>-24.1</v>
      </c>
      <c r="G110" s="122">
        <v>-26.9</v>
      </c>
      <c r="H110" s="122">
        <v>-16.3</v>
      </c>
      <c r="I110" s="122">
        <v>-13.6</v>
      </c>
      <c r="J110" s="122">
        <v>-7.4</v>
      </c>
      <c r="K110" s="122">
        <v>4.5</v>
      </c>
      <c r="L110" s="122">
        <v>7.5</v>
      </c>
      <c r="M110" s="122">
        <v>3.3</v>
      </c>
      <c r="N110" s="122">
        <v>24.7</v>
      </c>
      <c r="O110" s="122">
        <v>24.7</v>
      </c>
      <c r="P110" s="122">
        <v>20.2</v>
      </c>
      <c r="Q110" s="122">
        <v>10.3</v>
      </c>
      <c r="R110" s="122">
        <v>9.6</v>
      </c>
      <c r="S110" s="122">
        <v>9</v>
      </c>
      <c r="T110" s="122">
        <v>4.5999999999999996</v>
      </c>
      <c r="U110" s="122">
        <v>1.3</v>
      </c>
      <c r="V110" s="122">
        <v>4.5</v>
      </c>
      <c r="W110" s="122">
        <v>5.5</v>
      </c>
      <c r="X110" s="122">
        <v>6.2</v>
      </c>
      <c r="Y110" s="122">
        <v>12.1</v>
      </c>
      <c r="Z110" s="122">
        <v>11.8</v>
      </c>
      <c r="AA110" s="122">
        <v>17.600000000000001</v>
      </c>
      <c r="AB110" s="122">
        <v>17.600000000000001</v>
      </c>
      <c r="AC110" s="122">
        <v>12.4</v>
      </c>
      <c r="AD110" s="122">
        <v>0</v>
      </c>
      <c r="AE110" s="122">
        <v>-16.2</v>
      </c>
      <c r="AF110" s="122">
        <v>-12</v>
      </c>
      <c r="AG110" s="121">
        <v>240</v>
      </c>
      <c r="AH110" s="52">
        <f t="shared" si="12"/>
        <v>24.7</v>
      </c>
      <c r="AI110" s="53">
        <f t="shared" si="13"/>
        <v>-28</v>
      </c>
    </row>
    <row r="111" spans="1:88" x14ac:dyDescent="0.25">
      <c r="A111" s="110" t="s">
        <v>115</v>
      </c>
      <c r="B111" s="122">
        <f>-2.4-2.6</f>
        <v>-5</v>
      </c>
      <c r="C111" s="122">
        <f>-1-1.6</f>
        <v>-2.6</v>
      </c>
      <c r="D111" s="122">
        <f>-1.7-2.1</f>
        <v>-3.8</v>
      </c>
      <c r="E111" s="122">
        <v>-1.6</v>
      </c>
      <c r="F111" s="122">
        <v>0</v>
      </c>
      <c r="G111" s="122">
        <v>16.100000000000001</v>
      </c>
      <c r="H111" s="122">
        <v>22</v>
      </c>
      <c r="I111" s="122">
        <v>35</v>
      </c>
      <c r="J111" s="122">
        <v>46</v>
      </c>
      <c r="K111" s="122">
        <v>60</v>
      </c>
      <c r="L111" s="122">
        <v>73</v>
      </c>
      <c r="M111" s="122">
        <v>72</v>
      </c>
      <c r="N111" s="122">
        <f>22.9+24</f>
        <v>46.9</v>
      </c>
      <c r="O111" s="122">
        <f>22.9+24</f>
        <v>46.9</v>
      </c>
      <c r="P111" s="122">
        <v>27.4</v>
      </c>
      <c r="Q111" s="122">
        <v>30</v>
      </c>
      <c r="R111" s="122">
        <v>30</v>
      </c>
      <c r="S111" s="122">
        <v>31</v>
      </c>
      <c r="T111" s="122">
        <v>32.1</v>
      </c>
      <c r="U111" s="122">
        <v>37.6</v>
      </c>
      <c r="V111" s="122">
        <v>50.1</v>
      </c>
      <c r="W111" s="122">
        <v>51.3</v>
      </c>
      <c r="X111" s="122">
        <v>53.4</v>
      </c>
      <c r="Y111" s="122">
        <v>53.4</v>
      </c>
      <c r="Z111" s="122">
        <v>62.1</v>
      </c>
      <c r="AA111" s="122">
        <v>60.3</v>
      </c>
      <c r="AB111" s="122">
        <v>60.3</v>
      </c>
      <c r="AC111" s="122">
        <v>31</v>
      </c>
      <c r="AD111" s="122">
        <v>25</v>
      </c>
      <c r="AE111" s="122">
        <v>13</v>
      </c>
      <c r="AF111" s="122">
        <v>0.2</v>
      </c>
      <c r="AG111" s="121">
        <v>240</v>
      </c>
      <c r="AH111" s="52">
        <f t="shared" si="12"/>
        <v>73</v>
      </c>
      <c r="AI111" s="53">
        <f t="shared" si="13"/>
        <v>-5</v>
      </c>
    </row>
    <row r="112" spans="1:88" x14ac:dyDescent="0.25">
      <c r="A112" s="110" t="s">
        <v>116</v>
      </c>
      <c r="B112" s="122">
        <v>-2.4</v>
      </c>
      <c r="C112" s="122">
        <v>-6.2</v>
      </c>
      <c r="D112" s="122">
        <v>-3.4</v>
      </c>
      <c r="E112" s="122">
        <v>-7.3</v>
      </c>
      <c r="F112" s="122">
        <v>-4</v>
      </c>
      <c r="G112" s="122">
        <v>-1.4</v>
      </c>
      <c r="H112" s="122">
        <v>0</v>
      </c>
      <c r="I112" s="122">
        <v>4</v>
      </c>
      <c r="J112" s="122">
        <v>8.3000000000000007</v>
      </c>
      <c r="K112" s="122">
        <v>24.7</v>
      </c>
      <c r="L112" s="122">
        <v>28.6</v>
      </c>
      <c r="M112" s="122">
        <v>32</v>
      </c>
      <c r="N112" s="122">
        <v>20</v>
      </c>
      <c r="O112" s="122">
        <v>20</v>
      </c>
      <c r="P112" s="122">
        <v>10.7</v>
      </c>
      <c r="Q112" s="122">
        <v>16.8</v>
      </c>
      <c r="R112" s="122">
        <v>15</v>
      </c>
      <c r="S112" s="122">
        <v>22.9</v>
      </c>
      <c r="T112" s="122">
        <v>21.7</v>
      </c>
      <c r="U112" s="122">
        <v>25.4</v>
      </c>
      <c r="V112" s="122">
        <v>30.9</v>
      </c>
      <c r="W112" s="122">
        <v>30.2</v>
      </c>
      <c r="X112" s="122">
        <v>26.2</v>
      </c>
      <c r="Y112" s="122">
        <v>52.1</v>
      </c>
      <c r="Z112" s="122">
        <v>46.3</v>
      </c>
      <c r="AA112" s="122">
        <v>21.2</v>
      </c>
      <c r="AB112" s="122">
        <v>21.2</v>
      </c>
      <c r="AC112" s="122">
        <v>12.3</v>
      </c>
      <c r="AD112" s="122">
        <v>8.5</v>
      </c>
      <c r="AE112" s="122">
        <v>4.0999999999999996</v>
      </c>
      <c r="AF112" s="122">
        <v>0.7</v>
      </c>
      <c r="AG112" s="121">
        <v>60</v>
      </c>
      <c r="AH112" s="52">
        <f t="shared" si="12"/>
        <v>52.1</v>
      </c>
      <c r="AI112" s="53">
        <f t="shared" si="13"/>
        <v>-7.3</v>
      </c>
    </row>
    <row r="113" spans="1:37" x14ac:dyDescent="0.25">
      <c r="A113" s="123" t="s">
        <v>117</v>
      </c>
      <c r="B113" s="124">
        <v>88.4</v>
      </c>
      <c r="C113" s="124">
        <v>92.2</v>
      </c>
      <c r="D113" s="124">
        <v>79.099999999999994</v>
      </c>
      <c r="E113" s="124">
        <v>72.8</v>
      </c>
      <c r="F113" s="124">
        <v>76.5</v>
      </c>
      <c r="G113" s="124">
        <v>94.9</v>
      </c>
      <c r="H113" s="124">
        <v>90.8</v>
      </c>
      <c r="I113" s="124">
        <v>103.5</v>
      </c>
      <c r="J113" s="124">
        <v>124</v>
      </c>
      <c r="K113" s="124">
        <v>127</v>
      </c>
      <c r="L113" s="124">
        <v>113.5</v>
      </c>
      <c r="M113" s="124">
        <v>111.5</v>
      </c>
      <c r="N113" s="124">
        <v>97.2</v>
      </c>
      <c r="O113" s="124">
        <v>97.2</v>
      </c>
      <c r="P113" s="124">
        <v>104.8</v>
      </c>
      <c r="Q113" s="124">
        <v>109.7</v>
      </c>
      <c r="R113" s="124">
        <v>111</v>
      </c>
      <c r="S113" s="124">
        <v>103.6</v>
      </c>
      <c r="T113" s="124">
        <v>112.2</v>
      </c>
      <c r="U113" s="124">
        <v>118.7</v>
      </c>
      <c r="V113" s="124">
        <v>105.4</v>
      </c>
      <c r="W113" s="124">
        <v>95.8</v>
      </c>
      <c r="X113" s="124">
        <v>101.4</v>
      </c>
      <c r="Y113" s="124">
        <v>113.3</v>
      </c>
      <c r="Z113" s="124">
        <v>114.1</v>
      </c>
      <c r="AA113" s="124">
        <v>112.8</v>
      </c>
      <c r="AB113" s="124">
        <v>112.8</v>
      </c>
      <c r="AC113" s="124">
        <v>112.2</v>
      </c>
      <c r="AD113" s="124">
        <v>117</v>
      </c>
      <c r="AE113" s="124">
        <v>109</v>
      </c>
      <c r="AF113" s="124">
        <v>86</v>
      </c>
      <c r="AG113" s="125">
        <v>120</v>
      </c>
      <c r="AH113" s="52">
        <f t="shared" si="12"/>
        <v>127</v>
      </c>
      <c r="AI113" s="53">
        <f t="shared" si="13"/>
        <v>72.8</v>
      </c>
    </row>
    <row r="114" spans="1:37" x14ac:dyDescent="0.25">
      <c r="A114" s="123" t="s">
        <v>118</v>
      </c>
      <c r="B114" s="124">
        <v>74.8</v>
      </c>
      <c r="C114" s="124">
        <v>83.7</v>
      </c>
      <c r="D114" s="124">
        <v>69.400000000000006</v>
      </c>
      <c r="E114" s="124">
        <v>56.1</v>
      </c>
      <c r="F114" s="124">
        <v>57.7</v>
      </c>
      <c r="G114" s="124">
        <v>70.900000000000006</v>
      </c>
      <c r="H114" s="124">
        <v>67.099999999999994</v>
      </c>
      <c r="I114" s="124">
        <v>73.5</v>
      </c>
      <c r="J114" s="124">
        <v>89.1</v>
      </c>
      <c r="K114" s="124">
        <v>80.5</v>
      </c>
      <c r="L114" s="124">
        <v>92.6</v>
      </c>
      <c r="M114" s="124">
        <v>94.9</v>
      </c>
      <c r="N114" s="124">
        <v>83.6</v>
      </c>
      <c r="O114" s="124">
        <v>83.6</v>
      </c>
      <c r="P114" s="124">
        <v>81</v>
      </c>
      <c r="Q114" s="124">
        <v>86.6</v>
      </c>
      <c r="R114" s="124">
        <v>85</v>
      </c>
      <c r="S114" s="124">
        <v>81.3</v>
      </c>
      <c r="T114" s="124">
        <v>84.7</v>
      </c>
      <c r="U114" s="124">
        <v>92.6</v>
      </c>
      <c r="V114" s="124">
        <v>92.2</v>
      </c>
      <c r="W114" s="124">
        <v>93.2</v>
      </c>
      <c r="X114" s="124">
        <v>95.1</v>
      </c>
      <c r="Y114" s="124">
        <v>72.8</v>
      </c>
      <c r="Z114" s="124">
        <v>79.3</v>
      </c>
      <c r="AA114" s="124">
        <v>86</v>
      </c>
      <c r="AB114" s="124">
        <v>86</v>
      </c>
      <c r="AC114" s="124">
        <v>80</v>
      </c>
      <c r="AD114" s="124">
        <v>84</v>
      </c>
      <c r="AE114" s="124">
        <v>87</v>
      </c>
      <c r="AF114" s="124">
        <v>71</v>
      </c>
      <c r="AG114" s="125"/>
      <c r="AH114" s="52">
        <f t="shared" si="12"/>
        <v>95.1</v>
      </c>
      <c r="AI114" s="53">
        <f t="shared" si="13"/>
        <v>56.1</v>
      </c>
    </row>
    <row r="115" spans="1:37" x14ac:dyDescent="0.25">
      <c r="A115" s="123" t="s">
        <v>119</v>
      </c>
      <c r="B115" s="124">
        <v>40.4</v>
      </c>
      <c r="C115" s="124">
        <v>44</v>
      </c>
      <c r="D115" s="124">
        <v>38.299999999999997</v>
      </c>
      <c r="E115" s="124">
        <v>36.4</v>
      </c>
      <c r="F115" s="124">
        <v>40.299999999999997</v>
      </c>
      <c r="G115" s="124">
        <v>41.6</v>
      </c>
      <c r="H115" s="124">
        <v>34.6</v>
      </c>
      <c r="I115" s="124">
        <v>28.3</v>
      </c>
      <c r="J115" s="124">
        <v>31.7</v>
      </c>
      <c r="K115" s="124">
        <v>14.2</v>
      </c>
      <c r="L115" s="124">
        <v>11.5</v>
      </c>
      <c r="M115" s="124">
        <v>8.9</v>
      </c>
      <c r="N115" s="124">
        <v>-9.5</v>
      </c>
      <c r="O115" s="124">
        <v>-9.5</v>
      </c>
      <c r="P115" s="124">
        <v>7.4</v>
      </c>
      <c r="Q115" s="124">
        <v>20.7</v>
      </c>
      <c r="R115" s="124">
        <v>17</v>
      </c>
      <c r="S115" s="124">
        <v>18.899999999999999</v>
      </c>
      <c r="T115" s="124">
        <v>25.8</v>
      </c>
      <c r="U115" s="124">
        <v>25.8</v>
      </c>
      <c r="V115" s="124">
        <v>23.7</v>
      </c>
      <c r="W115" s="124" t="s">
        <v>255</v>
      </c>
      <c r="X115" s="124">
        <v>17.5</v>
      </c>
      <c r="Y115" s="124">
        <v>6.3</v>
      </c>
      <c r="Z115" s="124">
        <v>8.8000000000000007</v>
      </c>
      <c r="AA115" s="124">
        <v>6.2</v>
      </c>
      <c r="AB115" s="124">
        <v>6.2</v>
      </c>
      <c r="AC115" s="124">
        <v>17.600000000000001</v>
      </c>
      <c r="AD115" s="124">
        <v>28.9</v>
      </c>
      <c r="AE115" s="124">
        <v>49</v>
      </c>
      <c r="AF115" s="124">
        <v>36</v>
      </c>
      <c r="AG115" s="126"/>
      <c r="AH115" s="52">
        <f t="shared" si="12"/>
        <v>49</v>
      </c>
      <c r="AI115" s="53">
        <f t="shared" si="13"/>
        <v>-9.5</v>
      </c>
    </row>
    <row r="116" spans="1:37" x14ac:dyDescent="0.25">
      <c r="A116" s="127" t="s">
        <v>120</v>
      </c>
      <c r="B116" s="113">
        <v>-14.6</v>
      </c>
      <c r="C116" s="113">
        <v>-11.3</v>
      </c>
      <c r="D116" s="113">
        <v>-10</v>
      </c>
      <c r="E116" s="113">
        <v>-8.1</v>
      </c>
      <c r="F116" s="113">
        <v>-7.6</v>
      </c>
      <c r="G116" s="113">
        <v>-16</v>
      </c>
      <c r="H116" s="113">
        <v>-27.7</v>
      </c>
      <c r="I116" s="113">
        <v>-42.5</v>
      </c>
      <c r="J116" s="113">
        <v>-60</v>
      </c>
      <c r="K116" s="113">
        <v>-42.5</v>
      </c>
      <c r="L116" s="113">
        <v>-79.2</v>
      </c>
      <c r="M116" s="113">
        <v>-80.5</v>
      </c>
      <c r="N116" s="113">
        <v>-75.3</v>
      </c>
      <c r="O116" s="113">
        <v>-75.3</v>
      </c>
      <c r="P116" s="113">
        <v>-65.2</v>
      </c>
      <c r="Q116" s="113">
        <v>-54.4</v>
      </c>
      <c r="R116" s="113">
        <v>-58</v>
      </c>
      <c r="S116" s="113">
        <v>-53.5</v>
      </c>
      <c r="T116" s="113">
        <v>-53.6</v>
      </c>
      <c r="U116" s="113">
        <v>-74</v>
      </c>
      <c r="V116" s="113">
        <v>-70.099999999999994</v>
      </c>
      <c r="W116" s="113">
        <v>-74.8</v>
      </c>
      <c r="X116" s="113">
        <v>-86.5</v>
      </c>
      <c r="Y116" s="113">
        <v>-99.2</v>
      </c>
      <c r="Z116" s="113">
        <v>-90.6</v>
      </c>
      <c r="AA116" s="113">
        <v>-71.3</v>
      </c>
      <c r="AB116" s="113">
        <v>-71.3</v>
      </c>
      <c r="AC116" s="113">
        <v>-43.5</v>
      </c>
      <c r="AD116" s="113">
        <v>-33</v>
      </c>
      <c r="AE116" s="113">
        <v>-10</v>
      </c>
      <c r="AF116" s="113">
        <v>4</v>
      </c>
      <c r="AG116" s="126"/>
      <c r="AH116" s="52">
        <f t="shared" si="12"/>
        <v>4</v>
      </c>
      <c r="AI116" s="53">
        <f t="shared" si="13"/>
        <v>-99.2</v>
      </c>
    </row>
    <row r="117" spans="1:37" ht="15.75" thickBot="1" x14ac:dyDescent="0.3">
      <c r="A117" s="127" t="s">
        <v>121</v>
      </c>
      <c r="B117" s="113">
        <v>78</v>
      </c>
      <c r="C117" s="113">
        <v>75.5</v>
      </c>
      <c r="D117" s="113">
        <v>70.7</v>
      </c>
      <c r="E117" s="113">
        <v>71.7</v>
      </c>
      <c r="F117" s="113">
        <v>72.8</v>
      </c>
      <c r="G117" s="113">
        <v>69</v>
      </c>
      <c r="H117" s="113">
        <v>66.7</v>
      </c>
      <c r="I117" s="113">
        <v>73.900000000000006</v>
      </c>
      <c r="J117" s="113">
        <v>75.099999999999994</v>
      </c>
      <c r="K117" s="113">
        <v>74.5</v>
      </c>
      <c r="L117" s="113">
        <v>79.900000000000006</v>
      </c>
      <c r="M117" s="113">
        <v>74.099999999999994</v>
      </c>
      <c r="N117" s="113">
        <v>74.8</v>
      </c>
      <c r="O117" s="113">
        <v>74.8</v>
      </c>
      <c r="P117" s="113">
        <v>94.3</v>
      </c>
      <c r="Q117" s="113">
        <v>84.3</v>
      </c>
      <c r="R117" s="113">
        <v>85</v>
      </c>
      <c r="S117" s="113">
        <v>93.3</v>
      </c>
      <c r="T117" s="113">
        <v>96.6</v>
      </c>
      <c r="U117" s="113">
        <v>99.7</v>
      </c>
      <c r="V117" s="113">
        <v>87.9</v>
      </c>
      <c r="W117" s="113">
        <v>85.2</v>
      </c>
      <c r="X117" s="113">
        <v>90.6</v>
      </c>
      <c r="Y117" s="113">
        <v>114</v>
      </c>
      <c r="Z117" s="113">
        <v>96.7</v>
      </c>
      <c r="AA117" s="113">
        <v>90.9</v>
      </c>
      <c r="AB117" s="113">
        <v>90.9</v>
      </c>
      <c r="AC117" s="113">
        <v>100</v>
      </c>
      <c r="AD117" s="113">
        <v>105</v>
      </c>
      <c r="AE117" s="113">
        <v>87</v>
      </c>
      <c r="AF117" s="113">
        <v>74</v>
      </c>
      <c r="AG117" s="126"/>
      <c r="AH117" s="52">
        <f t="shared" si="12"/>
        <v>114</v>
      </c>
      <c r="AI117" s="53">
        <f t="shared" si="13"/>
        <v>66.7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6">SUM(B119:B223)</f>
        <v>0</v>
      </c>
      <c r="C224" s="144">
        <f t="shared" si="26"/>
        <v>0</v>
      </c>
      <c r="D224" s="144">
        <f t="shared" si="26"/>
        <v>0</v>
      </c>
      <c r="E224" s="144">
        <f t="shared" si="26"/>
        <v>0</v>
      </c>
      <c r="F224" s="144">
        <f t="shared" si="26"/>
        <v>0</v>
      </c>
      <c r="G224" s="144">
        <f t="shared" si="26"/>
        <v>0</v>
      </c>
      <c r="H224" s="144">
        <f t="shared" si="26"/>
        <v>0</v>
      </c>
      <c r="I224" s="144">
        <f t="shared" si="26"/>
        <v>0</v>
      </c>
      <c r="J224" s="144">
        <f t="shared" si="26"/>
        <v>0</v>
      </c>
      <c r="K224" s="144">
        <f t="shared" si="26"/>
        <v>0</v>
      </c>
      <c r="L224" s="144">
        <f t="shared" si="26"/>
        <v>0</v>
      </c>
      <c r="M224" s="144">
        <f t="shared" si="26"/>
        <v>0</v>
      </c>
      <c r="N224" s="144">
        <f t="shared" si="26"/>
        <v>0</v>
      </c>
      <c r="O224" s="144">
        <f t="shared" si="26"/>
        <v>0</v>
      </c>
      <c r="P224" s="144">
        <f t="shared" si="26"/>
        <v>0</v>
      </c>
      <c r="Q224" s="144">
        <f t="shared" si="26"/>
        <v>0</v>
      </c>
      <c r="R224" s="144">
        <f t="shared" si="26"/>
        <v>0</v>
      </c>
      <c r="S224" s="144">
        <f t="shared" si="26"/>
        <v>0</v>
      </c>
      <c r="T224" s="144">
        <f t="shared" si="26"/>
        <v>0</v>
      </c>
      <c r="U224" s="144">
        <f t="shared" si="26"/>
        <v>0</v>
      </c>
      <c r="V224" s="144">
        <f t="shared" si="26"/>
        <v>0</v>
      </c>
      <c r="W224" s="144">
        <f t="shared" si="26"/>
        <v>0</v>
      </c>
      <c r="X224" s="144">
        <f t="shared" si="26"/>
        <v>0</v>
      </c>
      <c r="Y224" s="144">
        <f t="shared" si="26"/>
        <v>0</v>
      </c>
      <c r="Z224" s="144">
        <f t="shared" si="26"/>
        <v>0</v>
      </c>
      <c r="AA224" s="144">
        <f t="shared" si="26"/>
        <v>0</v>
      </c>
      <c r="AB224" s="144">
        <f t="shared" si="26"/>
        <v>0</v>
      </c>
      <c r="AC224" s="144">
        <f t="shared" si="26"/>
        <v>0</v>
      </c>
      <c r="AD224" s="144">
        <f t="shared" si="26"/>
        <v>0</v>
      </c>
      <c r="AE224" s="144">
        <f t="shared" si="26"/>
        <v>0</v>
      </c>
      <c r="AF224" s="145">
        <f t="shared" si="26"/>
        <v>0</v>
      </c>
      <c r="AG224" s="146">
        <f t="shared" si="26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7">AF226</f>
        <v>0</v>
      </c>
      <c r="C226" s="149">
        <v>0.3</v>
      </c>
      <c r="D226" s="149">
        <f t="shared" ref="D226:P231" si="28">C226</f>
        <v>0.3</v>
      </c>
      <c r="E226" s="149">
        <f t="shared" si="28"/>
        <v>0.3</v>
      </c>
      <c r="F226" s="149">
        <f t="shared" si="28"/>
        <v>0.3</v>
      </c>
      <c r="G226" s="149">
        <f t="shared" si="28"/>
        <v>0.3</v>
      </c>
      <c r="H226" s="149">
        <f t="shared" si="28"/>
        <v>0.3</v>
      </c>
      <c r="I226" s="149">
        <f t="shared" si="28"/>
        <v>0.3</v>
      </c>
      <c r="J226" s="149">
        <f t="shared" si="28"/>
        <v>0.3</v>
      </c>
      <c r="K226" s="149">
        <f t="shared" si="28"/>
        <v>0.3</v>
      </c>
      <c r="L226" s="149">
        <f t="shared" si="28"/>
        <v>0.3</v>
      </c>
      <c r="M226" s="149">
        <f t="shared" si="28"/>
        <v>0.3</v>
      </c>
      <c r="N226" s="149">
        <f t="shared" si="28"/>
        <v>0.3</v>
      </c>
      <c r="O226" s="149">
        <f t="shared" si="28"/>
        <v>0.3</v>
      </c>
      <c r="P226" s="149">
        <f t="shared" si="28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7"/>
        <v>0</v>
      </c>
      <c r="C227" s="136">
        <v>0.4</v>
      </c>
      <c r="D227" s="136">
        <f t="shared" si="28"/>
        <v>0.4</v>
      </c>
      <c r="E227" s="136">
        <f t="shared" si="28"/>
        <v>0.4</v>
      </c>
      <c r="F227" s="136">
        <f t="shared" si="28"/>
        <v>0.4</v>
      </c>
      <c r="G227" s="136">
        <f t="shared" si="28"/>
        <v>0.4</v>
      </c>
      <c r="H227" s="136">
        <f t="shared" si="28"/>
        <v>0.4</v>
      </c>
      <c r="I227" s="136">
        <f t="shared" si="28"/>
        <v>0.4</v>
      </c>
      <c r="J227" s="136">
        <f t="shared" si="28"/>
        <v>0.4</v>
      </c>
      <c r="K227" s="136">
        <f t="shared" si="28"/>
        <v>0.4</v>
      </c>
      <c r="L227" s="136">
        <f t="shared" si="28"/>
        <v>0.4</v>
      </c>
      <c r="M227" s="136">
        <f t="shared" si="28"/>
        <v>0.4</v>
      </c>
      <c r="N227" s="136">
        <f t="shared" si="28"/>
        <v>0.4</v>
      </c>
      <c r="O227" s="136">
        <f t="shared" si="28"/>
        <v>0.4</v>
      </c>
      <c r="P227" s="136">
        <f t="shared" si="28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7"/>
        <v>0</v>
      </c>
      <c r="C228" s="136">
        <v>1.5</v>
      </c>
      <c r="D228" s="136">
        <f t="shared" si="28"/>
        <v>1.5</v>
      </c>
      <c r="E228" s="136">
        <f t="shared" si="28"/>
        <v>1.5</v>
      </c>
      <c r="F228" s="136">
        <f t="shared" si="28"/>
        <v>1.5</v>
      </c>
      <c r="G228" s="136">
        <f t="shared" si="28"/>
        <v>1.5</v>
      </c>
      <c r="H228" s="136">
        <f t="shared" si="28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8"/>
        <v>1.5</v>
      </c>
      <c r="K228" s="136">
        <f t="shared" ca="1" si="28"/>
        <v>1.5</v>
      </c>
      <c r="L228" s="136">
        <f t="shared" ca="1" si="28"/>
        <v>1.5</v>
      </c>
      <c r="M228" s="136">
        <f t="shared" ca="1" si="28"/>
        <v>1.5</v>
      </c>
      <c r="N228" s="136">
        <f t="shared" ca="1" si="28"/>
        <v>1.5</v>
      </c>
      <c r="O228" s="136">
        <f t="shared" ca="1" si="28"/>
        <v>1.5</v>
      </c>
      <c r="P228" s="136">
        <f t="shared" ca="1" si="28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7"/>
        <v>0</v>
      </c>
      <c r="C229" s="136">
        <v>0.3</v>
      </c>
      <c r="D229" s="136">
        <f t="shared" si="28"/>
        <v>0.3</v>
      </c>
      <c r="E229" s="136">
        <f t="shared" si="28"/>
        <v>0.3</v>
      </c>
      <c r="F229" s="136">
        <f t="shared" si="28"/>
        <v>0.3</v>
      </c>
      <c r="G229" s="136">
        <f t="shared" si="28"/>
        <v>0.3</v>
      </c>
      <c r="H229" s="136">
        <f t="shared" si="28"/>
        <v>0.3</v>
      </c>
      <c r="I229" s="136">
        <f t="shared" si="28"/>
        <v>0.3</v>
      </c>
      <c r="J229" s="136">
        <f t="shared" si="28"/>
        <v>0.3</v>
      </c>
      <c r="K229" s="136">
        <f t="shared" si="28"/>
        <v>0.3</v>
      </c>
      <c r="L229" s="136">
        <f t="shared" si="28"/>
        <v>0.3</v>
      </c>
      <c r="M229" s="136">
        <f t="shared" si="28"/>
        <v>0.3</v>
      </c>
      <c r="N229" s="136">
        <f t="shared" si="28"/>
        <v>0.3</v>
      </c>
      <c r="O229" s="136">
        <f t="shared" si="28"/>
        <v>0.3</v>
      </c>
      <c r="P229" s="136">
        <f t="shared" si="28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7"/>
        <v>0</v>
      </c>
      <c r="C230" s="136">
        <v>0.4</v>
      </c>
      <c r="D230" s="136">
        <f t="shared" si="28"/>
        <v>0.4</v>
      </c>
      <c r="E230" s="136">
        <f t="shared" si="28"/>
        <v>0.4</v>
      </c>
      <c r="F230" s="136">
        <f t="shared" si="28"/>
        <v>0.4</v>
      </c>
      <c r="G230" s="136">
        <f t="shared" si="28"/>
        <v>0.4</v>
      </c>
      <c r="H230" s="136">
        <f t="shared" si="28"/>
        <v>0.4</v>
      </c>
      <c r="I230" s="136">
        <f t="shared" si="28"/>
        <v>0.4</v>
      </c>
      <c r="J230" s="136">
        <f t="shared" si="28"/>
        <v>0.4</v>
      </c>
      <c r="K230" s="136">
        <f t="shared" si="28"/>
        <v>0.4</v>
      </c>
      <c r="L230" s="136">
        <f t="shared" si="28"/>
        <v>0.4</v>
      </c>
      <c r="M230" s="136">
        <f t="shared" si="28"/>
        <v>0.4</v>
      </c>
      <c r="N230" s="136">
        <f t="shared" si="28"/>
        <v>0.4</v>
      </c>
      <c r="O230" s="136">
        <f t="shared" si="28"/>
        <v>0.4</v>
      </c>
      <c r="P230" s="136">
        <f t="shared" si="28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7"/>
        <v>0</v>
      </c>
      <c r="C231" s="140">
        <v>0.64</v>
      </c>
      <c r="D231" s="140">
        <f t="shared" si="28"/>
        <v>0.64</v>
      </c>
      <c r="E231" s="140">
        <f t="shared" si="28"/>
        <v>0.64</v>
      </c>
      <c r="F231" s="140">
        <f t="shared" si="28"/>
        <v>0.64</v>
      </c>
      <c r="G231" s="140">
        <f t="shared" si="28"/>
        <v>0.64</v>
      </c>
      <c r="H231" s="140">
        <f t="shared" si="28"/>
        <v>0.64</v>
      </c>
      <c r="I231" s="140">
        <f t="shared" si="28"/>
        <v>0.64</v>
      </c>
      <c r="J231" s="140">
        <f t="shared" si="28"/>
        <v>0.64</v>
      </c>
      <c r="K231" s="140">
        <f t="shared" si="28"/>
        <v>0.64</v>
      </c>
      <c r="L231" s="140">
        <f t="shared" si="28"/>
        <v>0.64</v>
      </c>
      <c r="M231" s="140">
        <f t="shared" si="28"/>
        <v>0.64</v>
      </c>
      <c r="N231" s="140">
        <f t="shared" si="28"/>
        <v>0.64</v>
      </c>
      <c r="O231" s="140">
        <f t="shared" si="28"/>
        <v>0.64</v>
      </c>
      <c r="P231" s="140">
        <f t="shared" si="28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9">SUM(B226:B231)</f>
        <v>0</v>
      </c>
      <c r="C232" s="144">
        <f t="shared" si="29"/>
        <v>3.54</v>
      </c>
      <c r="D232" s="144">
        <f t="shared" si="29"/>
        <v>3.54</v>
      </c>
      <c r="E232" s="144">
        <f t="shared" si="29"/>
        <v>3.54</v>
      </c>
      <c r="F232" s="144">
        <f t="shared" si="29"/>
        <v>3.54</v>
      </c>
      <c r="G232" s="144">
        <f t="shared" si="29"/>
        <v>3.54</v>
      </c>
      <c r="H232" s="144">
        <f t="shared" si="29"/>
        <v>3.54</v>
      </c>
      <c r="I232" s="144">
        <f t="shared" ca="1" si="29"/>
        <v>3.54</v>
      </c>
      <c r="J232" s="144">
        <f t="shared" ca="1" si="29"/>
        <v>3.54</v>
      </c>
      <c r="K232" s="144">
        <f t="shared" ca="1" si="29"/>
        <v>3.54</v>
      </c>
      <c r="L232" s="144">
        <f t="shared" ca="1" si="29"/>
        <v>3.54</v>
      </c>
      <c r="M232" s="144">
        <f t="shared" ca="1" si="29"/>
        <v>3.54</v>
      </c>
      <c r="N232" s="144">
        <f t="shared" ca="1" si="29"/>
        <v>3.54</v>
      </c>
      <c r="O232" s="144">
        <f t="shared" ca="1" si="29"/>
        <v>3.54</v>
      </c>
      <c r="P232" s="144">
        <f t="shared" ca="1" si="29"/>
        <v>3.54</v>
      </c>
      <c r="Q232" s="144">
        <f t="shared" si="29"/>
        <v>0</v>
      </c>
      <c r="R232" s="144">
        <f t="shared" si="29"/>
        <v>0</v>
      </c>
      <c r="S232" s="144">
        <f t="shared" si="29"/>
        <v>0</v>
      </c>
      <c r="T232" s="144">
        <f t="shared" si="29"/>
        <v>0</v>
      </c>
      <c r="U232" s="144">
        <f t="shared" si="29"/>
        <v>0</v>
      </c>
      <c r="V232" s="144">
        <f t="shared" si="29"/>
        <v>0</v>
      </c>
      <c r="W232" s="144">
        <f t="shared" si="29"/>
        <v>0</v>
      </c>
      <c r="X232" s="144">
        <f t="shared" si="29"/>
        <v>0</v>
      </c>
      <c r="Y232" s="144">
        <f t="shared" si="29"/>
        <v>0</v>
      </c>
      <c r="Z232" s="144">
        <f t="shared" si="29"/>
        <v>0</v>
      </c>
      <c r="AA232" s="144">
        <f t="shared" si="29"/>
        <v>0</v>
      </c>
      <c r="AB232" s="144">
        <f t="shared" si="29"/>
        <v>0</v>
      </c>
      <c r="AC232" s="144">
        <f t="shared" si="29"/>
        <v>0</v>
      </c>
      <c r="AD232" s="144">
        <f t="shared" si="29"/>
        <v>0</v>
      </c>
      <c r="AE232" s="144">
        <f t="shared" si="29"/>
        <v>0</v>
      </c>
      <c r="AF232" s="144">
        <f t="shared" si="29"/>
        <v>0</v>
      </c>
      <c r="AG232" s="154">
        <f t="shared" si="29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1391.34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03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2079/12/3)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2079/12/3)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0">B89</f>
        <v>1134.54</v>
      </c>
      <c r="U246" s="180">
        <f t="shared" si="30"/>
        <v>1123.24</v>
      </c>
      <c r="V246" s="180">
        <f t="shared" si="30"/>
        <v>1060.94</v>
      </c>
      <c r="W246" s="180">
        <f t="shared" si="30"/>
        <v>1009.74</v>
      </c>
      <c r="X246" s="180">
        <f t="shared" si="30"/>
        <v>1029.54</v>
      </c>
      <c r="Y246" s="180">
        <f t="shared" si="30"/>
        <v>1043.94</v>
      </c>
      <c r="Z246" s="180">
        <f t="shared" si="30"/>
        <v>1092.8399999999999</v>
      </c>
      <c r="AA246" s="180">
        <f t="shared" si="30"/>
        <v>1186.3399999999999</v>
      </c>
      <c r="AB246" s="180">
        <f t="shared" si="30"/>
        <v>1255.2399999999998</v>
      </c>
      <c r="AC246" s="180">
        <f t="shared" si="30"/>
        <v>1332.94</v>
      </c>
      <c r="AD246" s="180">
        <f t="shared" si="30"/>
        <v>1391.34</v>
      </c>
      <c r="AE246" s="180">
        <f t="shared" si="30"/>
        <v>1348.6399999999999</v>
      </c>
      <c r="AF246" s="180">
        <f t="shared" si="30"/>
        <v>1213.54</v>
      </c>
      <c r="AG246" s="180">
        <f t="shared" si="30"/>
        <v>1327.04</v>
      </c>
      <c r="AH246" s="180">
        <f t="shared" si="30"/>
        <v>1285.6399999999999</v>
      </c>
      <c r="AI246" s="180">
        <f t="shared" si="30"/>
        <v>1232.04</v>
      </c>
      <c r="AJ246" s="180">
        <f t="shared" si="30"/>
        <v>1251.24</v>
      </c>
      <c r="AK246" s="180">
        <f t="shared" si="30"/>
        <v>1295.27</v>
      </c>
      <c r="AL246" s="180">
        <f t="shared" si="30"/>
        <v>1279.74</v>
      </c>
      <c r="AM246" s="180">
        <f t="shared" si="30"/>
        <v>1320.54</v>
      </c>
      <c r="AN246" s="180">
        <f t="shared" si="30"/>
        <v>1322.93</v>
      </c>
      <c r="AO246" s="180">
        <f t="shared" si="30"/>
        <v>1261.6400000000001</v>
      </c>
      <c r="AP246" s="180">
        <f t="shared" si="30"/>
        <v>1243.1400000000001</v>
      </c>
      <c r="AQ246" s="180">
        <f t="shared" si="30"/>
        <v>1417.8400000000001</v>
      </c>
      <c r="AR246" s="180">
        <f t="shared" si="30"/>
        <v>1616.8400000000001</v>
      </c>
      <c r="AS246" s="180">
        <f t="shared" si="30"/>
        <v>1321.54</v>
      </c>
      <c r="AT246" s="180">
        <f t="shared" si="30"/>
        <v>1290.1400000000001</v>
      </c>
      <c r="AU246" s="180">
        <f t="shared" si="30"/>
        <v>1284.24</v>
      </c>
      <c r="AV246" s="180">
        <f t="shared" si="30"/>
        <v>1284.1400000000001</v>
      </c>
      <c r="AW246" s="180">
        <f t="shared" si="30"/>
        <v>1148.3400000000001</v>
      </c>
      <c r="AX246" s="180">
        <f t="shared" si="30"/>
        <v>1010.04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1">C231</f>
        <v>0.64</v>
      </c>
      <c r="C267" s="183">
        <f t="shared" si="31"/>
        <v>0.64</v>
      </c>
      <c r="D267" s="183">
        <f t="shared" si="31"/>
        <v>0.64</v>
      </c>
      <c r="E267" s="183">
        <f t="shared" si="31"/>
        <v>0.64</v>
      </c>
      <c r="F267" s="183">
        <f t="shared" si="31"/>
        <v>0.64</v>
      </c>
      <c r="G267" s="183">
        <f t="shared" si="31"/>
        <v>0.64</v>
      </c>
      <c r="H267" s="183">
        <f t="shared" si="31"/>
        <v>0.64</v>
      </c>
      <c r="I267" s="183">
        <f t="shared" si="31"/>
        <v>0.64</v>
      </c>
      <c r="J267" s="183">
        <f t="shared" si="31"/>
        <v>0.64</v>
      </c>
      <c r="K267" s="183">
        <f t="shared" si="31"/>
        <v>0.64</v>
      </c>
      <c r="L267" s="183">
        <f t="shared" si="31"/>
        <v>0.64</v>
      </c>
      <c r="M267" s="183">
        <f t="shared" si="31"/>
        <v>0.64</v>
      </c>
      <c r="N267" s="183">
        <f t="shared" si="31"/>
        <v>0.64</v>
      </c>
      <c r="O267" s="183">
        <f t="shared" si="31"/>
        <v>0.64</v>
      </c>
      <c r="P267" s="183">
        <f t="shared" si="31"/>
        <v>0</v>
      </c>
      <c r="Q267" s="183">
        <f t="shared" si="31"/>
        <v>0</v>
      </c>
      <c r="R267" s="183">
        <f t="shared" si="31"/>
        <v>0</v>
      </c>
      <c r="S267" s="183">
        <f t="shared" si="31"/>
        <v>0</v>
      </c>
      <c r="T267" s="183">
        <f t="shared" si="31"/>
        <v>0</v>
      </c>
      <c r="U267" s="183">
        <f t="shared" si="31"/>
        <v>0</v>
      </c>
      <c r="V267" s="183">
        <f t="shared" si="31"/>
        <v>0</v>
      </c>
      <c r="W267" s="183">
        <f t="shared" si="31"/>
        <v>0</v>
      </c>
      <c r="X267" s="183">
        <f t="shared" si="31"/>
        <v>0</v>
      </c>
      <c r="Y267" s="183">
        <f t="shared" si="31"/>
        <v>0</v>
      </c>
      <c r="Z267" s="183">
        <f t="shared" si="31"/>
        <v>0</v>
      </c>
      <c r="AA267" s="183">
        <f t="shared" si="31"/>
        <v>0</v>
      </c>
      <c r="AB267" s="183">
        <f t="shared" si="31"/>
        <v>0</v>
      </c>
      <c r="AC267" s="183">
        <f t="shared" si="31"/>
        <v>0</v>
      </c>
      <c r="AD267" s="183">
        <f t="shared" si="31"/>
        <v>0</v>
      </c>
      <c r="AE267" s="183">
        <f t="shared" si="31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2">IF(B235&lt;100,"",B235-520)</f>
        <v/>
      </c>
      <c r="C268" s="184" t="str">
        <f t="shared" si="32"/>
        <v/>
      </c>
      <c r="D268" s="184" t="str">
        <f t="shared" si="32"/>
        <v/>
      </c>
      <c r="E268" s="184" t="str">
        <f t="shared" si="32"/>
        <v/>
      </c>
      <c r="F268" s="184" t="str">
        <f t="shared" si="32"/>
        <v/>
      </c>
      <c r="G268" s="184" t="str">
        <f t="shared" si="32"/>
        <v/>
      </c>
      <c r="H268" s="184" t="str">
        <f t="shared" si="32"/>
        <v/>
      </c>
      <c r="I268" s="184" t="str">
        <f t="shared" si="32"/>
        <v/>
      </c>
      <c r="J268" s="184" t="str">
        <f t="shared" si="32"/>
        <v/>
      </c>
      <c r="K268" s="184" t="str">
        <f t="shared" si="32"/>
        <v/>
      </c>
      <c r="L268" s="184" t="str">
        <f t="shared" si="32"/>
        <v/>
      </c>
      <c r="M268" s="184" t="str">
        <f t="shared" si="32"/>
        <v/>
      </c>
      <c r="N268" s="184" t="str">
        <f t="shared" si="32"/>
        <v/>
      </c>
      <c r="O268" s="184" t="str">
        <f t="shared" si="32"/>
        <v/>
      </c>
      <c r="P268" s="184" t="str">
        <f t="shared" si="32"/>
        <v/>
      </c>
      <c r="Q268" s="184" t="str">
        <f t="shared" si="32"/>
        <v/>
      </c>
      <c r="R268" s="184" t="str">
        <f t="shared" si="32"/>
        <v/>
      </c>
      <c r="S268" s="184" t="str">
        <f t="shared" si="32"/>
        <v/>
      </c>
      <c r="T268" s="184" t="str">
        <f t="shared" si="32"/>
        <v/>
      </c>
      <c r="U268" s="184" t="str">
        <f t="shared" si="32"/>
        <v/>
      </c>
      <c r="V268" s="184" t="str">
        <f t="shared" si="32"/>
        <v/>
      </c>
      <c r="W268" s="184" t="str">
        <f t="shared" si="32"/>
        <v/>
      </c>
      <c r="X268" s="184" t="str">
        <f t="shared" si="32"/>
        <v/>
      </c>
      <c r="Y268" s="184" t="str">
        <f t="shared" si="32"/>
        <v/>
      </c>
      <c r="Z268" s="184" t="str">
        <f t="shared" si="32"/>
        <v/>
      </c>
      <c r="AA268" s="184" t="str">
        <f t="shared" si="32"/>
        <v/>
      </c>
      <c r="AB268" s="184" t="str">
        <f t="shared" si="32"/>
        <v/>
      </c>
      <c r="AC268" s="184" t="str">
        <f t="shared" si="32"/>
        <v/>
      </c>
      <c r="AD268" s="184" t="str">
        <f t="shared" si="32"/>
        <v/>
      </c>
      <c r="AE268" s="184" t="str">
        <f t="shared" si="32"/>
        <v/>
      </c>
      <c r="AF268" s="184" t="str">
        <f t="shared" si="32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3">IF(B236&lt;100,"",B236-620)</f>
        <v/>
      </c>
      <c r="C269" s="184" t="str">
        <f t="shared" si="33"/>
        <v/>
      </c>
      <c r="D269" s="184" t="str">
        <f t="shared" si="33"/>
        <v/>
      </c>
      <c r="E269" s="184" t="str">
        <f t="shared" si="33"/>
        <v/>
      </c>
      <c r="F269" s="184" t="str">
        <f t="shared" si="33"/>
        <v/>
      </c>
      <c r="G269" s="184" t="str">
        <f t="shared" si="33"/>
        <v/>
      </c>
      <c r="H269" s="184" t="str">
        <f t="shared" si="33"/>
        <v/>
      </c>
      <c r="I269" s="184" t="str">
        <f t="shared" si="33"/>
        <v/>
      </c>
      <c r="J269" s="184" t="str">
        <f t="shared" si="33"/>
        <v/>
      </c>
      <c r="K269" s="184" t="str">
        <f t="shared" si="33"/>
        <v/>
      </c>
      <c r="L269" s="184" t="str">
        <f t="shared" si="33"/>
        <v/>
      </c>
      <c r="M269" s="184" t="str">
        <f t="shared" si="33"/>
        <v/>
      </c>
      <c r="N269" s="184" t="str">
        <f t="shared" si="33"/>
        <v/>
      </c>
      <c r="O269" s="184" t="str">
        <f t="shared" si="33"/>
        <v/>
      </c>
      <c r="P269" s="184" t="str">
        <f t="shared" si="33"/>
        <v/>
      </c>
      <c r="Q269" s="184" t="str">
        <f t="shared" si="33"/>
        <v/>
      </c>
      <c r="R269" s="184" t="str">
        <f t="shared" si="33"/>
        <v/>
      </c>
      <c r="S269" s="184" t="str">
        <f t="shared" si="33"/>
        <v/>
      </c>
      <c r="T269" s="184" t="str">
        <f t="shared" si="33"/>
        <v/>
      </c>
      <c r="U269" s="184" t="str">
        <f t="shared" si="33"/>
        <v/>
      </c>
      <c r="V269" s="184" t="str">
        <f t="shared" si="33"/>
        <v/>
      </c>
      <c r="W269" s="184" t="str">
        <f t="shared" si="33"/>
        <v/>
      </c>
      <c r="X269" s="184" t="str">
        <f t="shared" si="33"/>
        <v/>
      </c>
      <c r="Y269" s="184" t="str">
        <f t="shared" si="33"/>
        <v/>
      </c>
      <c r="Z269" s="184" t="str">
        <f t="shared" si="33"/>
        <v/>
      </c>
      <c r="AA269" s="184" t="str">
        <f t="shared" si="33"/>
        <v/>
      </c>
      <c r="AB269" s="184" t="str">
        <f t="shared" si="33"/>
        <v/>
      </c>
      <c r="AC269" s="184" t="str">
        <f t="shared" si="33"/>
        <v/>
      </c>
      <c r="AD269" s="184" t="str">
        <f t="shared" si="33"/>
        <v/>
      </c>
      <c r="AE269" s="184" t="str">
        <f t="shared" si="33"/>
        <v/>
      </c>
      <c r="AF269" s="184" t="str">
        <f t="shared" si="33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4">IF(B237&lt;100,"",B237-330)</f>
        <v/>
      </c>
      <c r="C270" s="184" t="str">
        <f t="shared" si="34"/>
        <v/>
      </c>
      <c r="D270" s="184" t="str">
        <f t="shared" si="34"/>
        <v/>
      </c>
      <c r="E270" s="184" t="str">
        <f t="shared" si="34"/>
        <v/>
      </c>
      <c r="F270" s="184" t="str">
        <f t="shared" si="34"/>
        <v/>
      </c>
      <c r="G270" s="184" t="str">
        <f t="shared" si="34"/>
        <v/>
      </c>
      <c r="H270" s="184" t="str">
        <f t="shared" si="34"/>
        <v/>
      </c>
      <c r="I270" s="184" t="str">
        <f t="shared" si="34"/>
        <v/>
      </c>
      <c r="J270" s="184" t="str">
        <f t="shared" si="34"/>
        <v/>
      </c>
      <c r="K270" s="184" t="str">
        <f t="shared" si="34"/>
        <v/>
      </c>
      <c r="L270" s="184" t="str">
        <f t="shared" si="34"/>
        <v/>
      </c>
      <c r="M270" s="184" t="str">
        <f t="shared" si="34"/>
        <v/>
      </c>
      <c r="N270" s="184" t="str">
        <f t="shared" si="34"/>
        <v/>
      </c>
      <c r="O270" s="184" t="str">
        <f t="shared" si="34"/>
        <v/>
      </c>
      <c r="P270" s="184" t="str">
        <f t="shared" si="34"/>
        <v/>
      </c>
      <c r="Q270" s="184" t="str">
        <f t="shared" si="34"/>
        <v/>
      </c>
      <c r="R270" s="184" t="str">
        <f t="shared" si="34"/>
        <v/>
      </c>
      <c r="S270" s="184" t="str">
        <f t="shared" si="34"/>
        <v/>
      </c>
      <c r="T270" s="184" t="str">
        <f t="shared" si="34"/>
        <v/>
      </c>
      <c r="U270" s="184" t="str">
        <f t="shared" si="34"/>
        <v/>
      </c>
      <c r="V270" s="184" t="str">
        <f t="shared" si="34"/>
        <v/>
      </c>
      <c r="W270" s="184" t="str">
        <f t="shared" si="34"/>
        <v/>
      </c>
      <c r="X270" s="184" t="str">
        <f t="shared" si="34"/>
        <v/>
      </c>
      <c r="Y270" s="184" t="str">
        <f t="shared" si="34"/>
        <v/>
      </c>
      <c r="Z270" s="184" t="str">
        <f t="shared" si="34"/>
        <v/>
      </c>
      <c r="AA270" s="184" t="str">
        <f t="shared" si="34"/>
        <v/>
      </c>
      <c r="AB270" s="184" t="str">
        <f t="shared" si="34"/>
        <v/>
      </c>
      <c r="AC270" s="184" t="str">
        <f t="shared" si="34"/>
        <v/>
      </c>
      <c r="AD270" s="184" t="str">
        <f t="shared" si="34"/>
        <v/>
      </c>
      <c r="AE270" s="184" t="str">
        <f t="shared" si="34"/>
        <v/>
      </c>
      <c r="AF270" s="184" t="str">
        <f t="shared" si="34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5">IF(B238&lt;100,"",B238-1500)</f>
        <v/>
      </c>
      <c r="C271" s="184" t="str">
        <f t="shared" si="35"/>
        <v/>
      </c>
      <c r="D271" s="184" t="str">
        <f t="shared" si="35"/>
        <v/>
      </c>
      <c r="E271" s="184" t="str">
        <f t="shared" si="35"/>
        <v/>
      </c>
      <c r="F271" s="184" t="str">
        <f t="shared" si="35"/>
        <v/>
      </c>
      <c r="G271" s="184" t="str">
        <f t="shared" si="35"/>
        <v/>
      </c>
      <c r="H271" s="184" t="str">
        <f t="shared" si="35"/>
        <v/>
      </c>
      <c r="I271" s="184" t="str">
        <f t="shared" si="35"/>
        <v/>
      </c>
      <c r="J271" s="184" t="str">
        <f t="shared" si="35"/>
        <v/>
      </c>
      <c r="K271" s="184" t="str">
        <f t="shared" si="35"/>
        <v/>
      </c>
      <c r="L271" s="184" t="str">
        <f t="shared" si="35"/>
        <v/>
      </c>
      <c r="M271" s="184" t="str">
        <f t="shared" si="35"/>
        <v/>
      </c>
      <c r="N271" s="184" t="str">
        <f t="shared" si="35"/>
        <v/>
      </c>
      <c r="O271" s="184" t="str">
        <f t="shared" si="35"/>
        <v/>
      </c>
      <c r="P271" s="184" t="str">
        <f t="shared" si="35"/>
        <v/>
      </c>
      <c r="Q271" s="184" t="str">
        <f t="shared" si="35"/>
        <v/>
      </c>
      <c r="R271" s="184" t="str">
        <f t="shared" si="35"/>
        <v/>
      </c>
      <c r="S271" s="184" t="str">
        <f t="shared" si="35"/>
        <v/>
      </c>
      <c r="T271" s="184" t="str">
        <f t="shared" si="35"/>
        <v/>
      </c>
      <c r="U271" s="184" t="str">
        <f t="shared" si="35"/>
        <v/>
      </c>
      <c r="V271" s="184" t="str">
        <f t="shared" si="35"/>
        <v/>
      </c>
      <c r="W271" s="184" t="str">
        <f t="shared" si="35"/>
        <v/>
      </c>
      <c r="X271" s="184" t="str">
        <f t="shared" si="35"/>
        <v/>
      </c>
      <c r="Y271" s="184" t="str">
        <f t="shared" si="35"/>
        <v/>
      </c>
      <c r="Z271" s="184" t="str">
        <f t="shared" si="35"/>
        <v/>
      </c>
      <c r="AA271" s="184" t="str">
        <f t="shared" si="35"/>
        <v/>
      </c>
      <c r="AB271" s="184" t="str">
        <f t="shared" si="35"/>
        <v/>
      </c>
      <c r="AC271" s="184" t="str">
        <f t="shared" si="35"/>
        <v/>
      </c>
      <c r="AD271" s="184" t="str">
        <f t="shared" si="35"/>
        <v/>
      </c>
      <c r="AE271" s="184" t="str">
        <f t="shared" si="35"/>
        <v/>
      </c>
      <c r="AF271" s="184" t="str">
        <f t="shared" si="35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60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07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1203" priority="603">
      <formula>B$9&gt;=20/24</formula>
    </cfRule>
    <cfRule type="expression" dxfId="11202" priority="604">
      <formula>AND(B$9&gt;=14/24,B$9&lt;20/24)</formula>
    </cfRule>
    <cfRule type="expression" dxfId="11201" priority="605">
      <formula>AND(B$9&gt;=8/24,B$9&lt;14/24)</formula>
    </cfRule>
    <cfRule type="expression" dxfId="11200" priority="606">
      <formula>B$9&lt;8/24</formula>
    </cfRule>
  </conditionalFormatting>
  <conditionalFormatting sqref="AL4:AL6">
    <cfRule type="iconSet" priority="602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1199" priority="601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1198" priority="600">
      <formula>$AH12=0</formula>
    </cfRule>
  </conditionalFormatting>
  <conditionalFormatting sqref="A114">
    <cfRule type="expression" dxfId="11197" priority="599">
      <formula>$AH114=0</formula>
    </cfRule>
  </conditionalFormatting>
  <conditionalFormatting sqref="AL42">
    <cfRule type="iconSet" priority="598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1196" priority="597">
      <formula>$AH45=0</formula>
    </cfRule>
  </conditionalFormatting>
  <conditionalFormatting sqref="A98">
    <cfRule type="expression" dxfId="11195" priority="596">
      <formula>$AH98=0</formula>
    </cfRule>
  </conditionalFormatting>
  <conditionalFormatting sqref="A18">
    <cfRule type="expression" dxfId="11194" priority="595">
      <formula>$AH18=0</formula>
    </cfRule>
  </conditionalFormatting>
  <conditionalFormatting sqref="A196:A201">
    <cfRule type="expression" dxfId="11193" priority="594">
      <formula>$AH196=0</formula>
    </cfRule>
  </conditionalFormatting>
  <conditionalFormatting sqref="A190:A195">
    <cfRule type="expression" dxfId="11192" priority="593">
      <formula>$AH190=0</formula>
    </cfRule>
  </conditionalFormatting>
  <conditionalFormatting sqref="A58">
    <cfRule type="expression" dxfId="11191" priority="592">
      <formula>$AH58=0</formula>
    </cfRule>
  </conditionalFormatting>
  <conditionalFormatting sqref="A94">
    <cfRule type="expression" dxfId="11190" priority="591">
      <formula>$AH94=0</formula>
    </cfRule>
  </conditionalFormatting>
  <conditionalFormatting sqref="AD99:AF99 E99:X99">
    <cfRule type="expression" dxfId="11189" priority="587">
      <formula>E$9&gt;=20/24</formula>
    </cfRule>
    <cfRule type="expression" dxfId="11188" priority="588">
      <formula>AND(E$9&gt;=14/24,E$9&lt;20/24)</formula>
    </cfRule>
    <cfRule type="expression" dxfId="11187" priority="589">
      <formula>AND(E$9&gt;=8/24,E$9&lt;14/24)</formula>
    </cfRule>
    <cfRule type="expression" dxfId="11186" priority="590">
      <formula>E$9&lt;8/24</formula>
    </cfRule>
  </conditionalFormatting>
  <conditionalFormatting sqref="AL43">
    <cfRule type="iconSet" priority="58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185" priority="609">
      <formula>C$9&gt;=20/24</formula>
    </cfRule>
    <cfRule type="expression" dxfId="11184" priority="610">
      <formula>AND(C$9&gt;=14/24,C$9&lt;20/24)</formula>
    </cfRule>
    <cfRule type="expression" dxfId="11183" priority="611">
      <formula>AND(C$9&gt;=8/24,C$9&lt;14/24)</formula>
    </cfRule>
    <cfRule type="expression" dxfId="11182" priority="612">
      <formula>C$9&lt;8/24</formula>
    </cfRule>
  </conditionalFormatting>
  <conditionalFormatting sqref="A233">
    <cfRule type="expression" dxfId="11181" priority="613">
      <formula>$AH233=0</formula>
    </cfRule>
  </conditionalFormatting>
  <conditionalFormatting sqref="AG245">
    <cfRule type="expression" dxfId="11180" priority="614">
      <formula>B$9&gt;=20/24</formula>
    </cfRule>
    <cfRule type="expression" dxfId="11179" priority="615">
      <formula>AND(B$9&gt;=14/24,B$9&lt;20/24)</formula>
    </cfRule>
    <cfRule type="expression" dxfId="11178" priority="616">
      <formula>AND(B$9&gt;=8/24,B$9&lt;14/24)</formula>
    </cfRule>
    <cfRule type="expression" dxfId="11177" priority="617">
      <formula>B$9&lt;8/24</formula>
    </cfRule>
  </conditionalFormatting>
  <conditionalFormatting sqref="S8">
    <cfRule type="expression" dxfId="11176" priority="582">
      <formula>U$9&gt;=20/24</formula>
    </cfRule>
    <cfRule type="expression" dxfId="11175" priority="583">
      <formula>AND(U$9&gt;=14/24,U$9&lt;20/24)</formula>
    </cfRule>
    <cfRule type="expression" dxfId="11174" priority="584">
      <formula>AND(U$9&gt;=8/24,U$9&lt;14/24)</formula>
    </cfRule>
    <cfRule type="expression" dxfId="11173" priority="585">
      <formula>U$9&lt;8/24</formula>
    </cfRule>
  </conditionalFormatting>
  <conditionalFormatting sqref="AB8">
    <cfRule type="expression" dxfId="11172" priority="578">
      <formula>AD$9&gt;=20/24</formula>
    </cfRule>
    <cfRule type="expression" dxfId="11171" priority="579">
      <formula>AND(AD$9&gt;=14/24,AD$9&lt;20/24)</formula>
    </cfRule>
    <cfRule type="expression" dxfId="11170" priority="580">
      <formula>AND(AD$9&gt;=8/24,AD$9&lt;14/24)</formula>
    </cfRule>
    <cfRule type="expression" dxfId="11169" priority="581">
      <formula>AD$9&lt;8/24</formula>
    </cfRule>
  </conditionalFormatting>
  <conditionalFormatting sqref="AH245:AX245">
    <cfRule type="expression" dxfId="11168" priority="618">
      <formula>AG$9&gt;=20/24</formula>
    </cfRule>
    <cfRule type="expression" dxfId="11167" priority="619">
      <formula>AND(AG$9&gt;=14/24,AG$9&lt;20/24)</formula>
    </cfRule>
    <cfRule type="expression" dxfId="11166" priority="620">
      <formula>AND(AG$9&gt;=8/24,AG$9&lt;14/24)</formula>
    </cfRule>
    <cfRule type="expression" dxfId="11165" priority="621">
      <formula>AG$9&lt;8/24</formula>
    </cfRule>
  </conditionalFormatting>
  <conditionalFormatting sqref="T245">
    <cfRule type="expression" dxfId="11164" priority="622">
      <formula>AX$9&gt;=20/24</formula>
    </cfRule>
    <cfRule type="expression" dxfId="11163" priority="623">
      <formula>AND(AX$9&gt;=14/24,AX$9&lt;20/24)</formula>
    </cfRule>
    <cfRule type="expression" dxfId="11162" priority="624">
      <formula>AND(AX$9&gt;=8/24,AX$9&lt;14/24)</formula>
    </cfRule>
    <cfRule type="expression" dxfId="11161" priority="625">
      <formula>AX$9&lt;8/24</formula>
    </cfRule>
  </conditionalFormatting>
  <conditionalFormatting sqref="A115:A116">
    <cfRule type="expression" dxfId="11160" priority="577">
      <formula>$AH115=0</formula>
    </cfRule>
  </conditionalFormatting>
  <conditionalFormatting sqref="M54:R56 E71:AF71">
    <cfRule type="expression" dxfId="11159" priority="573">
      <formula>E$9&gt;=20/24</formula>
    </cfRule>
    <cfRule type="expression" dxfId="11158" priority="574">
      <formula>AND(E$9&gt;=14/24,E$9&lt;20/24)</formula>
    </cfRule>
    <cfRule type="expression" dxfId="11157" priority="575">
      <formula>AND(E$9&gt;=8/24,E$9&lt;14/24)</formula>
    </cfRule>
    <cfRule type="expression" dxfId="11156" priority="576">
      <formula>E$9&lt;8/24</formula>
    </cfRule>
  </conditionalFormatting>
  <conditionalFormatting sqref="M53:R53">
    <cfRule type="expression" dxfId="11155" priority="569">
      <formula>M$9&gt;=20/24</formula>
    </cfRule>
    <cfRule type="expression" dxfId="11154" priority="570">
      <formula>AND(M$9&gt;=14/24,M$9&lt;20/24)</formula>
    </cfRule>
    <cfRule type="expression" dxfId="11153" priority="571">
      <formula>AND(M$9&gt;=8/24,M$9&lt;14/24)</formula>
    </cfRule>
    <cfRule type="expression" dxfId="11152" priority="572">
      <formula>M$9&lt;8/24</formula>
    </cfRule>
  </conditionalFormatting>
  <conditionalFormatting sqref="M53:R56">
    <cfRule type="expression" dxfId="11151" priority="568">
      <formula>M53&gt;$AG53</formula>
    </cfRule>
  </conditionalFormatting>
  <conditionalFormatting sqref="D86:AF86 X96:AF96 AD100:AF106 X47:AF47 E72:X73 M100:X106 X67:AF69 Y72:AF74">
    <cfRule type="expression" dxfId="11150" priority="564">
      <formula>D$9&gt;=20/24</formula>
    </cfRule>
    <cfRule type="expression" dxfId="11149" priority="565">
      <formula>AND(D$9&gt;=14/24,D$9&lt;20/24)</formula>
    </cfRule>
    <cfRule type="expression" dxfId="11148" priority="566">
      <formula>AND(D$9&gt;=8/24,D$9&lt;14/24)</formula>
    </cfRule>
    <cfRule type="expression" dxfId="11147" priority="567">
      <formula>D$9&lt;8/24</formula>
    </cfRule>
  </conditionalFormatting>
  <conditionalFormatting sqref="X47:AF47 X67:AF69">
    <cfRule type="expression" dxfId="11146" priority="563">
      <formula>X47&gt;$AG47</formula>
    </cfRule>
  </conditionalFormatting>
  <conditionalFormatting sqref="Y53:Z55 S53:X56 Z56:Z58 Y56 AA53:AF58">
    <cfRule type="expression" dxfId="11145" priority="559">
      <formula>S$9&gt;=20/24</formula>
    </cfRule>
    <cfRule type="expression" dxfId="11144" priority="560">
      <formula>AND(S$9&gt;=14/24,S$9&lt;20/24)</formula>
    </cfRule>
    <cfRule type="expression" dxfId="11143" priority="561">
      <formula>AND(S$9&gt;=8/24,S$9&lt;14/24)</formula>
    </cfRule>
    <cfRule type="expression" dxfId="11142" priority="562">
      <formula>S$9&lt;8/24</formula>
    </cfRule>
  </conditionalFormatting>
  <conditionalFormatting sqref="Y53:Z55 S53:X56 Z56:Z58 Y56 AA53:AF58">
    <cfRule type="expression" dxfId="11141" priority="558">
      <formula>S53&gt;$AG53</formula>
    </cfRule>
  </conditionalFormatting>
  <conditionalFormatting sqref="C97:AF97 D88:AF88">
    <cfRule type="expression" dxfId="11140" priority="554">
      <formula>C$9&gt;=20/24</formula>
    </cfRule>
    <cfRule type="expression" dxfId="11139" priority="555">
      <formula>AND(C$9&gt;=14/24,C$9&lt;20/24)</formula>
    </cfRule>
    <cfRule type="expression" dxfId="11138" priority="556">
      <formula>AND(C$9&gt;=8/24,C$9&lt;14/24)</formula>
    </cfRule>
    <cfRule type="expression" dxfId="11137" priority="557">
      <formula>C$9&lt;8/24</formula>
    </cfRule>
  </conditionalFormatting>
  <conditionalFormatting sqref="T47:W47">
    <cfRule type="expression" dxfId="11136" priority="550">
      <formula>T$9&gt;=20/24</formula>
    </cfRule>
    <cfRule type="expression" dxfId="11135" priority="551">
      <formula>AND(T$9&gt;=14/24,T$9&lt;20/24)</formula>
    </cfRule>
    <cfRule type="expression" dxfId="11134" priority="552">
      <formula>AND(T$9&gt;=8/24,T$9&lt;14/24)</formula>
    </cfRule>
    <cfRule type="expression" dxfId="11133" priority="553">
      <formula>T$9&lt;8/24</formula>
    </cfRule>
  </conditionalFormatting>
  <conditionalFormatting sqref="T47:W47">
    <cfRule type="expression" dxfId="11132" priority="549">
      <formula>T47&gt;$AG47</formula>
    </cfRule>
  </conditionalFormatting>
  <conditionalFormatting sqref="E54:L55">
    <cfRule type="expression" dxfId="11131" priority="545">
      <formula>E$9&gt;=20/24</formula>
    </cfRule>
    <cfRule type="expression" dxfId="11130" priority="546">
      <formula>AND(E$9&gt;=14/24,E$9&lt;20/24)</formula>
    </cfRule>
    <cfRule type="expression" dxfId="11129" priority="547">
      <formula>AND(E$9&gt;=8/24,E$9&lt;14/24)</formula>
    </cfRule>
    <cfRule type="expression" dxfId="11128" priority="548">
      <formula>E$9&lt;8/24</formula>
    </cfRule>
  </conditionalFormatting>
  <conditionalFormatting sqref="E53:L53">
    <cfRule type="expression" dxfId="11127" priority="541">
      <formula>E$9&gt;=20/24</formula>
    </cfRule>
    <cfRule type="expression" dxfId="11126" priority="542">
      <formula>AND(E$9&gt;=14/24,E$9&lt;20/24)</formula>
    </cfRule>
    <cfRule type="expression" dxfId="11125" priority="543">
      <formula>AND(E$9&gt;=8/24,E$9&lt;14/24)</formula>
    </cfRule>
    <cfRule type="expression" dxfId="11124" priority="544">
      <formula>E$9&lt;8/24</formula>
    </cfRule>
  </conditionalFormatting>
  <conditionalFormatting sqref="E53:L55">
    <cfRule type="expression" dxfId="11123" priority="540">
      <formula>E53&gt;$AG53</formula>
    </cfRule>
  </conditionalFormatting>
  <conditionalFormatting sqref="AG70 AG87 E100:L106 S67:W69">
    <cfRule type="expression" dxfId="11122" priority="536">
      <formula>E$9&gt;=20/24</formula>
    </cfRule>
    <cfRule type="expression" dxfId="11121" priority="537">
      <formula>AND(E$9&gt;=14/24,E$9&lt;20/24)</formula>
    </cfRule>
    <cfRule type="expression" dxfId="11120" priority="538">
      <formula>AND(E$9&gt;=8/24,E$9&lt;14/24)</formula>
    </cfRule>
    <cfRule type="expression" dxfId="11119" priority="539">
      <formula>E$9&lt;8/24</formula>
    </cfRule>
  </conditionalFormatting>
  <conditionalFormatting sqref="AG48 AG66 AG70 S67:W69">
    <cfRule type="expression" dxfId="11118" priority="535">
      <formula>S48&gt;$AG48</formula>
    </cfRule>
  </conditionalFormatting>
  <conditionalFormatting sqref="A43">
    <cfRule type="expression" dxfId="11117" priority="529">
      <formula>$AH43=0</formula>
    </cfRule>
  </conditionalFormatting>
  <conditionalFormatting sqref="X91:AF95">
    <cfRule type="expression" dxfId="11116" priority="525">
      <formula>X$9&gt;=20/24</formula>
    </cfRule>
    <cfRule type="expression" dxfId="11115" priority="526">
      <formula>AND(X$9&gt;=14/24,X$9&lt;20/24)</formula>
    </cfRule>
    <cfRule type="expression" dxfId="11114" priority="527">
      <formula>AND(X$9&gt;=8/24,X$9&lt;14/24)</formula>
    </cfRule>
    <cfRule type="expression" dxfId="11113" priority="528">
      <formula>X$9&lt;8/24</formula>
    </cfRule>
  </conditionalFormatting>
  <conditionalFormatting sqref="AL45 AL41 AL22:AL32 AL38:AL39 AL7:AL15 AL17:AL20 AL34:AL36">
    <cfRule type="iconSet" priority="626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1112" priority="521">
      <formula>E$9&gt;=20/24</formula>
    </cfRule>
    <cfRule type="expression" dxfId="11111" priority="522">
      <formula>AND(E$9&gt;=14/24,E$9&lt;20/24)</formula>
    </cfRule>
    <cfRule type="expression" dxfId="11110" priority="523">
      <formula>AND(E$9&gt;=8/24,E$9&lt;14/24)</formula>
    </cfRule>
    <cfRule type="expression" dxfId="11109" priority="524">
      <formula>E$9&lt;8/24</formula>
    </cfRule>
  </conditionalFormatting>
  <conditionalFormatting sqref="E49:AF51">
    <cfRule type="expression" dxfId="11108" priority="520">
      <formula>E49&gt;$AG49</formula>
    </cfRule>
  </conditionalFormatting>
  <conditionalFormatting sqref="AG52">
    <cfRule type="expression" dxfId="11107" priority="516">
      <formula>AG$9&gt;=20/24</formula>
    </cfRule>
    <cfRule type="expression" dxfId="11106" priority="517">
      <formula>AND(AG$9&gt;=14/24,AG$9&lt;20/24)</formula>
    </cfRule>
    <cfRule type="expression" dxfId="11105" priority="518">
      <formula>AND(AG$9&gt;=8/24,AG$9&lt;14/24)</formula>
    </cfRule>
    <cfRule type="expression" dxfId="11104" priority="519">
      <formula>AG$9&lt;8/24</formula>
    </cfRule>
  </conditionalFormatting>
  <conditionalFormatting sqref="AG52">
    <cfRule type="expression" dxfId="11103" priority="515">
      <formula>AG52&gt;$AG52</formula>
    </cfRule>
  </conditionalFormatting>
  <conditionalFormatting sqref="C107:AF107">
    <cfRule type="expression" dxfId="11102" priority="511">
      <formula>C$9&gt;=20/24</formula>
    </cfRule>
    <cfRule type="expression" dxfId="11101" priority="512">
      <formula>AND(C$9&gt;=14/24,C$9&lt;20/24)</formula>
    </cfRule>
    <cfRule type="expression" dxfId="11100" priority="513">
      <formula>AND(C$9&gt;=8/24,C$9&lt;14/24)</formula>
    </cfRule>
    <cfRule type="expression" dxfId="11099" priority="514">
      <formula>C$9&lt;8/24</formula>
    </cfRule>
  </conditionalFormatting>
  <conditionalFormatting sqref="AL40">
    <cfRule type="iconSet" priority="51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1098" priority="509">
      <formula>$AH40=0</formula>
    </cfRule>
  </conditionalFormatting>
  <conditionalFormatting sqref="A90">
    <cfRule type="expression" dxfId="11097" priority="507">
      <formula>$AH90=0</formula>
    </cfRule>
  </conditionalFormatting>
  <conditionalFormatting sqref="A87">
    <cfRule type="expression" dxfId="11096" priority="508">
      <formula>$AH87=0</formula>
    </cfRule>
  </conditionalFormatting>
  <conditionalFormatting sqref="D110:AF110">
    <cfRule type="expression" dxfId="11095" priority="503">
      <formula>D$9&gt;=20/24</formula>
    </cfRule>
    <cfRule type="expression" dxfId="11094" priority="504">
      <formula>AND(D$9&gt;=14/24,D$9&lt;20/24)</formula>
    </cfRule>
    <cfRule type="expression" dxfId="11093" priority="505">
      <formula>AND(D$9&gt;=8/24,D$9&lt;14/24)</formula>
    </cfRule>
    <cfRule type="expression" dxfId="11092" priority="506">
      <formula>D$9&lt;8/24</formula>
    </cfRule>
  </conditionalFormatting>
  <conditionalFormatting sqref="A110">
    <cfRule type="expression" dxfId="11091" priority="502">
      <formula>$AH110=0</formula>
    </cfRule>
  </conditionalFormatting>
  <conditionalFormatting sqref="A21">
    <cfRule type="expression" dxfId="11090" priority="500">
      <formula>$AH21=0</formula>
    </cfRule>
  </conditionalFormatting>
  <conditionalFormatting sqref="AL21">
    <cfRule type="iconSet" priority="50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1089" priority="498">
      <formula>$AH37=0</formula>
    </cfRule>
  </conditionalFormatting>
  <conditionalFormatting sqref="AL37">
    <cfRule type="iconSet" priority="499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1088" priority="494">
      <formula>Y$9&gt;=20/24</formula>
    </cfRule>
    <cfRule type="expression" dxfId="11087" priority="495">
      <formula>AND(Y$9&gt;=14/24,Y$9&lt;20/24)</formula>
    </cfRule>
    <cfRule type="expression" dxfId="11086" priority="496">
      <formula>AND(Y$9&gt;=8/24,Y$9&lt;14/24)</formula>
    </cfRule>
    <cfRule type="expression" dxfId="11085" priority="497">
      <formula>Y$9&lt;8/24</formula>
    </cfRule>
  </conditionalFormatting>
  <conditionalFormatting sqref="Y100:AC106">
    <cfRule type="expression" dxfId="11084" priority="490">
      <formula>Y$9&gt;=20/24</formula>
    </cfRule>
    <cfRule type="expression" dxfId="11083" priority="491">
      <formula>AND(Y$9&gt;=14/24,Y$9&lt;20/24)</formula>
    </cfRule>
    <cfRule type="expression" dxfId="11082" priority="492">
      <formula>AND(Y$9&gt;=8/24,Y$9&lt;14/24)</formula>
    </cfRule>
    <cfRule type="expression" dxfId="11081" priority="493">
      <formula>Y$9&lt;8/24</formula>
    </cfRule>
  </conditionalFormatting>
  <conditionalFormatting sqref="C109 C111:C116 Z34:AF43 Z17:AF32">
    <cfRule type="expression" dxfId="11080" priority="486">
      <formula>C$9&gt;=20/24</formula>
    </cfRule>
    <cfRule type="expression" dxfId="11079" priority="487">
      <formula>AND(C$9&gt;=14/24,C$9&lt;20/24)</formula>
    </cfRule>
    <cfRule type="expression" dxfId="11078" priority="488">
      <formula>AND(C$9&gt;=8/24,C$9&lt;14/24)</formula>
    </cfRule>
    <cfRule type="expression" dxfId="11077" priority="489">
      <formula>C$9&lt;8/24</formula>
    </cfRule>
  </conditionalFormatting>
  <conditionalFormatting sqref="D47:S47">
    <cfRule type="expression" dxfId="11076" priority="482">
      <formula>D$9&gt;=20/24</formula>
    </cfRule>
    <cfRule type="expression" dxfId="11075" priority="483">
      <formula>AND(D$9&gt;=14/24,D$9&lt;20/24)</formula>
    </cfRule>
    <cfRule type="expression" dxfId="11074" priority="484">
      <formula>AND(D$9&gt;=8/24,D$9&lt;14/24)</formula>
    </cfRule>
    <cfRule type="expression" dxfId="11073" priority="485">
      <formula>D$9&lt;8/24</formula>
    </cfRule>
  </conditionalFormatting>
  <conditionalFormatting sqref="D47:S47 Z34:AF43 Z17:AF32">
    <cfRule type="expression" dxfId="11072" priority="481">
      <formula>D17&gt;$AG17</formula>
    </cfRule>
  </conditionalFormatting>
  <conditionalFormatting sqref="C99:D99">
    <cfRule type="expression" dxfId="11071" priority="477">
      <formula>C$9&gt;=20/24</formula>
    </cfRule>
    <cfRule type="expression" dxfId="11070" priority="478">
      <formula>AND(C$9&gt;=14/24,C$9&lt;20/24)</formula>
    </cfRule>
    <cfRule type="expression" dxfId="11069" priority="479">
      <formula>AND(C$9&gt;=8/24,C$9&lt;14/24)</formula>
    </cfRule>
    <cfRule type="expression" dxfId="11068" priority="480">
      <formula>C$9&lt;8/24</formula>
    </cfRule>
  </conditionalFormatting>
  <conditionalFormatting sqref="C86 C96:W96 C83:AF85 C100:D106 Y75:AA75 E67:R69 E76:AA76 E74:X75 AB75:AF76">
    <cfRule type="expression" dxfId="11067" priority="473">
      <formula>C$9&gt;=20/24</formula>
    </cfRule>
    <cfRule type="expression" dxfId="11066" priority="474">
      <formula>AND(C$9&gt;=14/24,C$9&lt;20/24)</formula>
    </cfRule>
    <cfRule type="expression" dxfId="11065" priority="475">
      <formula>AND(C$9&gt;=8/24,C$9&lt;14/24)</formula>
    </cfRule>
    <cfRule type="expression" dxfId="11064" priority="476">
      <formula>C$9&lt;8/24</formula>
    </cfRule>
  </conditionalFormatting>
  <conditionalFormatting sqref="E56:L57 E67:R69">
    <cfRule type="expression" dxfId="11063" priority="472">
      <formula>E56&gt;$AG56</formula>
    </cfRule>
  </conditionalFormatting>
  <conditionalFormatting sqref="E58:Y58">
    <cfRule type="expression" dxfId="11062" priority="468">
      <formula>E$9&gt;=20/24</formula>
    </cfRule>
    <cfRule type="expression" dxfId="11061" priority="469">
      <formula>AND(E$9&gt;=14/24,E$9&lt;20/24)</formula>
    </cfRule>
    <cfRule type="expression" dxfId="11060" priority="470">
      <formula>AND(E$9&gt;=8/24,E$9&lt;14/24)</formula>
    </cfRule>
    <cfRule type="expression" dxfId="11059" priority="471">
      <formula>E$9&lt;8/24</formula>
    </cfRule>
  </conditionalFormatting>
  <conditionalFormatting sqref="E58:Y58">
    <cfRule type="expression" dxfId="11058" priority="467">
      <formula>E58&gt;$AG58</formula>
    </cfRule>
  </conditionalFormatting>
  <conditionalFormatting sqref="D54:D55">
    <cfRule type="expression" dxfId="11057" priority="391">
      <formula>D$9&gt;=20/24</formula>
    </cfRule>
    <cfRule type="expression" dxfId="11056" priority="392">
      <formula>AND(D$9&gt;=14/24,D$9&lt;20/24)</formula>
    </cfRule>
    <cfRule type="expression" dxfId="11055" priority="393">
      <formula>AND(D$9&gt;=8/24,D$9&lt;14/24)</formula>
    </cfRule>
    <cfRule type="expression" dxfId="11054" priority="394">
      <formula>D$9&lt;8/24</formula>
    </cfRule>
  </conditionalFormatting>
  <conditionalFormatting sqref="T46:AF46">
    <cfRule type="expression" dxfId="11053" priority="463">
      <formula>T$9&gt;=20/24</formula>
    </cfRule>
    <cfRule type="expression" dxfId="11052" priority="464">
      <formula>AND(T$9&gt;=14/24,T$9&lt;20/24)</formula>
    </cfRule>
    <cfRule type="expression" dxfId="11051" priority="465">
      <formula>AND(T$9&gt;=8/24,T$9&lt;14/24)</formula>
    </cfRule>
    <cfRule type="expression" dxfId="11050" priority="466">
      <formula>T$9&lt;8/24</formula>
    </cfRule>
  </conditionalFormatting>
  <conditionalFormatting sqref="T46:AF46">
    <cfRule type="expression" dxfId="11049" priority="462">
      <formula>T46&gt;$AG46</formula>
    </cfRule>
  </conditionalFormatting>
  <conditionalFormatting sqref="C87:AF87 C89:AF89 C98:AF98 C70:AF70">
    <cfRule type="expression" dxfId="11048" priority="458">
      <formula>C$9&gt;=20/24</formula>
    </cfRule>
    <cfRule type="expression" dxfId="11047" priority="459">
      <formula>AND(C$9&gt;=14/24,C$9&lt;20/24)</formula>
    </cfRule>
    <cfRule type="expression" dxfId="11046" priority="460">
      <formula>AND(C$9&gt;=8/24,C$9&lt;14/24)</formula>
    </cfRule>
    <cfRule type="expression" dxfId="11045" priority="461">
      <formula>C$9&lt;8/24</formula>
    </cfRule>
  </conditionalFormatting>
  <conditionalFormatting sqref="C70:AF70 D48:AF48 D65:AF66">
    <cfRule type="expression" dxfId="11044" priority="457">
      <formula>C48&gt;$AG48</formula>
    </cfRule>
  </conditionalFormatting>
  <conditionalFormatting sqref="C82:AF82">
    <cfRule type="expression" dxfId="11043" priority="453">
      <formula>C$9&gt;=20/24</formula>
    </cfRule>
    <cfRule type="expression" dxfId="11042" priority="454">
      <formula>AND(C$9&gt;=14/24,C$9&lt;20/24)</formula>
    </cfRule>
    <cfRule type="expression" dxfId="11041" priority="455">
      <formula>AND(C$9&gt;=8/24,C$9&lt;14/24)</formula>
    </cfRule>
    <cfRule type="expression" dxfId="11040" priority="456">
      <formula>C$9&lt;8/24</formula>
    </cfRule>
  </conditionalFormatting>
  <conditionalFormatting sqref="C91:W95">
    <cfRule type="expression" dxfId="11039" priority="449">
      <formula>C$9&gt;=20/24</formula>
    </cfRule>
    <cfRule type="expression" dxfId="11038" priority="450">
      <formula>AND(C$9&gt;=14/24,C$9&lt;20/24)</formula>
    </cfRule>
    <cfRule type="expression" dxfId="11037" priority="451">
      <formula>AND(C$9&gt;=8/24,C$9&lt;14/24)</formula>
    </cfRule>
    <cfRule type="expression" dxfId="11036" priority="452">
      <formula>C$9&lt;8/24</formula>
    </cfRule>
  </conditionalFormatting>
  <conditionalFormatting sqref="D52:AF52">
    <cfRule type="expression" dxfId="11035" priority="445">
      <formula>D$9&gt;=20/24</formula>
    </cfRule>
    <cfRule type="expression" dxfId="11034" priority="446">
      <formula>AND(D$9&gt;=14/24,D$9&lt;20/24)</formula>
    </cfRule>
    <cfRule type="expression" dxfId="11033" priority="447">
      <formula>AND(D$9&gt;=8/24,D$9&lt;14/24)</formula>
    </cfRule>
    <cfRule type="expression" dxfId="11032" priority="448">
      <formula>D$9&lt;8/24</formula>
    </cfRule>
  </conditionalFormatting>
  <conditionalFormatting sqref="D52:AF52">
    <cfRule type="expression" dxfId="11031" priority="444">
      <formula>D52&gt;$AG52</formula>
    </cfRule>
  </conditionalFormatting>
  <conditionalFormatting sqref="D49:D51">
    <cfRule type="expression" dxfId="11030" priority="359">
      <formula>D$9&gt;=20/24</formula>
    </cfRule>
    <cfRule type="expression" dxfId="11029" priority="360">
      <formula>AND(D$9&gt;=14/24,D$9&lt;20/24)</formula>
    </cfRule>
    <cfRule type="expression" dxfId="11028" priority="361">
      <formula>AND(D$9&gt;=8/24,D$9&lt;14/24)</formula>
    </cfRule>
    <cfRule type="expression" dxfId="11027" priority="362">
      <formula>D$9&lt;8/24</formula>
    </cfRule>
  </conditionalFormatting>
  <conditionalFormatting sqref="C110">
    <cfRule type="expression" dxfId="11026" priority="436">
      <formula>C$9&gt;=20/24</formula>
    </cfRule>
    <cfRule type="expression" dxfId="11025" priority="437">
      <formula>AND(C$9&gt;=14/24,C$9&lt;20/24)</formula>
    </cfRule>
    <cfRule type="expression" dxfId="11024" priority="438">
      <formula>AND(C$9&gt;=8/24,C$9&lt;14/24)</formula>
    </cfRule>
    <cfRule type="expression" dxfId="11023" priority="439">
      <formula>C$9&lt;8/24</formula>
    </cfRule>
  </conditionalFormatting>
  <conditionalFormatting sqref="M59:Y60 Z59:AF62 Z64:AF64">
    <cfRule type="expression" dxfId="11022" priority="432">
      <formula>M$9&gt;=20/24</formula>
    </cfRule>
    <cfRule type="expression" dxfId="11021" priority="433">
      <formula>AND(M$9&gt;=14/24,M$9&lt;20/24)</formula>
    </cfRule>
    <cfRule type="expression" dxfId="11020" priority="434">
      <formula>AND(M$9&gt;=8/24,M$9&lt;14/24)</formula>
    </cfRule>
    <cfRule type="expression" dxfId="11019" priority="435">
      <formula>M$9&lt;8/24</formula>
    </cfRule>
  </conditionalFormatting>
  <conditionalFormatting sqref="M59:Y60 Z59:AF62 Z64:AF64">
    <cfRule type="expression" dxfId="11018" priority="431">
      <formula>M59&gt;$AG59</formula>
    </cfRule>
  </conditionalFormatting>
  <conditionalFormatting sqref="Z45:AF45 Z13:AF15">
    <cfRule type="expression" dxfId="11017" priority="430">
      <formula>Z13&gt;$AG13</formula>
    </cfRule>
  </conditionalFormatting>
  <conditionalFormatting sqref="Z12:AF12">
    <cfRule type="expression" dxfId="11016" priority="426">
      <formula>Z$9&gt;=20/24</formula>
    </cfRule>
    <cfRule type="expression" dxfId="11015" priority="427">
      <formula>AND(Z$9&gt;=14/24,Z$9&lt;20/24)</formula>
    </cfRule>
    <cfRule type="expression" dxfId="11014" priority="428">
      <formula>AND(Z$9&gt;=8/24,Z$9&lt;14/24)</formula>
    </cfRule>
    <cfRule type="expression" dxfId="11013" priority="429">
      <formula>Z$9&lt;8/24</formula>
    </cfRule>
  </conditionalFormatting>
  <conditionalFormatting sqref="Z12:AF12">
    <cfRule type="expression" dxfId="11012" priority="425">
      <formula>Z12&gt;$AG12</formula>
    </cfRule>
  </conditionalFormatting>
  <conditionalFormatting sqref="Z13:AF15">
    <cfRule type="expression" dxfId="11011" priority="421">
      <formula>Z$9&gt;=20/24</formula>
    </cfRule>
    <cfRule type="expression" dxfId="11010" priority="422">
      <formula>AND(Z$9&gt;=14/24,Z$9&lt;20/24)</formula>
    </cfRule>
    <cfRule type="expression" dxfId="11009" priority="423">
      <formula>AND(Z$9&gt;=8/24,Z$9&lt;14/24)</formula>
    </cfRule>
    <cfRule type="expression" dxfId="11008" priority="424">
      <formula>Z$9&lt;8/24</formula>
    </cfRule>
  </conditionalFormatting>
  <conditionalFormatting sqref="Z45:AF45">
    <cfRule type="expression" dxfId="11007" priority="417">
      <formula>Z$9&gt;=20/24</formula>
    </cfRule>
    <cfRule type="expression" dxfId="11006" priority="418">
      <formula>AND(Z$9&gt;=14/24,Z$9&lt;20/24)</formula>
    </cfRule>
    <cfRule type="expression" dxfId="11005" priority="419">
      <formula>AND(Z$9&gt;=8/24,Z$9&lt;14/24)</formula>
    </cfRule>
    <cfRule type="expression" dxfId="11004" priority="420">
      <formula>Z$9&lt;8/24</formula>
    </cfRule>
  </conditionalFormatting>
  <conditionalFormatting sqref="E77:AF81">
    <cfRule type="expression" dxfId="11003" priority="413">
      <formula>E$9&gt;=20/24</formula>
    </cfRule>
    <cfRule type="expression" dxfId="11002" priority="414">
      <formula>AND(E$9&gt;=14/24,E$9&lt;20/24)</formula>
    </cfRule>
    <cfRule type="expression" dxfId="11001" priority="415">
      <formula>AND(E$9&gt;=8/24,E$9&lt;14/24)</formula>
    </cfRule>
    <cfRule type="expression" dxfId="11000" priority="416">
      <formula>E$9&lt;8/24</formula>
    </cfRule>
  </conditionalFormatting>
  <conditionalFormatting sqref="AL78:AN78 AL84:AN84 AN79:AN80">
    <cfRule type="expression" dxfId="10999" priority="409">
      <formula>AL$9&gt;=20/24</formula>
    </cfRule>
    <cfRule type="expression" dxfId="10998" priority="410">
      <formula>AND(AL$9&gt;=14/24,AL$9&lt;20/24)</formula>
    </cfRule>
    <cfRule type="expression" dxfId="10997" priority="411">
      <formula>AND(AL$9&gt;=8/24,AL$9&lt;14/24)</formula>
    </cfRule>
    <cfRule type="expression" dxfId="10996" priority="412">
      <formula>AL$9&lt;8/24</formula>
    </cfRule>
  </conditionalFormatting>
  <conditionalFormatting sqref="AN81:AN82">
    <cfRule type="expression" dxfId="10995" priority="405">
      <formula>AN$9&gt;=20/24</formula>
    </cfRule>
    <cfRule type="expression" dxfId="10994" priority="406">
      <formula>AND(AN$9&gt;=14/24,AN$9&lt;20/24)</formula>
    </cfRule>
    <cfRule type="expression" dxfId="10993" priority="407">
      <formula>AND(AN$9&gt;=8/24,AN$9&lt;14/24)</formula>
    </cfRule>
    <cfRule type="expression" dxfId="10992" priority="408">
      <formula>AN$9&lt;8/24</formula>
    </cfRule>
  </conditionalFormatting>
  <conditionalFormatting sqref="AL79:AM83">
    <cfRule type="expression" dxfId="10991" priority="627">
      <formula>AJ$9&gt;=20/24</formula>
    </cfRule>
    <cfRule type="expression" dxfId="10990" priority="628">
      <formula>AND(AJ$9&gt;=14/24,AJ$9&lt;20/24)</formula>
    </cfRule>
    <cfRule type="expression" dxfId="10989" priority="629">
      <formula>AND(AJ$9&gt;=8/24,AJ$9&lt;14/24)</formula>
    </cfRule>
    <cfRule type="expression" dxfId="10988" priority="630">
      <formula>AJ$9&lt;8/24</formula>
    </cfRule>
  </conditionalFormatting>
  <conditionalFormatting sqref="A117">
    <cfRule type="expression" dxfId="10987" priority="404">
      <formula>$AH117=0</formula>
    </cfRule>
  </conditionalFormatting>
  <conditionalFormatting sqref="D53">
    <cfRule type="expression" dxfId="10986" priority="387">
      <formula>D$9&gt;=20/24</formula>
    </cfRule>
    <cfRule type="expression" dxfId="10985" priority="388">
      <formula>AND(D$9&gt;=14/24,D$9&lt;20/24)</formula>
    </cfRule>
    <cfRule type="expression" dxfId="10984" priority="389">
      <formula>AND(D$9&gt;=8/24,D$9&lt;14/24)</formula>
    </cfRule>
    <cfRule type="expression" dxfId="10983" priority="390">
      <formula>D$9&lt;8/24</formula>
    </cfRule>
  </conditionalFormatting>
  <conditionalFormatting sqref="D53:D55">
    <cfRule type="expression" dxfId="10982" priority="386">
      <formula>D53&gt;$AG53</formula>
    </cfRule>
  </conditionalFormatting>
  <conditionalFormatting sqref="C88">
    <cfRule type="expression" dxfId="10981" priority="377">
      <formula>C$9&gt;=20/24</formula>
    </cfRule>
    <cfRule type="expression" dxfId="10980" priority="378">
      <formula>AND(C$9&gt;=14/24,C$9&lt;20/24)</formula>
    </cfRule>
    <cfRule type="expression" dxfId="10979" priority="379">
      <formula>AND(C$9&gt;=8/24,C$9&lt;14/24)</formula>
    </cfRule>
    <cfRule type="expression" dxfId="10978" priority="380">
      <formula>C$9&lt;8/24</formula>
    </cfRule>
  </conditionalFormatting>
  <conditionalFormatting sqref="F46:S46">
    <cfRule type="expression" dxfId="10977" priority="373">
      <formula>F$9&gt;=20/24</formula>
    </cfRule>
    <cfRule type="expression" dxfId="10976" priority="374">
      <formula>AND(F$9&gt;=14/24,F$9&lt;20/24)</formula>
    </cfRule>
    <cfRule type="expression" dxfId="10975" priority="375">
      <formula>AND(F$9&gt;=8/24,F$9&lt;14/24)</formula>
    </cfRule>
    <cfRule type="expression" dxfId="10974" priority="376">
      <formula>F$9&lt;8/24</formula>
    </cfRule>
  </conditionalFormatting>
  <conditionalFormatting sqref="F46:S46">
    <cfRule type="expression" dxfId="10973" priority="372">
      <formula>F46&gt;$AG46</formula>
    </cfRule>
  </conditionalFormatting>
  <conditionalFormatting sqref="D49:D51">
    <cfRule type="expression" dxfId="10972" priority="358">
      <formula>D49&gt;$AG49</formula>
    </cfRule>
  </conditionalFormatting>
  <conditionalFormatting sqref="A11">
    <cfRule type="expression" dxfId="10971" priority="318">
      <formula>$AH11=0</formula>
    </cfRule>
  </conditionalFormatting>
  <conditionalFormatting sqref="Z11:AF11">
    <cfRule type="expression" dxfId="10970" priority="314">
      <formula>Z$9&gt;=20/24</formula>
    </cfRule>
    <cfRule type="expression" dxfId="10969" priority="315">
      <formula>AND(Z$9&gt;=14/24,Z$9&lt;20/24)</formula>
    </cfRule>
    <cfRule type="expression" dxfId="10968" priority="316">
      <formula>AND(Z$9&gt;=8/24,Z$9&lt;14/24)</formula>
    </cfRule>
    <cfRule type="expression" dxfId="10967" priority="317">
      <formula>Z$9&lt;8/24</formula>
    </cfRule>
  </conditionalFormatting>
  <conditionalFormatting sqref="Z11:AF11">
    <cfRule type="expression" dxfId="10966" priority="313">
      <formula>Z11&gt;$AG11</formula>
    </cfRule>
  </conditionalFormatting>
  <conditionalFormatting sqref="A16">
    <cfRule type="expression" dxfId="10965" priority="306">
      <formula>$AH16=0</formula>
    </cfRule>
  </conditionalFormatting>
  <conditionalFormatting sqref="AL16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10964" priority="302">
      <formula>Z$9&gt;=20/24</formula>
    </cfRule>
    <cfRule type="expression" dxfId="10963" priority="303">
      <formula>AND(Z$9&gt;=14/24,Z$9&lt;20/24)</formula>
    </cfRule>
    <cfRule type="expression" dxfId="10962" priority="304">
      <formula>AND(Z$9&gt;=8/24,Z$9&lt;14/24)</formula>
    </cfRule>
    <cfRule type="expression" dxfId="10961" priority="305">
      <formula>Z$9&lt;8/24</formula>
    </cfRule>
  </conditionalFormatting>
  <conditionalFormatting sqref="Z16:AF16">
    <cfRule type="expression" dxfId="10960" priority="301">
      <formula>Z16&gt;$AG16</formula>
    </cfRule>
  </conditionalFormatting>
  <conditionalFormatting sqref="A33">
    <cfRule type="expression" dxfId="10959" priority="294">
      <formula>$AH33=0</formula>
    </cfRule>
  </conditionalFormatting>
  <conditionalFormatting sqref="AL33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10958" priority="290">
      <formula>Z$9&gt;=20/24</formula>
    </cfRule>
    <cfRule type="expression" dxfId="10957" priority="291">
      <formula>AND(Z$9&gt;=14/24,Z$9&lt;20/24)</formula>
    </cfRule>
    <cfRule type="expression" dxfId="10956" priority="292">
      <formula>AND(Z$9&gt;=8/24,Z$9&lt;14/24)</formula>
    </cfRule>
    <cfRule type="expression" dxfId="10955" priority="293">
      <formula>Z$9&lt;8/24</formula>
    </cfRule>
  </conditionalFormatting>
  <conditionalFormatting sqref="Z33:AF33">
    <cfRule type="expression" dxfId="10954" priority="289">
      <formula>Z33&gt;$AG33</formula>
    </cfRule>
  </conditionalFormatting>
  <conditionalFormatting sqref="A44">
    <cfRule type="expression" dxfId="10953" priority="282">
      <formula>$AH44=0</formula>
    </cfRule>
  </conditionalFormatting>
  <conditionalFormatting sqref="AL44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10952" priority="281">
      <formula>Z44&gt;$AG44</formula>
    </cfRule>
  </conditionalFormatting>
  <conditionalFormatting sqref="Z44:AF44">
    <cfRule type="expression" dxfId="10951" priority="277">
      <formula>Z$9&gt;=20/24</formula>
    </cfRule>
    <cfRule type="expression" dxfId="10950" priority="278">
      <formula>AND(Z$9&gt;=14/24,Z$9&lt;20/24)</formula>
    </cfRule>
    <cfRule type="expression" dxfId="10949" priority="279">
      <formula>AND(Z$9&gt;=8/24,Z$9&lt;14/24)</formula>
    </cfRule>
    <cfRule type="expression" dxfId="10948" priority="280">
      <formula>Z$9&lt;8/24</formula>
    </cfRule>
  </conditionalFormatting>
  <conditionalFormatting sqref="D117:AF117">
    <cfRule type="expression" dxfId="10947" priority="268">
      <formula>D$9&gt;=20/24</formula>
    </cfRule>
    <cfRule type="expression" dxfId="10946" priority="269">
      <formula>AND(D$9&gt;=14/24,D$9&lt;20/24)</formula>
    </cfRule>
    <cfRule type="expression" dxfId="10945" priority="270">
      <formula>AND(D$9&gt;=8/24,D$9&lt;14/24)</formula>
    </cfRule>
    <cfRule type="expression" dxfId="10944" priority="271">
      <formula>D$9&lt;8/24</formula>
    </cfRule>
  </conditionalFormatting>
  <conditionalFormatting sqref="C117">
    <cfRule type="expression" dxfId="10943" priority="264">
      <formula>C$9&gt;=20/24</formula>
    </cfRule>
    <cfRule type="expression" dxfId="10942" priority="265">
      <formula>AND(C$9&gt;=14/24,C$9&lt;20/24)</formula>
    </cfRule>
    <cfRule type="expression" dxfId="10941" priority="266">
      <formula>AND(C$9&gt;=8/24,C$9&lt;14/24)</formula>
    </cfRule>
    <cfRule type="expression" dxfId="10940" priority="267">
      <formula>C$9&lt;8/24</formula>
    </cfRule>
  </conditionalFormatting>
  <conditionalFormatting sqref="B109 B111:B116">
    <cfRule type="expression" dxfId="10939" priority="129">
      <formula>B$9&gt;=20/24</formula>
    </cfRule>
    <cfRule type="expression" dxfId="10938" priority="130">
      <formula>AND(B$9&gt;=14/24,B$9&lt;20/24)</formula>
    </cfRule>
    <cfRule type="expression" dxfId="10937" priority="131">
      <formula>AND(B$9&gt;=8/24,B$9&lt;14/24)</formula>
    </cfRule>
    <cfRule type="expression" dxfId="10936" priority="132">
      <formula>B$9&lt;8/24</formula>
    </cfRule>
  </conditionalFormatting>
  <conditionalFormatting sqref="B99">
    <cfRule type="expression" dxfId="10935" priority="125">
      <formula>B$9&gt;=20/24</formula>
    </cfRule>
    <cfRule type="expression" dxfId="10934" priority="126">
      <formula>AND(B$9&gt;=14/24,B$9&lt;20/24)</formula>
    </cfRule>
    <cfRule type="expression" dxfId="10933" priority="127">
      <formula>AND(B$9&gt;=8/24,B$9&lt;14/24)</formula>
    </cfRule>
    <cfRule type="expression" dxfId="10932" priority="128">
      <formula>B$9&lt;8/24</formula>
    </cfRule>
  </conditionalFormatting>
  <conditionalFormatting sqref="B54:C57 D56:D57 B71:D71">
    <cfRule type="expression" dxfId="10931" priority="121">
      <formula>B$9&gt;=20/24</formula>
    </cfRule>
    <cfRule type="expression" dxfId="10930" priority="122">
      <formula>AND(B$9&gt;=14/24,B$9&lt;20/24)</formula>
    </cfRule>
    <cfRule type="expression" dxfId="10929" priority="123">
      <formula>AND(B$9&gt;=8/24,B$9&lt;14/24)</formula>
    </cfRule>
    <cfRule type="expression" dxfId="10928" priority="124">
      <formula>B$9&lt;8/24</formula>
    </cfRule>
  </conditionalFormatting>
  <conditionalFormatting sqref="B53:C53">
    <cfRule type="expression" dxfId="10927" priority="117">
      <formula>B$9&gt;=20/24</formula>
    </cfRule>
    <cfRule type="expression" dxfId="10926" priority="118">
      <formula>AND(B$9&gt;=14/24,B$9&lt;20/24)</formula>
    </cfRule>
    <cfRule type="expression" dxfId="10925" priority="119">
      <formula>AND(B$9&gt;=8/24,B$9&lt;14/24)</formula>
    </cfRule>
    <cfRule type="expression" dxfId="10924" priority="120">
      <formula>B$9&lt;8/24</formula>
    </cfRule>
  </conditionalFormatting>
  <conditionalFormatting sqref="B53:C57 D56:D57">
    <cfRule type="expression" dxfId="10923" priority="116">
      <formula>B53&gt;$AG53</formula>
    </cfRule>
  </conditionalFormatting>
  <conditionalFormatting sqref="B96 B100:B106 B86 B47:C47 B67:D69 B72:D74">
    <cfRule type="expression" dxfId="10922" priority="112">
      <formula>B$9&gt;=20/24</formula>
    </cfRule>
    <cfRule type="expression" dxfId="10921" priority="113">
      <formula>AND(B$9&gt;=14/24,B$9&lt;20/24)</formula>
    </cfRule>
    <cfRule type="expression" dxfId="10920" priority="114">
      <formula>AND(B$9&gt;=8/24,B$9&lt;14/24)</formula>
    </cfRule>
    <cfRule type="expression" dxfId="10919" priority="115">
      <formula>B$9&lt;8/24</formula>
    </cfRule>
  </conditionalFormatting>
  <conditionalFormatting sqref="B47:C47 B67:D69">
    <cfRule type="expression" dxfId="10918" priority="111">
      <formula>B47&gt;$AG47</formula>
    </cfRule>
  </conditionalFormatting>
  <conditionalFormatting sqref="B97 B88">
    <cfRule type="expression" dxfId="10917" priority="107">
      <formula>B$9&gt;=20/24</formula>
    </cfRule>
    <cfRule type="expression" dxfId="10916" priority="108">
      <formula>AND(B$9&gt;=14/24,B$9&lt;20/24)</formula>
    </cfRule>
    <cfRule type="expression" dxfId="10915" priority="109">
      <formula>AND(B$9&gt;=8/24,B$9&lt;14/24)</formula>
    </cfRule>
    <cfRule type="expression" dxfId="10914" priority="110">
      <formula>B$9&lt;8/24</formula>
    </cfRule>
  </conditionalFormatting>
  <conditionalFormatting sqref="B58:D58">
    <cfRule type="expression" dxfId="10913" priority="103">
      <formula>B$9&gt;=20/24</formula>
    </cfRule>
    <cfRule type="expression" dxfId="10912" priority="104">
      <formula>AND(B$9&gt;=14/24,B$9&lt;20/24)</formula>
    </cfRule>
    <cfRule type="expression" dxfId="10911" priority="105">
      <formula>AND(B$9&gt;=8/24,B$9&lt;14/24)</formula>
    </cfRule>
    <cfRule type="expression" dxfId="10910" priority="106">
      <formula>B$9&lt;8/24</formula>
    </cfRule>
  </conditionalFormatting>
  <conditionalFormatting sqref="B58:D58">
    <cfRule type="expression" dxfId="10909" priority="102">
      <formula>B58&gt;$AG58</formula>
    </cfRule>
  </conditionalFormatting>
  <conditionalFormatting sqref="B91:B95">
    <cfRule type="expression" dxfId="10908" priority="98">
      <formula>B$9&gt;=20/24</formula>
    </cfRule>
    <cfRule type="expression" dxfId="10907" priority="99">
      <formula>AND(B$9&gt;=14/24,B$9&lt;20/24)</formula>
    </cfRule>
    <cfRule type="expression" dxfId="10906" priority="100">
      <formula>AND(B$9&gt;=8/24,B$9&lt;14/24)</formula>
    </cfRule>
    <cfRule type="expression" dxfId="10905" priority="101">
      <formula>B$9&lt;8/24</formula>
    </cfRule>
  </conditionalFormatting>
  <conditionalFormatting sqref="B49:C51">
    <cfRule type="expression" dxfId="10904" priority="94">
      <formula>B$9&gt;=20/24</formula>
    </cfRule>
    <cfRule type="expression" dxfId="10903" priority="95">
      <formula>AND(B$9&gt;=14/24,B$9&lt;20/24)</formula>
    </cfRule>
    <cfRule type="expression" dxfId="10902" priority="96">
      <formula>AND(B$9&gt;=8/24,B$9&lt;14/24)</formula>
    </cfRule>
    <cfRule type="expression" dxfId="10901" priority="97">
      <formula>B$9&lt;8/24</formula>
    </cfRule>
  </conditionalFormatting>
  <conditionalFormatting sqref="B49:C51">
    <cfRule type="expression" dxfId="10900" priority="93">
      <formula>B49&gt;$AG49</formula>
    </cfRule>
  </conditionalFormatting>
  <conditionalFormatting sqref="B107">
    <cfRule type="expression" dxfId="10899" priority="89">
      <formula>B$9&gt;=20/24</formula>
    </cfRule>
    <cfRule type="expression" dxfId="10898" priority="90">
      <formula>AND(B$9&gt;=14/24,B$9&lt;20/24)</formula>
    </cfRule>
    <cfRule type="expression" dxfId="10897" priority="91">
      <formula>AND(B$9&gt;=8/24,B$9&lt;14/24)</formula>
    </cfRule>
    <cfRule type="expression" dxfId="10896" priority="92">
      <formula>B$9&lt;8/24</formula>
    </cfRule>
  </conditionalFormatting>
  <conditionalFormatting sqref="B110">
    <cfRule type="expression" dxfId="10895" priority="85">
      <formula>B$9&gt;=20/24</formula>
    </cfRule>
    <cfRule type="expression" dxfId="10894" priority="86">
      <formula>AND(B$9&gt;=14/24,B$9&lt;20/24)</formula>
    </cfRule>
    <cfRule type="expression" dxfId="10893" priority="87">
      <formula>AND(B$9&gt;=8/24,B$9&lt;14/24)</formula>
    </cfRule>
    <cfRule type="expression" dxfId="10892" priority="88">
      <formula>B$9&lt;8/24</formula>
    </cfRule>
  </conditionalFormatting>
  <conditionalFormatting sqref="B34:Y43 B17:Y32">
    <cfRule type="expression" dxfId="10891" priority="81">
      <formula>B$9&gt;=20/24</formula>
    </cfRule>
    <cfRule type="expression" dxfId="10890" priority="82">
      <formula>AND(B$9&gt;=14/24,B$9&lt;20/24)</formula>
    </cfRule>
    <cfRule type="expression" dxfId="10889" priority="83">
      <formula>AND(B$9&gt;=8/24,B$9&lt;14/24)</formula>
    </cfRule>
    <cfRule type="expression" dxfId="10888" priority="84">
      <formula>B$9&lt;8/24</formula>
    </cfRule>
  </conditionalFormatting>
  <conditionalFormatting sqref="B34:Y43 B17:Y32">
    <cfRule type="expression" dxfId="10887" priority="80">
      <formula>B17&gt;$AG17</formula>
    </cfRule>
  </conditionalFormatting>
  <conditionalFormatting sqref="B83:B85 B75:D76">
    <cfRule type="expression" dxfId="10886" priority="76">
      <formula>B$9&gt;=20/24</formula>
    </cfRule>
    <cfRule type="expression" dxfId="10885" priority="77">
      <formula>AND(B$9&gt;=14/24,B$9&lt;20/24)</formula>
    </cfRule>
    <cfRule type="expression" dxfId="10884" priority="78">
      <formula>AND(B$9&gt;=8/24,B$9&lt;14/24)</formula>
    </cfRule>
    <cfRule type="expression" dxfId="10883" priority="79">
      <formula>B$9&lt;8/24</formula>
    </cfRule>
  </conditionalFormatting>
  <conditionalFormatting sqref="B46:E46">
    <cfRule type="expression" dxfId="10882" priority="72">
      <formula>B$9&gt;=20/24</formula>
    </cfRule>
    <cfRule type="expression" dxfId="10881" priority="73">
      <formula>AND(B$9&gt;=14/24,B$9&lt;20/24)</formula>
    </cfRule>
    <cfRule type="expression" dxfId="10880" priority="74">
      <formula>AND(B$9&gt;=8/24,B$9&lt;14/24)</formula>
    </cfRule>
    <cfRule type="expression" dxfId="10879" priority="75">
      <formula>B$9&lt;8/24</formula>
    </cfRule>
  </conditionalFormatting>
  <conditionalFormatting sqref="B46:E46">
    <cfRule type="expression" dxfId="10878" priority="71">
      <formula>B46&gt;$AG46</formula>
    </cfRule>
  </conditionalFormatting>
  <conditionalFormatting sqref="B98 B89 B87 B70">
    <cfRule type="expression" dxfId="10877" priority="67">
      <formula>B$9&gt;=20/24</formula>
    </cfRule>
    <cfRule type="expression" dxfId="10876" priority="68">
      <formula>AND(B$9&gt;=14/24,B$9&lt;20/24)</formula>
    </cfRule>
    <cfRule type="expression" dxfId="10875" priority="69">
      <formula>AND(B$9&gt;=8/24,B$9&lt;14/24)</formula>
    </cfRule>
    <cfRule type="expression" dxfId="10874" priority="70">
      <formula>B$9&lt;8/24</formula>
    </cfRule>
  </conditionalFormatting>
  <conditionalFormatting sqref="B70 B48:C48 B65:C66">
    <cfRule type="expression" dxfId="10873" priority="66">
      <formula>B48&gt;$AG48</formula>
    </cfRule>
  </conditionalFormatting>
  <conditionalFormatting sqref="B82">
    <cfRule type="expression" dxfId="10872" priority="62">
      <formula>B$9&gt;=20/24</formula>
    </cfRule>
    <cfRule type="expression" dxfId="10871" priority="63">
      <formula>AND(B$9&gt;=14/24,B$9&lt;20/24)</formula>
    </cfRule>
    <cfRule type="expression" dxfId="10870" priority="64">
      <formula>AND(B$9&gt;=8/24,B$9&lt;14/24)</formula>
    </cfRule>
    <cfRule type="expression" dxfId="10869" priority="65">
      <formula>B$9&lt;8/24</formula>
    </cfRule>
  </conditionalFormatting>
  <conditionalFormatting sqref="B52:C52">
    <cfRule type="expression" dxfId="10868" priority="58">
      <formula>B$9&gt;=20/24</formula>
    </cfRule>
    <cfRule type="expression" dxfId="10867" priority="59">
      <formula>AND(B$9&gt;=14/24,B$9&lt;20/24)</formula>
    </cfRule>
    <cfRule type="expression" dxfId="10866" priority="60">
      <formula>AND(B$9&gt;=8/24,B$9&lt;14/24)</formula>
    </cfRule>
    <cfRule type="expression" dxfId="10865" priority="61">
      <formula>B$9&lt;8/24</formula>
    </cfRule>
  </conditionalFormatting>
  <conditionalFormatting sqref="B52:C52">
    <cfRule type="expression" dxfId="10864" priority="57">
      <formula>B52&gt;$AG52</formula>
    </cfRule>
  </conditionalFormatting>
  <conditionalFormatting sqref="B59:L62 M61:Y62 B64:Y64 B63:AF63">
    <cfRule type="expression" dxfId="10863" priority="49">
      <formula>B$9&gt;=20/24</formula>
    </cfRule>
    <cfRule type="expression" dxfId="10862" priority="50">
      <formula>AND(B$9&gt;=14/24,B$9&lt;20/24)</formula>
    </cfRule>
    <cfRule type="expression" dxfId="10861" priority="51">
      <formula>AND(B$9&gt;=8/24,B$9&lt;14/24)</formula>
    </cfRule>
    <cfRule type="expression" dxfId="10860" priority="52">
      <formula>B$9&lt;8/24</formula>
    </cfRule>
  </conditionalFormatting>
  <conditionalFormatting sqref="B59:L62 M61:Y62 B64:Y64 B63:AF63">
    <cfRule type="expression" dxfId="10859" priority="48">
      <formula>B59&gt;$AG59</formula>
    </cfRule>
  </conditionalFormatting>
  <conditionalFormatting sqref="B45:Y45 B13:Y15">
    <cfRule type="expression" dxfId="10858" priority="47">
      <formula>B13&gt;$AG13</formula>
    </cfRule>
  </conditionalFormatting>
  <conditionalFormatting sqref="B12:Y12">
    <cfRule type="expression" dxfId="10857" priority="43">
      <formula>B$9&gt;=20/24</formula>
    </cfRule>
    <cfRule type="expression" dxfId="10856" priority="44">
      <formula>AND(B$9&gt;=14/24,B$9&lt;20/24)</formula>
    </cfRule>
    <cfRule type="expression" dxfId="10855" priority="45">
      <formula>AND(B$9&gt;=8/24,B$9&lt;14/24)</formula>
    </cfRule>
    <cfRule type="expression" dxfId="10854" priority="46">
      <formula>B$9&lt;8/24</formula>
    </cfRule>
  </conditionalFormatting>
  <conditionalFormatting sqref="B12:Y12">
    <cfRule type="expression" dxfId="10853" priority="42">
      <formula>B12&gt;$AG12</formula>
    </cfRule>
  </conditionalFormatting>
  <conditionalFormatting sqref="B13:Y15">
    <cfRule type="expression" dxfId="10852" priority="38">
      <formula>B$9&gt;=20/24</formula>
    </cfRule>
    <cfRule type="expression" dxfId="10851" priority="39">
      <formula>AND(B$9&gt;=14/24,B$9&lt;20/24)</formula>
    </cfRule>
    <cfRule type="expression" dxfId="10850" priority="40">
      <formula>AND(B$9&gt;=8/24,B$9&lt;14/24)</formula>
    </cfRule>
    <cfRule type="expression" dxfId="10849" priority="41">
      <formula>B$9&lt;8/24</formula>
    </cfRule>
  </conditionalFormatting>
  <conditionalFormatting sqref="B45:Y45">
    <cfRule type="expression" dxfId="10848" priority="34">
      <formula>B$9&gt;=20/24</formula>
    </cfRule>
    <cfRule type="expression" dxfId="10847" priority="35">
      <formula>AND(B$9&gt;=14/24,B$9&lt;20/24)</formula>
    </cfRule>
    <cfRule type="expression" dxfId="10846" priority="36">
      <formula>AND(B$9&gt;=8/24,B$9&lt;14/24)</formula>
    </cfRule>
    <cfRule type="expression" dxfId="10845" priority="37">
      <formula>B$9&lt;8/24</formula>
    </cfRule>
  </conditionalFormatting>
  <conditionalFormatting sqref="B77:D81">
    <cfRule type="expression" dxfId="10844" priority="30">
      <formula>B$9&gt;=20/24</formula>
    </cfRule>
    <cfRule type="expression" dxfId="10843" priority="31">
      <formula>AND(B$9&gt;=14/24,B$9&lt;20/24)</formula>
    </cfRule>
    <cfRule type="expression" dxfId="10842" priority="32">
      <formula>AND(B$9&gt;=8/24,B$9&lt;14/24)</formula>
    </cfRule>
    <cfRule type="expression" dxfId="10841" priority="33">
      <formula>B$9&lt;8/24</formula>
    </cfRule>
  </conditionalFormatting>
  <conditionalFormatting sqref="B11:Y11">
    <cfRule type="expression" dxfId="10840" priority="26">
      <formula>B$9&gt;=20/24</formula>
    </cfRule>
    <cfRule type="expression" dxfId="10839" priority="27">
      <formula>AND(B$9&gt;=14/24,B$9&lt;20/24)</formula>
    </cfRule>
    <cfRule type="expression" dxfId="10838" priority="28">
      <formula>AND(B$9&gt;=8/24,B$9&lt;14/24)</formula>
    </cfRule>
    <cfRule type="expression" dxfId="10837" priority="29">
      <formula>B$9&lt;8/24</formula>
    </cfRule>
  </conditionalFormatting>
  <conditionalFormatting sqref="B11:Y11">
    <cfRule type="expression" dxfId="10836" priority="25">
      <formula>B11&gt;$AG11</formula>
    </cfRule>
  </conditionalFormatting>
  <conditionalFormatting sqref="B16:Y16">
    <cfRule type="expression" dxfId="10835" priority="21">
      <formula>B$9&gt;=20/24</formula>
    </cfRule>
    <cfRule type="expression" dxfId="10834" priority="22">
      <formula>AND(B$9&gt;=14/24,B$9&lt;20/24)</formula>
    </cfRule>
    <cfRule type="expression" dxfId="10833" priority="23">
      <formula>AND(B$9&gt;=8/24,B$9&lt;14/24)</formula>
    </cfRule>
    <cfRule type="expression" dxfId="10832" priority="24">
      <formula>B$9&lt;8/24</formula>
    </cfRule>
  </conditionalFormatting>
  <conditionalFormatting sqref="B16:Y16">
    <cfRule type="expression" dxfId="10831" priority="20">
      <formula>B16&gt;$AG16</formula>
    </cfRule>
  </conditionalFormatting>
  <conditionalFormatting sqref="B33:Y33">
    <cfRule type="expression" dxfId="10830" priority="16">
      <formula>B$9&gt;=20/24</formula>
    </cfRule>
    <cfRule type="expression" dxfId="10829" priority="17">
      <formula>AND(B$9&gt;=14/24,B$9&lt;20/24)</formula>
    </cfRule>
    <cfRule type="expression" dxfId="10828" priority="18">
      <formula>AND(B$9&gt;=8/24,B$9&lt;14/24)</formula>
    </cfRule>
    <cfRule type="expression" dxfId="10827" priority="19">
      <formula>B$9&lt;8/24</formula>
    </cfRule>
  </conditionalFormatting>
  <conditionalFormatting sqref="B33:Y33">
    <cfRule type="expression" dxfId="10826" priority="15">
      <formula>B33&gt;$AG33</formula>
    </cfRule>
  </conditionalFormatting>
  <conditionalFormatting sqref="B44:Y44">
    <cfRule type="expression" dxfId="10825" priority="14">
      <formula>B44&gt;$AG44</formula>
    </cfRule>
  </conditionalFormatting>
  <conditionalFormatting sqref="B44:Y44">
    <cfRule type="expression" dxfId="10824" priority="10">
      <formula>B$9&gt;=20/24</formula>
    </cfRule>
    <cfRule type="expression" dxfId="10823" priority="11">
      <formula>AND(B$9&gt;=14/24,B$9&lt;20/24)</formula>
    </cfRule>
    <cfRule type="expression" dxfId="10822" priority="12">
      <formula>AND(B$9&gt;=8/24,B$9&lt;14/24)</formula>
    </cfRule>
    <cfRule type="expression" dxfId="10821" priority="13">
      <formula>B$9&lt;8/24</formula>
    </cfRule>
  </conditionalFormatting>
  <conditionalFormatting sqref="B117">
    <cfRule type="expression" dxfId="10820" priority="6">
      <formula>B$9&gt;=20/24</formula>
    </cfRule>
    <cfRule type="expression" dxfId="10819" priority="7">
      <formula>AND(B$9&gt;=14/24,B$9&lt;20/24)</formula>
    </cfRule>
    <cfRule type="expression" dxfId="10818" priority="8">
      <formula>AND(B$9&gt;=8/24,B$9&lt;14/24)</formula>
    </cfRule>
    <cfRule type="expression" dxfId="10817" priority="9">
      <formula>B$9&lt;8/24</formula>
    </cfRule>
  </conditionalFormatting>
  <conditionalFormatting sqref="M57:Y57">
    <cfRule type="expression" dxfId="10816" priority="2">
      <formula>M$9&gt;=20/24</formula>
    </cfRule>
    <cfRule type="expression" dxfId="10815" priority="3">
      <formula>AND(M$9&gt;=14/24,M$9&lt;20/24)</formula>
    </cfRule>
    <cfRule type="expression" dxfId="10814" priority="4">
      <formula>AND(M$9&gt;=8/24,M$9&lt;14/24)</formula>
    </cfRule>
    <cfRule type="expression" dxfId="10813" priority="5">
      <formula>M$9&lt;8/24</formula>
    </cfRule>
  </conditionalFormatting>
  <conditionalFormatting sqref="M57:Y57">
    <cfRule type="expression" dxfId="10812" priority="1">
      <formula>M57&gt;$AG57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0" id="{31D74128-5037-4B50-A9E1-3A885F46832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41" id="{3FF4AC7D-185F-4032-AC92-ED116CF69F6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2" id="{B0A4657D-3251-45A3-8EF2-87780BCED3B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3" id="{76D3C54F-AEC1-409D-9A16-97FD788C485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3" id="{798EA8C5-F15F-4EC3-A842-839D9847764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E44DF925-E816-4F07-9842-955D2040483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1847041E-D073-4187-97FD-BDE929ED8EC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6D118E6F-1852-4F19-9E60-9C3792C2D83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11" activePane="bottomLeft" state="frozen"/>
      <selection activeCell="Z85" sqref="Z85"/>
      <selection pane="bottomLeft" activeCell="B24" sqref="B24:AF24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2079/12/4</v>
      </c>
      <c r="C4" s="196"/>
      <c r="D4" s="196"/>
      <c r="E4" s="197" t="str">
        <f ca="1">"2079/"&amp;"12/"&amp;INT(MID(CELL("filename",G6),FIND("]",CELL("filename",G6))+1,200))</f>
        <v>2079/12/4</v>
      </c>
      <c r="F4" s="197"/>
      <c r="G4" s="197"/>
      <c r="H4" s="197" t="str">
        <f ca="1">TEXT(E4,"dddd")</f>
        <v>Monday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549.80000000000007</v>
      </c>
      <c r="C5" s="33">
        <f t="shared" si="0"/>
        <v>544.20000000000005</v>
      </c>
      <c r="D5" s="33">
        <f t="shared" si="0"/>
        <v>562.9</v>
      </c>
      <c r="E5" s="33">
        <f t="shared" si="0"/>
        <v>546.20000000000005</v>
      </c>
      <c r="F5" s="33">
        <f t="shared" si="0"/>
        <v>555.40000000000009</v>
      </c>
      <c r="G5" s="33">
        <f t="shared" si="0"/>
        <v>557.70000000000005</v>
      </c>
      <c r="H5" s="33">
        <f t="shared" si="0"/>
        <v>533</v>
      </c>
      <c r="I5" s="33">
        <f t="shared" si="0"/>
        <v>499.1</v>
      </c>
      <c r="J5" s="33">
        <f t="shared" si="0"/>
        <v>478.5</v>
      </c>
      <c r="K5" s="33">
        <f t="shared" si="0"/>
        <v>479.79999999999995</v>
      </c>
      <c r="L5" s="33">
        <f t="shared" si="0"/>
        <v>482.20000000000005</v>
      </c>
      <c r="M5" s="33">
        <f t="shared" si="0"/>
        <v>546</v>
      </c>
      <c r="N5" s="33">
        <f t="shared" si="0"/>
        <v>528</v>
      </c>
      <c r="O5" s="33">
        <f t="shared" si="0"/>
        <v>487.90000000000003</v>
      </c>
      <c r="P5" s="33">
        <f t="shared" si="0"/>
        <v>485</v>
      </c>
      <c r="Q5" s="33">
        <f t="shared" si="0"/>
        <v>489</v>
      </c>
      <c r="R5" s="33">
        <f t="shared" si="0"/>
        <v>471.00000000000006</v>
      </c>
      <c r="S5" s="33">
        <f t="shared" si="0"/>
        <v>532</v>
      </c>
      <c r="T5" s="33">
        <f t="shared" si="0"/>
        <v>559</v>
      </c>
      <c r="U5" s="33">
        <f t="shared" si="0"/>
        <v>559</v>
      </c>
      <c r="V5" s="33">
        <f t="shared" si="0"/>
        <v>537.6</v>
      </c>
      <c r="W5" s="33">
        <f t="shared" si="0"/>
        <v>547.9</v>
      </c>
      <c r="X5" s="33">
        <f t="shared" si="0"/>
        <v>547.9</v>
      </c>
      <c r="Y5" s="33">
        <f t="shared" si="0"/>
        <v>531</v>
      </c>
      <c r="Z5" s="33">
        <f t="shared" si="0"/>
        <v>508</v>
      </c>
      <c r="AA5" s="33">
        <f t="shared" si="0"/>
        <v>544.9</v>
      </c>
      <c r="AB5" s="33">
        <f t="shared" si="0"/>
        <v>526</v>
      </c>
      <c r="AC5" s="33">
        <f t="shared" si="0"/>
        <v>449.70000000000005</v>
      </c>
      <c r="AD5" s="33">
        <f t="shared" si="0"/>
        <v>449.3</v>
      </c>
      <c r="AE5" s="33">
        <f t="shared" si="0"/>
        <v>411.40000000000003</v>
      </c>
      <c r="AF5" s="33">
        <f>B82</f>
        <v>513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1338MW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Load=924</v>
      </c>
      <c r="B7" s="38">
        <f t="shared" ref="B7:AF7" si="1">B89</f>
        <v>1051.04</v>
      </c>
      <c r="C7" s="38">
        <f t="shared" si="1"/>
        <v>1061.3400000000001</v>
      </c>
      <c r="D7" s="38">
        <f t="shared" si="1"/>
        <v>1022.74</v>
      </c>
      <c r="E7" s="38">
        <f t="shared" si="1"/>
        <v>1022.14</v>
      </c>
      <c r="F7" s="38">
        <f t="shared" si="1"/>
        <v>1029.74</v>
      </c>
      <c r="G7" s="38">
        <f t="shared" si="1"/>
        <v>1055.1400000000001</v>
      </c>
      <c r="H7" s="38">
        <f t="shared" si="1"/>
        <v>1102.6399999999999</v>
      </c>
      <c r="I7" s="38">
        <f t="shared" si="1"/>
        <v>1147.74</v>
      </c>
      <c r="J7" s="38">
        <f t="shared" si="1"/>
        <v>1226.04</v>
      </c>
      <c r="K7" s="38">
        <f t="shared" si="1"/>
        <v>1268.04</v>
      </c>
      <c r="L7" s="38">
        <f t="shared" si="1"/>
        <v>1303.8399999999999</v>
      </c>
      <c r="M7" s="38">
        <f t="shared" si="1"/>
        <v>1304.94</v>
      </c>
      <c r="N7" s="38">
        <f>N89</f>
        <v>1337.6399999999999</v>
      </c>
      <c r="O7" s="38">
        <f t="shared" si="1"/>
        <v>1293.1399999999999</v>
      </c>
      <c r="P7" s="38">
        <f t="shared" si="1"/>
        <v>1156.74</v>
      </c>
      <c r="Q7" s="38">
        <f t="shared" si="1"/>
        <v>1141.04</v>
      </c>
      <c r="R7" s="38">
        <f t="shared" si="1"/>
        <v>1147.6399999999999</v>
      </c>
      <c r="S7" s="38">
        <f t="shared" si="1"/>
        <v>1133.04</v>
      </c>
      <c r="T7" s="38">
        <f t="shared" si="1"/>
        <v>1200.04</v>
      </c>
      <c r="U7" s="38">
        <f t="shared" si="1"/>
        <v>1171.74</v>
      </c>
      <c r="V7" s="38">
        <f t="shared" si="1"/>
        <v>1171.74</v>
      </c>
      <c r="W7" s="38">
        <f t="shared" si="1"/>
        <v>1086.3400000000001</v>
      </c>
      <c r="X7" s="38">
        <f t="shared" si="1"/>
        <v>1355.3400000000001</v>
      </c>
      <c r="Y7" s="38">
        <f t="shared" si="1"/>
        <v>1349.3400000000001</v>
      </c>
      <c r="Z7" s="38">
        <f t="shared" si="1"/>
        <v>1455.94</v>
      </c>
      <c r="AA7" s="38">
        <f t="shared" si="1"/>
        <v>1428.94</v>
      </c>
      <c r="AB7" s="38">
        <f t="shared" si="1"/>
        <v>1334.24</v>
      </c>
      <c r="AC7" s="38">
        <f t="shared" si="1"/>
        <v>1113.94</v>
      </c>
      <c r="AD7" s="38">
        <f t="shared" si="1"/>
        <v>1043.94</v>
      </c>
      <c r="AE7" s="38">
        <f t="shared" si="1"/>
        <v>961.6400000000001</v>
      </c>
      <c r="AF7" s="38">
        <f t="shared" si="1"/>
        <v>923.74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24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>
        <v>24</v>
      </c>
      <c r="T11" s="50">
        <v>24</v>
      </c>
      <c r="U11" s="50">
        <v>24</v>
      </c>
      <c r="V11" s="50">
        <v>24</v>
      </c>
      <c r="W11" s="50">
        <v>24</v>
      </c>
      <c r="X11" s="50">
        <v>24</v>
      </c>
      <c r="Y11" s="50">
        <v>24</v>
      </c>
      <c r="Z11" s="50">
        <v>24</v>
      </c>
      <c r="AA11" s="50">
        <v>24</v>
      </c>
      <c r="AB11" s="50">
        <v>24</v>
      </c>
      <c r="AC11" s="50">
        <v>24</v>
      </c>
      <c r="AD11" s="50">
        <v>24</v>
      </c>
      <c r="AE11" s="50">
        <v>24</v>
      </c>
      <c r="AF11" s="50">
        <v>24</v>
      </c>
      <c r="AG11" s="51">
        <v>86</v>
      </c>
      <c r="AH11" s="52">
        <f t="shared" ref="AH11:AH74" si="2">MAX(B11:AF11)</f>
        <v>24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18.399999999999999</v>
      </c>
      <c r="C12" s="50">
        <v>18.399999999999999</v>
      </c>
      <c r="D12" s="50">
        <v>18.399999999999999</v>
      </c>
      <c r="E12" s="50">
        <v>18.399999999999999</v>
      </c>
      <c r="F12" s="50">
        <v>18.399999999999999</v>
      </c>
      <c r="G12" s="50">
        <v>16.899999999999999</v>
      </c>
      <c r="H12" s="50">
        <v>16.899999999999999</v>
      </c>
      <c r="I12" s="50">
        <v>16.899999999999999</v>
      </c>
      <c r="J12" s="50">
        <v>16.899999999999999</v>
      </c>
      <c r="K12" s="50">
        <v>16.899999999999999</v>
      </c>
      <c r="L12" s="50">
        <v>16.899999999999999</v>
      </c>
      <c r="M12" s="50">
        <v>16.899999999999999</v>
      </c>
      <c r="N12" s="50">
        <v>16.899999999999999</v>
      </c>
      <c r="O12" s="50">
        <v>16.899999999999999</v>
      </c>
      <c r="P12" s="50">
        <v>16.899999999999999</v>
      </c>
      <c r="Q12" s="50">
        <v>16.899999999999999</v>
      </c>
      <c r="R12" s="50">
        <v>16.899999999999999</v>
      </c>
      <c r="S12" s="50">
        <v>16.899999999999999</v>
      </c>
      <c r="T12" s="50">
        <v>16.899999999999999</v>
      </c>
      <c r="U12" s="50">
        <v>16.899999999999999</v>
      </c>
      <c r="V12" s="50">
        <v>16.899999999999999</v>
      </c>
      <c r="W12" s="50">
        <v>16.899999999999999</v>
      </c>
      <c r="X12" s="50">
        <v>16.899999999999999</v>
      </c>
      <c r="Y12" s="50">
        <v>16.899999999999999</v>
      </c>
      <c r="Z12" s="50">
        <v>16.899999999999999</v>
      </c>
      <c r="AA12" s="50">
        <v>16.899999999999999</v>
      </c>
      <c r="AB12" s="50">
        <v>16.899999999999999</v>
      </c>
      <c r="AC12" s="50">
        <v>16.899999999999999</v>
      </c>
      <c r="AD12" s="50">
        <v>16.899999999999999</v>
      </c>
      <c r="AE12" s="50">
        <v>16.899999999999999</v>
      </c>
      <c r="AF12" s="50">
        <v>16.899999999999999</v>
      </c>
      <c r="AG12" s="51">
        <v>52.4</v>
      </c>
      <c r="AH12" s="52">
        <f t="shared" si="2"/>
        <v>18.399999999999999</v>
      </c>
      <c r="AI12" s="53">
        <f t="shared" si="3"/>
        <v>16.899999999999999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28.6</v>
      </c>
      <c r="C13" s="50">
        <v>28.6</v>
      </c>
      <c r="D13" s="50">
        <v>28.6</v>
      </c>
      <c r="E13" s="50">
        <v>28.6</v>
      </c>
      <c r="F13" s="50">
        <v>28.6</v>
      </c>
      <c r="G13" s="50">
        <v>28.9</v>
      </c>
      <c r="H13" s="50">
        <v>28.9</v>
      </c>
      <c r="I13" s="50">
        <v>28.9</v>
      </c>
      <c r="J13" s="50">
        <v>28.9</v>
      </c>
      <c r="K13" s="50">
        <v>28.9</v>
      </c>
      <c r="L13" s="50">
        <v>28.9</v>
      </c>
      <c r="M13" s="50">
        <v>28.9</v>
      </c>
      <c r="N13" s="50">
        <v>28.9</v>
      </c>
      <c r="O13" s="50">
        <v>28.9</v>
      </c>
      <c r="P13" s="50">
        <v>28.9</v>
      </c>
      <c r="Q13" s="50">
        <v>28.9</v>
      </c>
      <c r="R13" s="50">
        <v>28.9</v>
      </c>
      <c r="S13" s="50">
        <v>28.9</v>
      </c>
      <c r="T13" s="50">
        <v>28.9</v>
      </c>
      <c r="U13" s="50">
        <v>28.9</v>
      </c>
      <c r="V13" s="50">
        <v>28.9</v>
      </c>
      <c r="W13" s="50">
        <v>28.9</v>
      </c>
      <c r="X13" s="50">
        <v>28.9</v>
      </c>
      <c r="Y13" s="50">
        <v>28.9</v>
      </c>
      <c r="Z13" s="50">
        <v>28.9</v>
      </c>
      <c r="AA13" s="50">
        <v>28.9</v>
      </c>
      <c r="AB13" s="50">
        <v>28.9</v>
      </c>
      <c r="AC13" s="50">
        <v>28.9</v>
      </c>
      <c r="AD13" s="50">
        <v>28.9</v>
      </c>
      <c r="AE13" s="50">
        <v>28.9</v>
      </c>
      <c r="AF13" s="50">
        <v>28.9</v>
      </c>
      <c r="AG13" s="55">
        <v>50</v>
      </c>
      <c r="AH13" s="52">
        <f t="shared" si="2"/>
        <v>28.9</v>
      </c>
      <c r="AI13" s="53">
        <f t="shared" si="3"/>
        <v>28.6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14.5</v>
      </c>
      <c r="C14" s="50">
        <v>14.5</v>
      </c>
      <c r="D14" s="50">
        <v>14.5</v>
      </c>
      <c r="E14" s="50">
        <v>14.5</v>
      </c>
      <c r="F14" s="50">
        <v>14.5</v>
      </c>
      <c r="G14" s="50">
        <v>16.5</v>
      </c>
      <c r="H14" s="50">
        <v>16.5</v>
      </c>
      <c r="I14" s="50">
        <v>16.5</v>
      </c>
      <c r="J14" s="50">
        <v>16.5</v>
      </c>
      <c r="K14" s="50">
        <v>16.5</v>
      </c>
      <c r="L14" s="50">
        <v>16.5</v>
      </c>
      <c r="M14" s="50">
        <v>16.5</v>
      </c>
      <c r="N14" s="50">
        <v>16.5</v>
      </c>
      <c r="O14" s="50">
        <v>16.5</v>
      </c>
      <c r="P14" s="50">
        <v>16.5</v>
      </c>
      <c r="Q14" s="50">
        <v>16.5</v>
      </c>
      <c r="R14" s="50">
        <v>16.5</v>
      </c>
      <c r="S14" s="50">
        <v>16.5</v>
      </c>
      <c r="T14" s="50">
        <v>16.5</v>
      </c>
      <c r="U14" s="50">
        <v>16.5</v>
      </c>
      <c r="V14" s="50">
        <v>16.5</v>
      </c>
      <c r="W14" s="50">
        <v>16.5</v>
      </c>
      <c r="X14" s="50">
        <v>16.5</v>
      </c>
      <c r="Y14" s="50">
        <v>16.5</v>
      </c>
      <c r="Z14" s="50">
        <v>16.5</v>
      </c>
      <c r="AA14" s="50">
        <v>16.5</v>
      </c>
      <c r="AB14" s="50">
        <v>16.5</v>
      </c>
      <c r="AC14" s="50">
        <v>16.5</v>
      </c>
      <c r="AD14" s="50">
        <v>16.5</v>
      </c>
      <c r="AE14" s="50">
        <v>16.5</v>
      </c>
      <c r="AF14" s="50">
        <v>16.5</v>
      </c>
      <c r="AG14" s="55">
        <v>45</v>
      </c>
      <c r="AH14" s="52">
        <f t="shared" si="2"/>
        <v>16.5</v>
      </c>
      <c r="AI14" s="53">
        <f t="shared" si="3"/>
        <v>14.5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8</v>
      </c>
      <c r="H15" s="50">
        <v>8</v>
      </c>
      <c r="I15" s="50">
        <v>8</v>
      </c>
      <c r="J15" s="50">
        <v>8</v>
      </c>
      <c r="K15" s="50">
        <v>8</v>
      </c>
      <c r="L15" s="50">
        <v>8</v>
      </c>
      <c r="M15" s="50">
        <v>8</v>
      </c>
      <c r="N15" s="50">
        <v>8</v>
      </c>
      <c r="O15" s="50">
        <v>8</v>
      </c>
      <c r="P15" s="50">
        <v>8</v>
      </c>
      <c r="Q15" s="50">
        <v>8</v>
      </c>
      <c r="R15" s="50">
        <v>8</v>
      </c>
      <c r="S15" s="50">
        <v>8</v>
      </c>
      <c r="T15" s="50">
        <v>8</v>
      </c>
      <c r="U15" s="50">
        <v>8</v>
      </c>
      <c r="V15" s="50">
        <v>8</v>
      </c>
      <c r="W15" s="50">
        <v>8</v>
      </c>
      <c r="X15" s="50">
        <v>8</v>
      </c>
      <c r="Y15" s="50">
        <v>8</v>
      </c>
      <c r="Z15" s="50">
        <v>8</v>
      </c>
      <c r="AA15" s="50">
        <v>8</v>
      </c>
      <c r="AB15" s="50">
        <v>8</v>
      </c>
      <c r="AC15" s="50">
        <v>8</v>
      </c>
      <c r="AD15" s="50">
        <v>8</v>
      </c>
      <c r="AE15" s="50">
        <v>8</v>
      </c>
      <c r="AF15" s="50">
        <v>8</v>
      </c>
      <c r="AG15" s="55">
        <v>42</v>
      </c>
      <c r="AH15" s="52">
        <f t="shared" si="2"/>
        <v>10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7.9</v>
      </c>
      <c r="C18" s="50">
        <v>7.9</v>
      </c>
      <c r="D18" s="50">
        <v>7.9</v>
      </c>
      <c r="E18" s="50">
        <v>7.9</v>
      </c>
      <c r="F18" s="50">
        <v>7.9</v>
      </c>
      <c r="G18" s="50">
        <v>7.5</v>
      </c>
      <c r="H18" s="50">
        <v>7.5</v>
      </c>
      <c r="I18" s="50">
        <v>7.5</v>
      </c>
      <c r="J18" s="50">
        <v>7.5</v>
      </c>
      <c r="K18" s="50">
        <v>7.5</v>
      </c>
      <c r="L18" s="50">
        <v>7.5</v>
      </c>
      <c r="M18" s="50">
        <v>7.5</v>
      </c>
      <c r="N18" s="50">
        <v>7.5</v>
      </c>
      <c r="O18" s="50">
        <v>7.5</v>
      </c>
      <c r="P18" s="50">
        <v>7.5</v>
      </c>
      <c r="Q18" s="50">
        <v>7.5</v>
      </c>
      <c r="R18" s="50">
        <v>7.5</v>
      </c>
      <c r="S18" s="50">
        <v>7.5</v>
      </c>
      <c r="T18" s="50">
        <v>7.5</v>
      </c>
      <c r="U18" s="50">
        <v>7.5</v>
      </c>
      <c r="V18" s="50">
        <v>7.5</v>
      </c>
      <c r="W18" s="50">
        <v>7.5</v>
      </c>
      <c r="X18" s="50">
        <v>7.5</v>
      </c>
      <c r="Y18" s="50">
        <v>7.5</v>
      </c>
      <c r="Z18" s="50">
        <v>7.5</v>
      </c>
      <c r="AA18" s="50">
        <v>7.5</v>
      </c>
      <c r="AB18" s="50">
        <v>7.5</v>
      </c>
      <c r="AC18" s="50">
        <v>7.5</v>
      </c>
      <c r="AD18" s="50">
        <v>7.5</v>
      </c>
      <c r="AE18" s="50">
        <v>7.5</v>
      </c>
      <c r="AF18" s="50">
        <v>7.5</v>
      </c>
      <c r="AG18" s="56">
        <v>30</v>
      </c>
      <c r="AH18" s="52">
        <f t="shared" si="2"/>
        <v>7.9</v>
      </c>
      <c r="AI18" s="53">
        <f t="shared" si="3"/>
        <v>7.5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7</v>
      </c>
      <c r="C19" s="50">
        <v>7</v>
      </c>
      <c r="D19" s="50">
        <v>7</v>
      </c>
      <c r="E19" s="50">
        <v>7</v>
      </c>
      <c r="F19" s="50">
        <v>7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7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7.7</v>
      </c>
      <c r="C22" s="50">
        <v>7.7</v>
      </c>
      <c r="D22" s="50">
        <v>7.7</v>
      </c>
      <c r="E22" s="50">
        <v>7.7</v>
      </c>
      <c r="F22" s="50">
        <v>7.7</v>
      </c>
      <c r="G22" s="50">
        <v>9.3000000000000007</v>
      </c>
      <c r="H22" s="50">
        <v>9.3000000000000007</v>
      </c>
      <c r="I22" s="50">
        <v>9.3000000000000007</v>
      </c>
      <c r="J22" s="50">
        <v>9.3000000000000007</v>
      </c>
      <c r="K22" s="50">
        <v>9.3000000000000007</v>
      </c>
      <c r="L22" s="50">
        <v>9.3000000000000007</v>
      </c>
      <c r="M22" s="50">
        <v>9.3000000000000007</v>
      </c>
      <c r="N22" s="50">
        <v>9.3000000000000007</v>
      </c>
      <c r="O22" s="50">
        <v>9.3000000000000007</v>
      </c>
      <c r="P22" s="50">
        <v>9.3000000000000007</v>
      </c>
      <c r="Q22" s="50">
        <v>9.3000000000000007</v>
      </c>
      <c r="R22" s="50">
        <v>9.3000000000000007</v>
      </c>
      <c r="S22" s="50">
        <v>9.3000000000000007</v>
      </c>
      <c r="T22" s="50">
        <v>9.3000000000000007</v>
      </c>
      <c r="U22" s="50">
        <v>9.3000000000000007</v>
      </c>
      <c r="V22" s="50">
        <v>9.3000000000000007</v>
      </c>
      <c r="W22" s="50">
        <v>9.3000000000000007</v>
      </c>
      <c r="X22" s="50">
        <v>9.3000000000000007</v>
      </c>
      <c r="Y22" s="50">
        <v>9.3000000000000007</v>
      </c>
      <c r="Z22" s="50">
        <v>9.3000000000000007</v>
      </c>
      <c r="AA22" s="50">
        <v>9.3000000000000007</v>
      </c>
      <c r="AB22" s="50">
        <v>9.3000000000000007</v>
      </c>
      <c r="AC22" s="50">
        <v>9.3000000000000007</v>
      </c>
      <c r="AD22" s="50">
        <v>9.3000000000000007</v>
      </c>
      <c r="AE22" s="50">
        <v>9.3000000000000007</v>
      </c>
      <c r="AF22" s="50">
        <v>9.3000000000000007</v>
      </c>
      <c r="AG22" s="55">
        <v>25</v>
      </c>
      <c r="AH22" s="52">
        <f t="shared" si="2"/>
        <v>9.3000000000000007</v>
      </c>
      <c r="AI22" s="53">
        <f t="shared" si="3"/>
        <v>7.7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7</v>
      </c>
      <c r="C26" s="50">
        <v>7</v>
      </c>
      <c r="D26" s="50">
        <v>7</v>
      </c>
      <c r="E26" s="50">
        <v>7</v>
      </c>
      <c r="F26" s="50">
        <v>7</v>
      </c>
      <c r="G26" s="50">
        <v>7</v>
      </c>
      <c r="H26" s="50">
        <v>7</v>
      </c>
      <c r="I26" s="50">
        <v>7</v>
      </c>
      <c r="J26" s="50">
        <v>7</v>
      </c>
      <c r="K26" s="50">
        <v>7</v>
      </c>
      <c r="L26" s="50">
        <v>7</v>
      </c>
      <c r="M26" s="50">
        <v>7</v>
      </c>
      <c r="N26" s="50">
        <v>7</v>
      </c>
      <c r="O26" s="50">
        <v>7</v>
      </c>
      <c r="P26" s="50">
        <v>7</v>
      </c>
      <c r="Q26" s="50">
        <v>7</v>
      </c>
      <c r="R26" s="50">
        <v>7</v>
      </c>
      <c r="S26" s="50">
        <v>7</v>
      </c>
      <c r="T26" s="50">
        <v>7</v>
      </c>
      <c r="U26" s="50">
        <v>7</v>
      </c>
      <c r="V26" s="50">
        <v>7</v>
      </c>
      <c r="W26" s="50">
        <v>7</v>
      </c>
      <c r="X26" s="50">
        <v>7</v>
      </c>
      <c r="Y26" s="50">
        <v>7</v>
      </c>
      <c r="Z26" s="50">
        <v>7</v>
      </c>
      <c r="AA26" s="50">
        <v>7</v>
      </c>
      <c r="AB26" s="50">
        <v>7</v>
      </c>
      <c r="AC26" s="50">
        <v>7</v>
      </c>
      <c r="AD26" s="50">
        <v>7</v>
      </c>
      <c r="AE26" s="50">
        <v>7</v>
      </c>
      <c r="AF26" s="50">
        <v>7</v>
      </c>
      <c r="AG26" s="55">
        <v>23.5</v>
      </c>
      <c r="AH26" s="52">
        <f t="shared" si="2"/>
        <v>7</v>
      </c>
      <c r="AI26" s="53">
        <f t="shared" si="3"/>
        <v>7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7</v>
      </c>
      <c r="C28" s="50">
        <v>7</v>
      </c>
      <c r="D28" s="50">
        <v>7</v>
      </c>
      <c r="E28" s="50">
        <v>7</v>
      </c>
      <c r="F28" s="50">
        <v>7</v>
      </c>
      <c r="G28" s="50">
        <v>7</v>
      </c>
      <c r="H28" s="50">
        <v>7</v>
      </c>
      <c r="I28" s="50">
        <v>7</v>
      </c>
      <c r="J28" s="50">
        <v>7</v>
      </c>
      <c r="K28" s="50">
        <v>7</v>
      </c>
      <c r="L28" s="50">
        <v>7</v>
      </c>
      <c r="M28" s="50">
        <v>7</v>
      </c>
      <c r="N28" s="50">
        <v>7</v>
      </c>
      <c r="O28" s="50">
        <v>7</v>
      </c>
      <c r="P28" s="50">
        <v>7</v>
      </c>
      <c r="Q28" s="50">
        <v>7</v>
      </c>
      <c r="R28" s="50">
        <v>7</v>
      </c>
      <c r="S28" s="50">
        <v>7</v>
      </c>
      <c r="T28" s="50">
        <v>7</v>
      </c>
      <c r="U28" s="50">
        <v>7</v>
      </c>
      <c r="V28" s="50">
        <v>7</v>
      </c>
      <c r="W28" s="50">
        <v>7</v>
      </c>
      <c r="X28" s="50">
        <v>7</v>
      </c>
      <c r="Y28" s="50">
        <v>7</v>
      </c>
      <c r="Z28" s="50">
        <v>7</v>
      </c>
      <c r="AA28" s="50">
        <v>7</v>
      </c>
      <c r="AB28" s="50">
        <v>7</v>
      </c>
      <c r="AC28" s="50">
        <v>7</v>
      </c>
      <c r="AD28" s="50">
        <v>7</v>
      </c>
      <c r="AE28" s="50">
        <v>7</v>
      </c>
      <c r="AF28" s="50">
        <v>7</v>
      </c>
      <c r="AG28" s="55">
        <v>22.1</v>
      </c>
      <c r="AH28" s="52">
        <f t="shared" si="2"/>
        <v>7</v>
      </c>
      <c r="AI28" s="53">
        <f t="shared" si="3"/>
        <v>7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55">
        <v>22</v>
      </c>
      <c r="AH29" s="52">
        <f t="shared" si="2"/>
        <v>8</v>
      </c>
      <c r="AI29" s="53">
        <f t="shared" si="3"/>
        <v>8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5">
        <v>22</v>
      </c>
      <c r="AH30" s="52">
        <f t="shared" si="2"/>
        <v>10</v>
      </c>
      <c r="AI30" s="53">
        <f t="shared" si="3"/>
        <v>10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5">
        <v>13.6</v>
      </c>
      <c r="AH35" s="52">
        <f t="shared" si="2"/>
        <v>0</v>
      </c>
      <c r="AI35" s="53">
        <f t="shared" si="3"/>
        <v>0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4.8</v>
      </c>
      <c r="C38" s="50">
        <v>4.8</v>
      </c>
      <c r="D38" s="50">
        <v>4.8</v>
      </c>
      <c r="E38" s="50">
        <v>4.8</v>
      </c>
      <c r="F38" s="50">
        <v>4.8</v>
      </c>
      <c r="G38" s="50">
        <v>4.8</v>
      </c>
      <c r="H38" s="50">
        <v>4.8</v>
      </c>
      <c r="I38" s="50">
        <v>4.8</v>
      </c>
      <c r="J38" s="50">
        <v>4.8</v>
      </c>
      <c r="K38" s="50">
        <v>4.8</v>
      </c>
      <c r="L38" s="50">
        <v>4.8</v>
      </c>
      <c r="M38" s="50">
        <v>4.8</v>
      </c>
      <c r="N38" s="50">
        <v>4.8</v>
      </c>
      <c r="O38" s="50">
        <v>4.8</v>
      </c>
      <c r="P38" s="50">
        <v>4.8</v>
      </c>
      <c r="Q38" s="50">
        <v>4.8</v>
      </c>
      <c r="R38" s="50">
        <v>4.8</v>
      </c>
      <c r="S38" s="50">
        <v>4.8</v>
      </c>
      <c r="T38" s="50">
        <v>4.8</v>
      </c>
      <c r="U38" s="50">
        <v>4.8</v>
      </c>
      <c r="V38" s="50">
        <v>4.8</v>
      </c>
      <c r="W38" s="50">
        <v>4.8</v>
      </c>
      <c r="X38" s="50">
        <v>4.8</v>
      </c>
      <c r="Y38" s="50">
        <v>4.8</v>
      </c>
      <c r="Z38" s="50">
        <v>4.8</v>
      </c>
      <c r="AA38" s="50">
        <v>4.8</v>
      </c>
      <c r="AB38" s="50">
        <v>4.8</v>
      </c>
      <c r="AC38" s="50">
        <v>4.8</v>
      </c>
      <c r="AD38" s="50">
        <v>4.8</v>
      </c>
      <c r="AE38" s="50">
        <v>4.8</v>
      </c>
      <c r="AF38" s="50">
        <v>4.8</v>
      </c>
      <c r="AG38" s="55">
        <v>12</v>
      </c>
      <c r="AH38" s="52">
        <f t="shared" si="2"/>
        <v>4.8</v>
      </c>
      <c r="AI38" s="53">
        <f t="shared" si="3"/>
        <v>4.8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5.2</v>
      </c>
      <c r="C41" s="50">
        <v>5.2</v>
      </c>
      <c r="D41" s="50">
        <v>5.2</v>
      </c>
      <c r="E41" s="50">
        <v>5.2</v>
      </c>
      <c r="F41" s="50">
        <v>5.2</v>
      </c>
      <c r="G41" s="50">
        <v>5.2</v>
      </c>
      <c r="H41" s="50">
        <v>5.2</v>
      </c>
      <c r="I41" s="50">
        <v>5.2</v>
      </c>
      <c r="J41" s="50">
        <v>5.2</v>
      </c>
      <c r="K41" s="50">
        <v>5.2</v>
      </c>
      <c r="L41" s="50">
        <v>5.2</v>
      </c>
      <c r="M41" s="50">
        <v>5.2</v>
      </c>
      <c r="N41" s="50">
        <v>5.2</v>
      </c>
      <c r="O41" s="50">
        <v>5.2</v>
      </c>
      <c r="P41" s="50">
        <v>5.2</v>
      </c>
      <c r="Q41" s="50">
        <v>5.2</v>
      </c>
      <c r="R41" s="50">
        <v>5.2</v>
      </c>
      <c r="S41" s="50">
        <v>5.2</v>
      </c>
      <c r="T41" s="50">
        <v>5.2</v>
      </c>
      <c r="U41" s="50">
        <v>5.2</v>
      </c>
      <c r="V41" s="50">
        <v>5.2</v>
      </c>
      <c r="W41" s="50">
        <v>5.2</v>
      </c>
      <c r="X41" s="50">
        <v>5.2</v>
      </c>
      <c r="Y41" s="50">
        <v>5.2</v>
      </c>
      <c r="Z41" s="50">
        <v>5.2</v>
      </c>
      <c r="AA41" s="50">
        <v>5.2</v>
      </c>
      <c r="AB41" s="50">
        <v>5.2</v>
      </c>
      <c r="AC41" s="50">
        <v>5.2</v>
      </c>
      <c r="AD41" s="50">
        <v>5.2</v>
      </c>
      <c r="AE41" s="50">
        <v>5.2</v>
      </c>
      <c r="AF41" s="50">
        <v>5.2</v>
      </c>
      <c r="AG41" s="56">
        <v>11.88</v>
      </c>
      <c r="AH41" s="52">
        <f t="shared" si="2"/>
        <v>5.2</v>
      </c>
      <c r="AI41" s="53">
        <f t="shared" si="3"/>
        <v>5.2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3.5</v>
      </c>
      <c r="C44" s="50">
        <v>3.5</v>
      </c>
      <c r="D44" s="50">
        <v>3.5</v>
      </c>
      <c r="E44" s="50">
        <v>3.5</v>
      </c>
      <c r="F44" s="50">
        <v>3.5</v>
      </c>
      <c r="G44" s="50">
        <v>3.5</v>
      </c>
      <c r="H44" s="50">
        <v>3.5</v>
      </c>
      <c r="I44" s="50">
        <v>3.5</v>
      </c>
      <c r="J44" s="50">
        <v>3.5</v>
      </c>
      <c r="K44" s="50">
        <v>3.5</v>
      </c>
      <c r="L44" s="50">
        <v>3.5</v>
      </c>
      <c r="M44" s="50">
        <v>3.5</v>
      </c>
      <c r="N44" s="50">
        <v>3.5</v>
      </c>
      <c r="O44" s="50">
        <v>3.5</v>
      </c>
      <c r="P44" s="50">
        <v>3.5</v>
      </c>
      <c r="Q44" s="50">
        <v>3.5</v>
      </c>
      <c r="R44" s="50">
        <v>3.5</v>
      </c>
      <c r="S44" s="50">
        <v>3.5</v>
      </c>
      <c r="T44" s="50">
        <v>3.5</v>
      </c>
      <c r="U44" s="50">
        <v>3.5</v>
      </c>
      <c r="V44" s="50">
        <v>3.5</v>
      </c>
      <c r="W44" s="50">
        <v>3.5</v>
      </c>
      <c r="X44" s="50">
        <v>3.5</v>
      </c>
      <c r="Y44" s="50">
        <v>3.5</v>
      </c>
      <c r="Z44" s="50">
        <v>3.5</v>
      </c>
      <c r="AA44" s="50">
        <v>3.5</v>
      </c>
      <c r="AB44" s="50">
        <v>3.5</v>
      </c>
      <c r="AC44" s="50">
        <v>3.5</v>
      </c>
      <c r="AD44" s="50">
        <v>3.5</v>
      </c>
      <c r="AE44" s="50">
        <v>3.5</v>
      </c>
      <c r="AF44" s="50">
        <v>3.5</v>
      </c>
      <c r="AG44" s="61">
        <v>10</v>
      </c>
      <c r="AH44" s="52">
        <f t="shared" si="2"/>
        <v>3.5</v>
      </c>
      <c r="AI44" s="53">
        <f t="shared" si="3"/>
        <v>3.5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356.90000000000003</v>
      </c>
      <c r="C48" s="67">
        <f t="shared" si="4"/>
        <v>356.90000000000003</v>
      </c>
      <c r="D48" s="67">
        <f t="shared" si="4"/>
        <v>356.90000000000003</v>
      </c>
      <c r="E48" s="67">
        <f t="shared" si="4"/>
        <v>356.90000000000003</v>
      </c>
      <c r="F48" s="67">
        <f t="shared" si="4"/>
        <v>356.90000000000003</v>
      </c>
      <c r="G48" s="67">
        <f t="shared" si="4"/>
        <v>356.5</v>
      </c>
      <c r="H48" s="67">
        <f t="shared" si="4"/>
        <v>356.5</v>
      </c>
      <c r="I48" s="67">
        <f t="shared" si="4"/>
        <v>356.5</v>
      </c>
      <c r="J48" s="67">
        <f t="shared" si="4"/>
        <v>356.5</v>
      </c>
      <c r="K48" s="67">
        <f t="shared" si="4"/>
        <v>356.5</v>
      </c>
      <c r="L48" s="67">
        <f t="shared" si="4"/>
        <v>356.5</v>
      </c>
      <c r="M48" s="67">
        <f t="shared" si="4"/>
        <v>356.5</v>
      </c>
      <c r="N48" s="67">
        <f t="shared" si="4"/>
        <v>356.5</v>
      </c>
      <c r="O48" s="67">
        <f t="shared" si="4"/>
        <v>356.5</v>
      </c>
      <c r="P48" s="67">
        <f t="shared" si="4"/>
        <v>356.5</v>
      </c>
      <c r="Q48" s="67">
        <f t="shared" si="4"/>
        <v>356.5</v>
      </c>
      <c r="R48" s="67">
        <f t="shared" si="4"/>
        <v>356.5</v>
      </c>
      <c r="S48" s="67">
        <f t="shared" si="4"/>
        <v>356.5</v>
      </c>
      <c r="T48" s="67">
        <f t="shared" si="4"/>
        <v>356.5</v>
      </c>
      <c r="U48" s="67">
        <f t="shared" si="4"/>
        <v>356.5</v>
      </c>
      <c r="V48" s="67">
        <f t="shared" ref="V48:W48" si="5">SUM(V12:V46)</f>
        <v>356.5</v>
      </c>
      <c r="W48" s="67">
        <f t="shared" si="5"/>
        <v>356.5</v>
      </c>
      <c r="X48" s="67">
        <f t="shared" si="4"/>
        <v>356.5</v>
      </c>
      <c r="Y48" s="67">
        <v>350.5</v>
      </c>
      <c r="Z48" s="67">
        <v>350.5</v>
      </c>
      <c r="AA48" s="67">
        <f t="shared" si="4"/>
        <v>356.5</v>
      </c>
      <c r="AB48" s="67">
        <f t="shared" si="4"/>
        <v>356.5</v>
      </c>
      <c r="AC48" s="67">
        <f t="shared" si="4"/>
        <v>356.5</v>
      </c>
      <c r="AD48" s="67">
        <f t="shared" si="4"/>
        <v>356.5</v>
      </c>
      <c r="AE48" s="67">
        <f t="shared" si="4"/>
        <v>356.5</v>
      </c>
      <c r="AF48" s="67">
        <f t="shared" si="4"/>
        <v>356.5</v>
      </c>
      <c r="AG48" s="68">
        <f t="shared" si="4"/>
        <v>875.68</v>
      </c>
      <c r="AH48" s="52">
        <f t="shared" si="2"/>
        <v>356.90000000000003</v>
      </c>
      <c r="AI48" s="53">
        <f t="shared" si="3"/>
        <v>350.5</v>
      </c>
      <c r="AK48" s="54"/>
    </row>
    <row r="49" spans="1:41" x14ac:dyDescent="0.25">
      <c r="A49" s="69" t="s">
        <v>53</v>
      </c>
      <c r="B49" s="50">
        <v>50</v>
      </c>
      <c r="C49" s="50">
        <v>40</v>
      </c>
      <c r="D49" s="50">
        <v>20</v>
      </c>
      <c r="E49" s="50">
        <v>0</v>
      </c>
      <c r="F49" s="50">
        <v>25</v>
      </c>
      <c r="G49" s="50">
        <v>25</v>
      </c>
      <c r="H49" s="50">
        <v>35</v>
      </c>
      <c r="I49" s="50">
        <v>70</v>
      </c>
      <c r="J49" s="50">
        <v>95</v>
      </c>
      <c r="K49" s="50">
        <v>55</v>
      </c>
      <c r="L49" s="50">
        <v>90</v>
      </c>
      <c r="M49" s="50">
        <v>90</v>
      </c>
      <c r="N49" s="50">
        <v>80</v>
      </c>
      <c r="O49" s="50">
        <v>75</v>
      </c>
      <c r="P49" s="50">
        <v>70</v>
      </c>
      <c r="Q49" s="50">
        <v>85</v>
      </c>
      <c r="R49" s="50">
        <v>93</v>
      </c>
      <c r="S49" s="50">
        <v>90</v>
      </c>
      <c r="T49" s="50">
        <v>90</v>
      </c>
      <c r="U49" s="50">
        <v>40</v>
      </c>
      <c r="V49" s="50">
        <v>40</v>
      </c>
      <c r="W49" s="50">
        <v>30</v>
      </c>
      <c r="X49" s="50">
        <v>40</v>
      </c>
      <c r="Y49" s="50">
        <v>120</v>
      </c>
      <c r="Z49" s="50">
        <v>120</v>
      </c>
      <c r="AA49" s="50">
        <v>120</v>
      </c>
      <c r="AB49" s="50">
        <v>20</v>
      </c>
      <c r="AC49" s="50">
        <v>40</v>
      </c>
      <c r="AD49" s="50">
        <v>40</v>
      </c>
      <c r="AE49" s="50">
        <v>40</v>
      </c>
      <c r="AF49" s="50">
        <v>40</v>
      </c>
      <c r="AG49" s="56">
        <v>456</v>
      </c>
      <c r="AH49" s="52">
        <f t="shared" si="2"/>
        <v>120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9.1999999999999993</v>
      </c>
      <c r="C51" s="74">
        <v>9.1999999999999993</v>
      </c>
      <c r="D51" s="74">
        <v>9.1999999999999993</v>
      </c>
      <c r="E51" s="74">
        <v>9.1999999999999993</v>
      </c>
      <c r="F51" s="74">
        <v>9.1999999999999993</v>
      </c>
      <c r="G51" s="74">
        <v>9.1999999999999993</v>
      </c>
      <c r="H51" s="74">
        <v>9.1999999999999993</v>
      </c>
      <c r="I51" s="74">
        <v>9.3000000000000007</v>
      </c>
      <c r="J51" s="74">
        <v>9.1999999999999993</v>
      </c>
      <c r="K51" s="74">
        <v>9.1999999999999993</v>
      </c>
      <c r="L51" s="74">
        <v>9.3000000000000007</v>
      </c>
      <c r="M51" s="74">
        <v>9.3000000000000007</v>
      </c>
      <c r="N51" s="74">
        <v>9.3000000000000007</v>
      </c>
      <c r="O51" s="74">
        <v>9.3000000000000007</v>
      </c>
      <c r="P51" s="74">
        <v>9.3000000000000007</v>
      </c>
      <c r="Q51" s="74">
        <v>9.3000000000000007</v>
      </c>
      <c r="R51" s="74">
        <v>9.3000000000000007</v>
      </c>
      <c r="S51" s="74">
        <v>9.3000000000000007</v>
      </c>
      <c r="T51" s="74">
        <v>9.3000000000000007</v>
      </c>
      <c r="U51" s="74">
        <v>9.3000000000000007</v>
      </c>
      <c r="V51" s="74">
        <v>9.3000000000000007</v>
      </c>
      <c r="W51" s="74">
        <v>9.3000000000000007</v>
      </c>
      <c r="X51" s="74">
        <v>10.1</v>
      </c>
      <c r="Y51" s="74">
        <v>10.1</v>
      </c>
      <c r="Z51" s="74">
        <v>10.1</v>
      </c>
      <c r="AA51" s="74">
        <v>10.1</v>
      </c>
      <c r="AB51" s="74">
        <v>11.3</v>
      </c>
      <c r="AC51" s="74">
        <v>11.3</v>
      </c>
      <c r="AD51" s="74">
        <v>11.3</v>
      </c>
      <c r="AE51" s="74">
        <v>11.3</v>
      </c>
      <c r="AF51" s="74">
        <v>11.3</v>
      </c>
      <c r="AG51" s="75">
        <v>22.1</v>
      </c>
      <c r="AH51" s="52">
        <f t="shared" si="2"/>
        <v>11.3</v>
      </c>
      <c r="AI51" s="53">
        <f t="shared" si="3"/>
        <v>9.1999999999999993</v>
      </c>
      <c r="AK51" s="54"/>
    </row>
    <row r="52" spans="1:41" ht="15.75" thickBot="1" x14ac:dyDescent="0.3">
      <c r="A52" s="76" t="s">
        <v>56</v>
      </c>
      <c r="B52" s="67">
        <f t="shared" ref="B52:AG52" si="6">SUM(B49:B51)</f>
        <v>84.2</v>
      </c>
      <c r="C52" s="67">
        <f t="shared" si="6"/>
        <v>74.2</v>
      </c>
      <c r="D52" s="67">
        <f t="shared" si="6"/>
        <v>54.2</v>
      </c>
      <c r="E52" s="67">
        <f t="shared" si="6"/>
        <v>34.200000000000003</v>
      </c>
      <c r="F52" s="67">
        <f t="shared" si="6"/>
        <v>59.2</v>
      </c>
      <c r="G52" s="67">
        <f t="shared" si="6"/>
        <v>59.2</v>
      </c>
      <c r="H52" s="67">
        <f t="shared" si="6"/>
        <v>69.2</v>
      </c>
      <c r="I52" s="67">
        <f t="shared" si="6"/>
        <v>104.3</v>
      </c>
      <c r="J52" s="67">
        <f t="shared" si="6"/>
        <v>129.19999999999999</v>
      </c>
      <c r="K52" s="67">
        <f t="shared" si="6"/>
        <v>89.2</v>
      </c>
      <c r="L52" s="67">
        <f t="shared" si="6"/>
        <v>124.3</v>
      </c>
      <c r="M52" s="67">
        <f t="shared" si="6"/>
        <v>124.3</v>
      </c>
      <c r="N52" s="67">
        <f>SUM(N53:N55)</f>
        <v>127</v>
      </c>
      <c r="O52" s="67">
        <f t="shared" si="6"/>
        <v>109.3</v>
      </c>
      <c r="P52" s="67">
        <f t="shared" si="6"/>
        <v>104.3</v>
      </c>
      <c r="Q52" s="67">
        <f t="shared" si="6"/>
        <v>119.3</v>
      </c>
      <c r="R52" s="67">
        <f t="shared" si="6"/>
        <v>127.3</v>
      </c>
      <c r="S52" s="67">
        <f t="shared" si="6"/>
        <v>124.3</v>
      </c>
      <c r="T52" s="67">
        <f t="shared" si="6"/>
        <v>124.3</v>
      </c>
      <c r="U52" s="67">
        <f t="shared" si="6"/>
        <v>74.3</v>
      </c>
      <c r="V52" s="67">
        <f t="shared" ref="V52:W52" si="7">SUM(V49:V51)</f>
        <v>74.3</v>
      </c>
      <c r="W52" s="67">
        <f t="shared" si="7"/>
        <v>64.3</v>
      </c>
      <c r="X52" s="67">
        <f t="shared" si="6"/>
        <v>75.099999999999994</v>
      </c>
      <c r="Y52" s="67">
        <v>75.099999999999994</v>
      </c>
      <c r="Z52" s="67">
        <v>155.1</v>
      </c>
      <c r="AA52" s="67">
        <f t="shared" si="6"/>
        <v>155.1</v>
      </c>
      <c r="AB52" s="67">
        <f t="shared" si="6"/>
        <v>56.3</v>
      </c>
      <c r="AC52" s="67">
        <f t="shared" si="6"/>
        <v>76.3</v>
      </c>
      <c r="AD52" s="67">
        <f t="shared" si="6"/>
        <v>76.3</v>
      </c>
      <c r="AE52" s="67">
        <f t="shared" si="6"/>
        <v>76.3</v>
      </c>
      <c r="AF52" s="67">
        <f t="shared" si="6"/>
        <v>76.3</v>
      </c>
      <c r="AG52" s="68">
        <f t="shared" si="6"/>
        <v>538.1</v>
      </c>
      <c r="AH52" s="52">
        <f t="shared" si="2"/>
        <v>155.1</v>
      </c>
      <c r="AI52" s="53">
        <f t="shared" si="3"/>
        <v>34.200000000000003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22.5</v>
      </c>
      <c r="I53" s="50">
        <v>40</v>
      </c>
      <c r="J53" s="50">
        <v>98.9</v>
      </c>
      <c r="K53" s="50">
        <v>100</v>
      </c>
      <c r="L53" s="50">
        <v>93</v>
      </c>
      <c r="M53" s="50">
        <v>82.6</v>
      </c>
      <c r="N53" s="70">
        <v>73</v>
      </c>
      <c r="O53" s="70">
        <v>73.2</v>
      </c>
      <c r="P53" s="50">
        <v>92.8</v>
      </c>
      <c r="Q53" s="50">
        <v>66</v>
      </c>
      <c r="R53" s="50">
        <v>60.6</v>
      </c>
      <c r="S53" s="50">
        <v>65.3</v>
      </c>
      <c r="T53" s="50">
        <v>80</v>
      </c>
      <c r="U53" s="50">
        <v>81</v>
      </c>
      <c r="V53" s="50">
        <v>81</v>
      </c>
      <c r="W53" s="50">
        <v>30.8</v>
      </c>
      <c r="X53" s="50">
        <v>94.8</v>
      </c>
      <c r="Y53" s="50">
        <v>120</v>
      </c>
      <c r="Z53" s="50">
        <v>122</v>
      </c>
      <c r="AA53" s="50">
        <v>112</v>
      </c>
      <c r="AB53" s="50">
        <v>93.2</v>
      </c>
      <c r="AC53" s="50">
        <v>44</v>
      </c>
      <c r="AD53" s="50">
        <v>48.8</v>
      </c>
      <c r="AE53" s="50">
        <v>0</v>
      </c>
      <c r="AF53" s="50">
        <v>0</v>
      </c>
      <c r="AG53" s="56">
        <v>144</v>
      </c>
      <c r="AH53" s="52">
        <f t="shared" si="2"/>
        <v>122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16.5</v>
      </c>
      <c r="C55" s="72">
        <v>0</v>
      </c>
      <c r="D55" s="72">
        <v>0</v>
      </c>
      <c r="E55" s="72">
        <v>0</v>
      </c>
      <c r="F55" s="72">
        <v>0</v>
      </c>
      <c r="G55" s="72">
        <v>17.899999999999999</v>
      </c>
      <c r="H55" s="72">
        <v>18</v>
      </c>
      <c r="I55" s="72">
        <v>35.5</v>
      </c>
      <c r="J55" s="72">
        <v>63.9</v>
      </c>
      <c r="K55" s="72">
        <v>52.6</v>
      </c>
      <c r="L55" s="72">
        <v>59.5</v>
      </c>
      <c r="M55" s="72">
        <v>68.599999999999994</v>
      </c>
      <c r="N55" s="74">
        <v>54</v>
      </c>
      <c r="O55" s="74">
        <v>45</v>
      </c>
      <c r="P55" s="72">
        <v>33</v>
      </c>
      <c r="Q55" s="72">
        <v>32</v>
      </c>
      <c r="R55" s="72">
        <v>32</v>
      </c>
      <c r="S55" s="72">
        <v>33.700000000000003</v>
      </c>
      <c r="T55" s="50">
        <v>40</v>
      </c>
      <c r="U55" s="50">
        <v>33.700000000000003</v>
      </c>
      <c r="V55" s="50">
        <v>33.700000000000003</v>
      </c>
      <c r="W55" s="50">
        <v>16.8</v>
      </c>
      <c r="X55" s="50">
        <v>51.5</v>
      </c>
      <c r="Y55" s="50">
        <v>51.2</v>
      </c>
      <c r="Z55" s="50">
        <v>51.2</v>
      </c>
      <c r="AA55" s="50">
        <v>51.2</v>
      </c>
      <c r="AB55" s="72">
        <v>51.9</v>
      </c>
      <c r="AC55" s="72">
        <v>33.6</v>
      </c>
      <c r="AD55" s="72">
        <v>33.1</v>
      </c>
      <c r="AE55" s="72">
        <v>0</v>
      </c>
      <c r="AF55" s="72">
        <v>0</v>
      </c>
      <c r="AG55" s="61">
        <v>69</v>
      </c>
      <c r="AH55" s="52">
        <f t="shared" si="2"/>
        <v>68.599999999999994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36</v>
      </c>
      <c r="C56" s="72">
        <v>36</v>
      </c>
      <c r="D56" s="72">
        <v>36</v>
      </c>
      <c r="E56" s="63">
        <v>38</v>
      </c>
      <c r="F56" s="63">
        <v>37.299999999999997</v>
      </c>
      <c r="G56" s="63">
        <v>36</v>
      </c>
      <c r="H56" s="63">
        <v>36</v>
      </c>
      <c r="I56" s="63">
        <v>36</v>
      </c>
      <c r="J56" s="63">
        <v>36</v>
      </c>
      <c r="K56" s="63">
        <v>36</v>
      </c>
      <c r="L56" s="63">
        <v>36</v>
      </c>
      <c r="M56" s="72">
        <v>36</v>
      </c>
      <c r="N56" s="72">
        <v>36</v>
      </c>
      <c r="O56" s="72">
        <v>36</v>
      </c>
      <c r="P56" s="72">
        <v>37.1</v>
      </c>
      <c r="Q56" s="72">
        <v>37.1</v>
      </c>
      <c r="R56" s="72">
        <v>37.1</v>
      </c>
      <c r="S56" s="72">
        <v>37.1</v>
      </c>
      <c r="T56" s="72">
        <v>37.1</v>
      </c>
      <c r="U56" s="72">
        <v>37.1</v>
      </c>
      <c r="V56" s="72">
        <v>37.1</v>
      </c>
      <c r="W56" s="72">
        <v>37.1</v>
      </c>
      <c r="X56" s="50">
        <v>36.299999999999997</v>
      </c>
      <c r="Y56" s="50">
        <v>36.299999999999997</v>
      </c>
      <c r="Z56" s="50">
        <v>36.299999999999997</v>
      </c>
      <c r="AA56" s="50">
        <v>36.299999999999997</v>
      </c>
      <c r="AB56" s="50">
        <v>36.299999999999997</v>
      </c>
      <c r="AC56" s="50">
        <v>36.299999999999997</v>
      </c>
      <c r="AD56" s="72">
        <v>38.5</v>
      </c>
      <c r="AE56" s="72">
        <v>38.5</v>
      </c>
      <c r="AF56" s="72">
        <v>38.5</v>
      </c>
      <c r="AG56" s="61">
        <v>60</v>
      </c>
      <c r="AH56" s="52">
        <f t="shared" si="2"/>
        <v>38.5</v>
      </c>
      <c r="AI56" s="53">
        <f t="shared" si="3"/>
        <v>36</v>
      </c>
      <c r="AK56" s="54"/>
    </row>
    <row r="57" spans="1:41" x14ac:dyDescent="0.25">
      <c r="A57" s="60" t="s">
        <v>61</v>
      </c>
      <c r="B57" s="72">
        <v>13</v>
      </c>
      <c r="C57" s="72">
        <v>13</v>
      </c>
      <c r="D57" s="72">
        <v>0</v>
      </c>
      <c r="E57" s="63">
        <v>0</v>
      </c>
      <c r="F57" s="63">
        <v>0</v>
      </c>
      <c r="G57" s="63">
        <v>0</v>
      </c>
      <c r="H57" s="63">
        <v>12.6</v>
      </c>
      <c r="I57" s="63">
        <v>12.3</v>
      </c>
      <c r="J57" s="63">
        <v>12.3</v>
      </c>
      <c r="K57" s="63">
        <v>25.1</v>
      </c>
      <c r="L57" s="63">
        <v>24.6</v>
      </c>
      <c r="M57" s="72">
        <v>24.6</v>
      </c>
      <c r="N57" s="72">
        <v>15</v>
      </c>
      <c r="O57" s="72">
        <v>15</v>
      </c>
      <c r="P57" s="72">
        <v>15</v>
      </c>
      <c r="Q57" s="72">
        <v>15</v>
      </c>
      <c r="R57" s="72">
        <v>15</v>
      </c>
      <c r="S57" s="72">
        <v>15</v>
      </c>
      <c r="T57" s="72">
        <v>0</v>
      </c>
      <c r="U57" s="72">
        <v>0</v>
      </c>
      <c r="V57" s="72">
        <v>0</v>
      </c>
      <c r="W57" s="72">
        <v>13.1</v>
      </c>
      <c r="X57" s="72">
        <v>13.1</v>
      </c>
      <c r="Y57" s="50">
        <v>29.7</v>
      </c>
      <c r="Z57" s="50">
        <v>29.7</v>
      </c>
      <c r="AA57" s="50">
        <v>29.7</v>
      </c>
      <c r="AB57" s="50">
        <v>15</v>
      </c>
      <c r="AC57" s="72">
        <v>11.1</v>
      </c>
      <c r="AD57" s="72">
        <v>10.9</v>
      </c>
      <c r="AE57" s="72">
        <v>10.9</v>
      </c>
      <c r="AF57" s="72">
        <v>10.9</v>
      </c>
      <c r="AG57" s="61">
        <v>30</v>
      </c>
      <c r="AH57" s="52">
        <f t="shared" si="2"/>
        <v>29.7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9</v>
      </c>
      <c r="C59" s="72">
        <v>9</v>
      </c>
      <c r="D59" s="72">
        <v>9</v>
      </c>
      <c r="E59" s="72">
        <v>9</v>
      </c>
      <c r="F59" s="72">
        <v>9</v>
      </c>
      <c r="G59" s="72">
        <v>9</v>
      </c>
      <c r="H59" s="72">
        <v>9</v>
      </c>
      <c r="I59" s="72">
        <v>9</v>
      </c>
      <c r="J59" s="72">
        <v>9</v>
      </c>
      <c r="K59" s="72">
        <v>9</v>
      </c>
      <c r="L59" s="72">
        <v>9</v>
      </c>
      <c r="M59" s="72">
        <v>9</v>
      </c>
      <c r="N59" s="72">
        <v>9</v>
      </c>
      <c r="O59" s="72">
        <v>9</v>
      </c>
      <c r="P59" s="72">
        <v>9</v>
      </c>
      <c r="Q59" s="72">
        <v>9</v>
      </c>
      <c r="R59" s="72">
        <v>9</v>
      </c>
      <c r="S59" s="72">
        <v>9</v>
      </c>
      <c r="T59" s="72">
        <v>9</v>
      </c>
      <c r="U59" s="72">
        <v>9</v>
      </c>
      <c r="V59" s="72">
        <v>9</v>
      </c>
      <c r="W59" s="72">
        <v>9</v>
      </c>
      <c r="X59" s="72">
        <v>9</v>
      </c>
      <c r="Y59" s="72">
        <v>9</v>
      </c>
      <c r="Z59" s="72">
        <v>9</v>
      </c>
      <c r="AA59" s="72">
        <v>9</v>
      </c>
      <c r="AB59" s="72">
        <v>9</v>
      </c>
      <c r="AC59" s="72">
        <v>9</v>
      </c>
      <c r="AD59" s="72">
        <v>9</v>
      </c>
      <c r="AE59" s="72">
        <v>9</v>
      </c>
      <c r="AF59" s="72">
        <v>9</v>
      </c>
      <c r="AG59" s="61">
        <v>24</v>
      </c>
      <c r="AH59" s="52">
        <f t="shared" si="2"/>
        <v>9</v>
      </c>
      <c r="AI59" s="53">
        <f t="shared" si="3"/>
        <v>9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9.1</v>
      </c>
      <c r="C61" s="72">
        <v>9.1</v>
      </c>
      <c r="D61" s="72">
        <v>9.1</v>
      </c>
      <c r="E61" s="72">
        <v>7.8</v>
      </c>
      <c r="F61" s="72">
        <v>7.8</v>
      </c>
      <c r="G61" s="72">
        <v>7.8</v>
      </c>
      <c r="H61" s="72">
        <v>7.8</v>
      </c>
      <c r="I61" s="72">
        <v>7.8</v>
      </c>
      <c r="J61" s="72">
        <v>7.8</v>
      </c>
      <c r="K61" s="72">
        <v>7.8</v>
      </c>
      <c r="L61" s="72">
        <v>7.8</v>
      </c>
      <c r="M61" s="72">
        <v>7.8</v>
      </c>
      <c r="N61" s="72">
        <v>7.8</v>
      </c>
      <c r="O61" s="72">
        <v>7.8</v>
      </c>
      <c r="P61" s="72">
        <v>7.8</v>
      </c>
      <c r="Q61" s="72">
        <v>7.8</v>
      </c>
      <c r="R61" s="72">
        <v>7.8</v>
      </c>
      <c r="S61" s="72">
        <v>7.8</v>
      </c>
      <c r="T61" s="72">
        <v>7.8</v>
      </c>
      <c r="U61" s="72">
        <v>7.8</v>
      </c>
      <c r="V61" s="72">
        <v>7.8</v>
      </c>
      <c r="W61" s="72">
        <v>7.8</v>
      </c>
      <c r="X61" s="72">
        <v>7.8</v>
      </c>
      <c r="Y61" s="72">
        <v>7.8</v>
      </c>
      <c r="Z61" s="72">
        <v>7.8</v>
      </c>
      <c r="AA61" s="72">
        <v>7.8</v>
      </c>
      <c r="AB61" s="72">
        <v>7.8</v>
      </c>
      <c r="AC61" s="72">
        <v>7.8</v>
      </c>
      <c r="AD61" s="72">
        <v>7.8</v>
      </c>
      <c r="AE61" s="72">
        <v>7.8</v>
      </c>
      <c r="AF61" s="72">
        <v>7.8</v>
      </c>
      <c r="AG61" s="61">
        <v>14.1</v>
      </c>
      <c r="AH61" s="52">
        <f t="shared" si="2"/>
        <v>9.1</v>
      </c>
      <c r="AI61" s="53">
        <f t="shared" si="3"/>
        <v>7.8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4.8</v>
      </c>
      <c r="C62" s="72">
        <v>4.8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4.8</v>
      </c>
      <c r="N62" s="72">
        <v>4.8</v>
      </c>
      <c r="O62" s="72">
        <v>4.8</v>
      </c>
      <c r="P62" s="72">
        <v>4.8</v>
      </c>
      <c r="Q62" s="72">
        <v>4.8</v>
      </c>
      <c r="R62" s="72">
        <v>4.8</v>
      </c>
      <c r="S62" s="72">
        <v>4.8</v>
      </c>
      <c r="T62" s="72">
        <v>4.8</v>
      </c>
      <c r="U62" s="72">
        <v>4.8</v>
      </c>
      <c r="V62" s="72">
        <v>4.8</v>
      </c>
      <c r="W62" s="72">
        <v>4.8</v>
      </c>
      <c r="X62" s="72">
        <v>4.8</v>
      </c>
      <c r="Y62" s="72">
        <v>4.8</v>
      </c>
      <c r="Z62" s="72">
        <v>4.8</v>
      </c>
      <c r="AA62" s="72">
        <v>4.8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4.8</v>
      </c>
      <c r="AI62" s="53">
        <f t="shared" si="3"/>
        <v>4.8</v>
      </c>
      <c r="AK62" s="54"/>
    </row>
    <row r="63" spans="1:41" x14ac:dyDescent="0.25">
      <c r="A63" s="60" t="s">
        <v>67</v>
      </c>
      <c r="B63" s="72">
        <v>0</v>
      </c>
      <c r="C63" s="72">
        <v>0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0</v>
      </c>
      <c r="AC63" s="72">
        <v>0</v>
      </c>
      <c r="AD63" s="72">
        <v>0</v>
      </c>
      <c r="AE63" s="72">
        <v>0</v>
      </c>
      <c r="AF63" s="72">
        <v>0</v>
      </c>
      <c r="AG63" s="61">
        <v>10.050000000000001</v>
      </c>
      <c r="AH63" s="52">
        <f t="shared" si="2"/>
        <v>0</v>
      </c>
      <c r="AI63" s="53">
        <f t="shared" si="3"/>
        <v>0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8">SUM(B53:B65)</f>
        <v>96.94</v>
      </c>
      <c r="C66" s="67">
        <f t="shared" si="8"/>
        <v>80.44</v>
      </c>
      <c r="D66" s="67">
        <f t="shared" si="8"/>
        <v>67.44</v>
      </c>
      <c r="E66" s="67">
        <f t="shared" si="8"/>
        <v>68.14</v>
      </c>
      <c r="F66" s="67">
        <f t="shared" si="8"/>
        <v>67.44</v>
      </c>
      <c r="G66" s="67">
        <f t="shared" si="8"/>
        <v>84.039999999999992</v>
      </c>
      <c r="H66" s="67">
        <f t="shared" si="8"/>
        <v>119.24</v>
      </c>
      <c r="I66" s="67">
        <f t="shared" si="8"/>
        <v>153.94000000000003</v>
      </c>
      <c r="J66" s="67">
        <f t="shared" si="8"/>
        <v>241.24000000000004</v>
      </c>
      <c r="K66" s="67">
        <f t="shared" si="8"/>
        <v>243.84</v>
      </c>
      <c r="L66" s="67">
        <f t="shared" si="8"/>
        <v>243.24</v>
      </c>
      <c r="M66" s="67">
        <f t="shared" si="8"/>
        <v>241.94</v>
      </c>
      <c r="N66" s="67">
        <f>SUM(N53:N65)</f>
        <v>208.14000000000001</v>
      </c>
      <c r="O66" s="67">
        <f t="shared" si="8"/>
        <v>199.34</v>
      </c>
      <c r="P66" s="67">
        <f>SUM(P53:P65)</f>
        <v>208.04000000000002</v>
      </c>
      <c r="Q66" s="67">
        <f t="shared" si="8"/>
        <v>180.24</v>
      </c>
      <c r="R66" s="67">
        <f t="shared" si="8"/>
        <v>174.84</v>
      </c>
      <c r="S66" s="67">
        <f t="shared" si="8"/>
        <v>181.24</v>
      </c>
      <c r="T66" s="67">
        <f t="shared" si="8"/>
        <v>187.24</v>
      </c>
      <c r="U66" s="67">
        <f t="shared" si="8"/>
        <v>181.94000000000003</v>
      </c>
      <c r="V66" s="67">
        <f t="shared" ref="V66:W66" si="9">SUM(V53:V65)</f>
        <v>181.94000000000003</v>
      </c>
      <c r="W66" s="67">
        <f t="shared" si="9"/>
        <v>127.94</v>
      </c>
      <c r="X66" s="67">
        <f t="shared" si="8"/>
        <v>225.84000000000003</v>
      </c>
      <c r="Y66" s="67">
        <v>225.84000000000003</v>
      </c>
      <c r="Z66" s="67">
        <v>269.34000000000003</v>
      </c>
      <c r="AA66" s="67">
        <f t="shared" si="8"/>
        <v>259.34000000000003</v>
      </c>
      <c r="AB66" s="67">
        <f t="shared" si="8"/>
        <v>226.54</v>
      </c>
      <c r="AC66" s="67">
        <f t="shared" si="8"/>
        <v>155.14000000000001</v>
      </c>
      <c r="AD66" s="67">
        <f t="shared" si="8"/>
        <v>161.44000000000003</v>
      </c>
      <c r="AE66" s="67">
        <f t="shared" si="8"/>
        <v>79.539999999999992</v>
      </c>
      <c r="AF66" s="67">
        <f t="shared" si="8"/>
        <v>79.539999999999992</v>
      </c>
      <c r="AG66" s="68">
        <f t="shared" si="8"/>
        <v>489.91</v>
      </c>
      <c r="AH66" s="52">
        <f t="shared" si="2"/>
        <v>269.34000000000003</v>
      </c>
      <c r="AI66" s="53">
        <f t="shared" si="3"/>
        <v>67.44</v>
      </c>
      <c r="AK66" s="54"/>
    </row>
    <row r="67" spans="1:40" x14ac:dyDescent="0.25">
      <c r="A67" s="49" t="s">
        <v>71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0</v>
      </c>
      <c r="AI67" s="53">
        <f t="shared" si="3"/>
        <v>0</v>
      </c>
      <c r="AK67" s="54"/>
    </row>
    <row r="68" spans="1:40" x14ac:dyDescent="0.25">
      <c r="A68" s="60" t="s">
        <v>72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0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>
        <v>0</v>
      </c>
      <c r="N69" s="74">
        <v>0</v>
      </c>
      <c r="O69" s="74">
        <v>0</v>
      </c>
      <c r="P69" s="74">
        <v>0</v>
      </c>
      <c r="Q69" s="74">
        <v>0</v>
      </c>
      <c r="R69" s="74">
        <v>0</v>
      </c>
      <c r="S69" s="74">
        <v>0</v>
      </c>
      <c r="T69" s="74">
        <v>0</v>
      </c>
      <c r="U69" s="74">
        <v>0</v>
      </c>
      <c r="V69" s="74">
        <v>0</v>
      </c>
      <c r="W69" s="74">
        <v>0</v>
      </c>
      <c r="X69" s="74">
        <v>0</v>
      </c>
      <c r="Y69" s="74">
        <v>0</v>
      </c>
      <c r="Z69" s="74">
        <v>0</v>
      </c>
      <c r="AA69" s="74">
        <v>0</v>
      </c>
      <c r="AB69" s="74">
        <v>0</v>
      </c>
      <c r="AC69" s="74">
        <v>0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0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0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1">M67+M68+M69</f>
        <v>0</v>
      </c>
      <c r="N70" s="67">
        <f t="shared" si="11"/>
        <v>0</v>
      </c>
      <c r="O70" s="67">
        <f t="shared" si="11"/>
        <v>0</v>
      </c>
      <c r="P70" s="67">
        <f t="shared" ref="P70" si="12">P67+P68+P69</f>
        <v>0</v>
      </c>
      <c r="Q70" s="67">
        <f t="shared" si="11"/>
        <v>0</v>
      </c>
      <c r="R70" s="67">
        <f t="shared" si="11"/>
        <v>0</v>
      </c>
      <c r="S70" s="67">
        <f t="shared" si="11"/>
        <v>0</v>
      </c>
      <c r="T70" s="67">
        <f t="shared" si="11"/>
        <v>0</v>
      </c>
      <c r="U70" s="67">
        <f t="shared" si="11"/>
        <v>0</v>
      </c>
      <c r="V70" s="67">
        <f t="shared" ref="V70:W70" si="13">V67+V68+V69</f>
        <v>0</v>
      </c>
      <c r="W70" s="67">
        <f t="shared" si="13"/>
        <v>0</v>
      </c>
      <c r="X70" s="67">
        <f t="shared" si="11"/>
        <v>0</v>
      </c>
      <c r="Y70" s="67">
        <v>0</v>
      </c>
      <c r="Z70" s="67">
        <v>0</v>
      </c>
      <c r="AA70" s="67">
        <f t="shared" si="11"/>
        <v>0</v>
      </c>
      <c r="AB70" s="67">
        <f t="shared" si="11"/>
        <v>0</v>
      </c>
      <c r="AC70" s="67">
        <f t="shared" si="11"/>
        <v>0</v>
      </c>
      <c r="AD70" s="67">
        <f t="shared" si="11"/>
        <v>0</v>
      </c>
      <c r="AE70" s="67">
        <f t="shared" si="11"/>
        <v>0</v>
      </c>
      <c r="AF70" s="67">
        <f t="shared" si="11"/>
        <v>0</v>
      </c>
      <c r="AG70" s="68">
        <f>SUM(AG67:AG69)</f>
        <v>106</v>
      </c>
      <c r="AH70" s="52">
        <f t="shared" si="2"/>
        <v>0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56</v>
      </c>
      <c r="C71" s="50">
        <v>61</v>
      </c>
      <c r="D71" s="50">
        <v>62</v>
      </c>
      <c r="E71" s="50">
        <v>61.5</v>
      </c>
      <c r="F71" s="50">
        <v>60.4</v>
      </c>
      <c r="G71" s="50">
        <v>65.900000000000006</v>
      </c>
      <c r="H71" s="50">
        <v>66</v>
      </c>
      <c r="I71" s="50">
        <v>62</v>
      </c>
      <c r="J71" s="50">
        <v>65</v>
      </c>
      <c r="K71" s="50">
        <v>56</v>
      </c>
      <c r="L71" s="50">
        <v>56.4</v>
      </c>
      <c r="M71" s="50">
        <v>59</v>
      </c>
      <c r="N71" s="50">
        <v>62</v>
      </c>
      <c r="O71" s="50">
        <v>68</v>
      </c>
      <c r="P71" s="50">
        <v>70.599999999999994</v>
      </c>
      <c r="Q71" s="50">
        <v>66</v>
      </c>
      <c r="R71" s="50">
        <v>65</v>
      </c>
      <c r="S71" s="50">
        <v>60.6</v>
      </c>
      <c r="T71" s="50">
        <v>68</v>
      </c>
      <c r="U71" s="50">
        <v>72</v>
      </c>
      <c r="V71" s="50">
        <v>72</v>
      </c>
      <c r="W71" s="50">
        <v>60.6</v>
      </c>
      <c r="X71" s="50">
        <v>52</v>
      </c>
      <c r="Y71" s="50">
        <v>65</v>
      </c>
      <c r="Z71" s="50">
        <v>71.8</v>
      </c>
      <c r="AA71" s="50">
        <v>71.8</v>
      </c>
      <c r="AB71" s="50">
        <v>71.7</v>
      </c>
      <c r="AC71" s="50">
        <v>58</v>
      </c>
      <c r="AD71" s="50">
        <v>55.6</v>
      </c>
      <c r="AE71" s="50">
        <v>50</v>
      </c>
      <c r="AF71" s="50">
        <v>56</v>
      </c>
      <c r="AG71" s="56"/>
      <c r="AH71" s="52">
        <f t="shared" si="2"/>
        <v>72</v>
      </c>
      <c r="AI71" s="53">
        <f t="shared" si="3"/>
        <v>50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319</v>
      </c>
      <c r="C73" s="72">
        <v>344</v>
      </c>
      <c r="D73" s="72">
        <v>336</v>
      </c>
      <c r="E73" s="72">
        <v>343.7</v>
      </c>
      <c r="F73" s="72">
        <v>333</v>
      </c>
      <c r="G73" s="72">
        <v>340.8</v>
      </c>
      <c r="H73" s="72">
        <v>342.8</v>
      </c>
      <c r="I73" s="72">
        <v>326.7</v>
      </c>
      <c r="J73" s="72">
        <v>291</v>
      </c>
      <c r="K73" s="72">
        <v>283</v>
      </c>
      <c r="L73" s="72">
        <v>290.89999999999998</v>
      </c>
      <c r="M73" s="72">
        <v>305</v>
      </c>
      <c r="N73" s="72">
        <v>346</v>
      </c>
      <c r="O73" s="72">
        <v>322</v>
      </c>
      <c r="P73" s="72">
        <v>286</v>
      </c>
      <c r="Q73" s="72">
        <v>283</v>
      </c>
      <c r="R73" s="72">
        <v>293</v>
      </c>
      <c r="S73" s="72">
        <v>292.2</v>
      </c>
      <c r="T73" s="72">
        <v>327</v>
      </c>
      <c r="U73" s="72">
        <v>354</v>
      </c>
      <c r="V73" s="72">
        <v>354</v>
      </c>
      <c r="W73" s="72">
        <v>344</v>
      </c>
      <c r="X73" s="72">
        <v>345</v>
      </c>
      <c r="Y73" s="72">
        <v>320</v>
      </c>
      <c r="Z73" s="72">
        <v>330</v>
      </c>
      <c r="AA73" s="72">
        <v>310</v>
      </c>
      <c r="AB73" s="72">
        <v>341</v>
      </c>
      <c r="AC73" s="72">
        <v>319</v>
      </c>
      <c r="AD73" s="72">
        <v>275</v>
      </c>
      <c r="AE73" s="72">
        <v>316.5</v>
      </c>
      <c r="AF73" s="72">
        <v>265</v>
      </c>
      <c r="AG73" s="82"/>
      <c r="AH73" s="52">
        <f t="shared" si="2"/>
        <v>354</v>
      </c>
      <c r="AI73" s="53">
        <f t="shared" si="3"/>
        <v>265</v>
      </c>
      <c r="AK73" s="54"/>
    </row>
    <row r="74" spans="1:40" x14ac:dyDescent="0.25">
      <c r="A74" s="60" t="s">
        <v>78</v>
      </c>
      <c r="B74" s="72">
        <v>51</v>
      </c>
      <c r="C74" s="72">
        <v>51.6</v>
      </c>
      <c r="D74" s="72">
        <v>54.2</v>
      </c>
      <c r="E74" s="83">
        <v>60.7</v>
      </c>
      <c r="F74" s="83">
        <v>59.8</v>
      </c>
      <c r="G74" s="83">
        <v>55</v>
      </c>
      <c r="H74" s="83">
        <v>58.9</v>
      </c>
      <c r="I74" s="83">
        <v>63.7</v>
      </c>
      <c r="J74" s="83">
        <v>63.1</v>
      </c>
      <c r="K74" s="83">
        <v>64.5</v>
      </c>
      <c r="L74" s="83">
        <v>63.3</v>
      </c>
      <c r="M74" s="83">
        <v>61.6</v>
      </c>
      <c r="N74" s="83">
        <v>58</v>
      </c>
      <c r="O74" s="83">
        <v>58</v>
      </c>
      <c r="P74" s="83">
        <v>62</v>
      </c>
      <c r="Q74" s="83">
        <v>57</v>
      </c>
      <c r="R74" s="83">
        <v>57</v>
      </c>
      <c r="S74" s="83">
        <v>58.6</v>
      </c>
      <c r="T74" s="83">
        <v>57</v>
      </c>
      <c r="U74" s="83">
        <v>53</v>
      </c>
      <c r="V74" s="83">
        <v>53</v>
      </c>
      <c r="W74" s="83">
        <v>53</v>
      </c>
      <c r="X74" s="83">
        <v>61.3</v>
      </c>
      <c r="Y74" s="72">
        <v>62</v>
      </c>
      <c r="Z74" s="72">
        <v>66.2</v>
      </c>
      <c r="AA74" s="72">
        <v>66.2</v>
      </c>
      <c r="AB74" s="72">
        <v>60.5</v>
      </c>
      <c r="AC74" s="72">
        <v>56</v>
      </c>
      <c r="AD74" s="72">
        <v>56.3</v>
      </c>
      <c r="AE74" s="72">
        <v>19.8</v>
      </c>
      <c r="AF74" s="72">
        <v>24.6</v>
      </c>
      <c r="AG74" s="82"/>
      <c r="AH74" s="52">
        <f t="shared" si="2"/>
        <v>66.2</v>
      </c>
      <c r="AI74" s="53">
        <f t="shared" si="3"/>
        <v>19.8</v>
      </c>
      <c r="AK74" s="54"/>
    </row>
    <row r="75" spans="1:40" x14ac:dyDescent="0.25">
      <c r="A75" s="60" t="s">
        <v>79</v>
      </c>
      <c r="B75" s="50">
        <v>87</v>
      </c>
      <c r="C75" s="50">
        <v>93.2</v>
      </c>
      <c r="D75" s="50">
        <v>92</v>
      </c>
      <c r="E75" s="50">
        <v>97</v>
      </c>
      <c r="F75" s="50">
        <v>93</v>
      </c>
      <c r="G75" s="50">
        <v>93.7</v>
      </c>
      <c r="H75" s="50">
        <v>90</v>
      </c>
      <c r="I75" s="50">
        <v>80.599999999999994</v>
      </c>
      <c r="J75" s="50">
        <v>80</v>
      </c>
      <c r="K75" s="50">
        <v>75</v>
      </c>
      <c r="L75" s="50">
        <v>69.2</v>
      </c>
      <c r="M75" s="50">
        <v>56.6</v>
      </c>
      <c r="N75" s="50">
        <v>80</v>
      </c>
      <c r="O75" s="50">
        <v>80</v>
      </c>
      <c r="P75" s="50">
        <v>69.3</v>
      </c>
      <c r="Q75" s="50">
        <v>79</v>
      </c>
      <c r="R75" s="50">
        <v>74</v>
      </c>
      <c r="S75" s="50">
        <v>59.6</v>
      </c>
      <c r="T75" s="50">
        <v>80</v>
      </c>
      <c r="U75" s="50">
        <v>80</v>
      </c>
      <c r="V75" s="50">
        <v>80</v>
      </c>
      <c r="W75" s="50">
        <v>80</v>
      </c>
      <c r="X75" s="50">
        <v>89.6</v>
      </c>
      <c r="Y75" s="50">
        <v>89.6</v>
      </c>
      <c r="Z75" s="50">
        <v>60</v>
      </c>
      <c r="AA75" s="50">
        <v>60</v>
      </c>
      <c r="AB75" s="50">
        <v>71.7</v>
      </c>
      <c r="AC75" s="50">
        <v>93</v>
      </c>
      <c r="AD75" s="50">
        <v>62.8</v>
      </c>
      <c r="AE75" s="50">
        <v>63</v>
      </c>
      <c r="AF75" s="50">
        <v>65.8</v>
      </c>
      <c r="AG75" s="82"/>
      <c r="AH75" s="52">
        <f t="shared" ref="AH75:AH117" si="14">MAX(B75:AF75)</f>
        <v>97</v>
      </c>
      <c r="AI75" s="53">
        <f t="shared" ref="AI75:AI117" si="15">MIN(B75:AF75)</f>
        <v>56.6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4"/>
        <v>0</v>
      </c>
      <c r="AI76" s="53">
        <f t="shared" si="15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4"/>
        <v>0</v>
      </c>
      <c r="AI77" s="53">
        <f t="shared" si="15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4"/>
        <v>0</v>
      </c>
      <c r="AI78" s="53">
        <f t="shared" si="15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4"/>
        <v>0</v>
      </c>
      <c r="AI79" s="53">
        <f t="shared" si="15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4"/>
        <v>0</v>
      </c>
      <c r="AI80" s="53">
        <f t="shared" si="15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4"/>
        <v>0</v>
      </c>
      <c r="AI81" s="53">
        <f t="shared" si="15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6">SUMIF(B71:B81,"&gt;0")</f>
        <v>513</v>
      </c>
      <c r="C82" s="67">
        <f t="shared" si="16"/>
        <v>549.80000000000007</v>
      </c>
      <c r="D82" s="67">
        <f t="shared" si="16"/>
        <v>544.20000000000005</v>
      </c>
      <c r="E82" s="67">
        <f t="shared" si="16"/>
        <v>562.9</v>
      </c>
      <c r="F82" s="67">
        <f t="shared" si="16"/>
        <v>546.20000000000005</v>
      </c>
      <c r="G82" s="67">
        <f t="shared" si="16"/>
        <v>555.40000000000009</v>
      </c>
      <c r="H82" s="67">
        <f t="shared" si="16"/>
        <v>557.70000000000005</v>
      </c>
      <c r="I82" s="67">
        <f t="shared" si="16"/>
        <v>533</v>
      </c>
      <c r="J82" s="67">
        <f t="shared" si="16"/>
        <v>499.1</v>
      </c>
      <c r="K82" s="67">
        <f t="shared" si="16"/>
        <v>478.5</v>
      </c>
      <c r="L82" s="67">
        <f t="shared" si="16"/>
        <v>479.79999999999995</v>
      </c>
      <c r="M82" s="67">
        <f t="shared" si="16"/>
        <v>482.20000000000005</v>
      </c>
      <c r="N82" s="67">
        <f t="shared" si="16"/>
        <v>546</v>
      </c>
      <c r="O82" s="67">
        <f t="shared" si="16"/>
        <v>528</v>
      </c>
      <c r="P82" s="67">
        <f t="shared" si="16"/>
        <v>487.90000000000003</v>
      </c>
      <c r="Q82" s="67">
        <f t="shared" si="16"/>
        <v>485</v>
      </c>
      <c r="R82" s="67">
        <f t="shared" si="16"/>
        <v>489</v>
      </c>
      <c r="S82" s="67">
        <f t="shared" si="16"/>
        <v>471.00000000000006</v>
      </c>
      <c r="T82" s="67">
        <f t="shared" si="16"/>
        <v>532</v>
      </c>
      <c r="U82" s="67">
        <f t="shared" si="16"/>
        <v>559</v>
      </c>
      <c r="V82" s="67">
        <f t="shared" ref="V82:W82" si="17">SUMIF(V71:V81,"&gt;0")</f>
        <v>559</v>
      </c>
      <c r="W82" s="67">
        <f t="shared" si="17"/>
        <v>537.6</v>
      </c>
      <c r="X82" s="67">
        <f t="shared" si="16"/>
        <v>547.9</v>
      </c>
      <c r="Y82" s="67">
        <v>547.9</v>
      </c>
      <c r="Z82" s="67">
        <v>531</v>
      </c>
      <c r="AA82" s="67">
        <f t="shared" si="16"/>
        <v>508</v>
      </c>
      <c r="AB82" s="67">
        <f t="shared" si="16"/>
        <v>544.9</v>
      </c>
      <c r="AC82" s="67">
        <f t="shared" si="16"/>
        <v>526</v>
      </c>
      <c r="AD82" s="67">
        <f t="shared" si="16"/>
        <v>449.70000000000005</v>
      </c>
      <c r="AE82" s="67">
        <f t="shared" si="16"/>
        <v>449.3</v>
      </c>
      <c r="AF82" s="67">
        <f t="shared" si="16"/>
        <v>411.40000000000003</v>
      </c>
      <c r="AG82" s="95">
        <f>SUM(AG71:AG81)</f>
        <v>0</v>
      </c>
      <c r="AH82" s="52">
        <f t="shared" si="14"/>
        <v>562.9</v>
      </c>
      <c r="AI82" s="53">
        <f t="shared" si="15"/>
        <v>411.40000000000003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4"/>
        <v>0</v>
      </c>
      <c r="AI83" s="53">
        <f t="shared" si="15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4"/>
        <v>0</v>
      </c>
      <c r="AI84" s="53">
        <f t="shared" si="15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4"/>
        <v>0</v>
      </c>
      <c r="AI85" s="53">
        <f t="shared" si="15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>
        <v>0</v>
      </c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4"/>
        <v>0</v>
      </c>
      <c r="AI86" s="53">
        <f t="shared" si="15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8">B48+B52+B70+B66+B82+B86</f>
        <v>1051.04</v>
      </c>
      <c r="C87" s="102">
        <f t="shared" si="18"/>
        <v>1061.3400000000001</v>
      </c>
      <c r="D87" s="102">
        <f t="shared" si="18"/>
        <v>1022.74</v>
      </c>
      <c r="E87" s="102">
        <f t="shared" si="18"/>
        <v>1022.14</v>
      </c>
      <c r="F87" s="102">
        <f t="shared" si="18"/>
        <v>1029.74</v>
      </c>
      <c r="G87" s="102">
        <f t="shared" si="18"/>
        <v>1055.1400000000001</v>
      </c>
      <c r="H87" s="102">
        <f t="shared" si="18"/>
        <v>1102.6399999999999</v>
      </c>
      <c r="I87" s="102">
        <f t="shared" si="18"/>
        <v>1147.74</v>
      </c>
      <c r="J87" s="102">
        <f t="shared" si="18"/>
        <v>1226.04</v>
      </c>
      <c r="K87" s="102">
        <f t="shared" si="18"/>
        <v>1168.04</v>
      </c>
      <c r="L87" s="102">
        <f t="shared" si="18"/>
        <v>1203.8399999999999</v>
      </c>
      <c r="M87" s="102">
        <f t="shared" si="18"/>
        <v>1204.94</v>
      </c>
      <c r="N87" s="102">
        <f t="shared" si="18"/>
        <v>1237.6399999999999</v>
      </c>
      <c r="O87" s="102">
        <f t="shared" si="18"/>
        <v>1193.1399999999999</v>
      </c>
      <c r="P87" s="102">
        <f t="shared" si="18"/>
        <v>1156.74</v>
      </c>
      <c r="Q87" s="102">
        <f t="shared" si="18"/>
        <v>1141.04</v>
      </c>
      <c r="R87" s="102">
        <f t="shared" si="18"/>
        <v>1147.6399999999999</v>
      </c>
      <c r="S87" s="102">
        <f t="shared" si="18"/>
        <v>1133.04</v>
      </c>
      <c r="T87" s="102">
        <f t="shared" si="18"/>
        <v>1200.04</v>
      </c>
      <c r="U87" s="102">
        <f t="shared" si="18"/>
        <v>1171.74</v>
      </c>
      <c r="V87" s="102">
        <f t="shared" ref="V87:W87" si="19">V48+V52+V70+V66+V82+V86</f>
        <v>1171.74</v>
      </c>
      <c r="W87" s="102">
        <f t="shared" si="19"/>
        <v>1086.3400000000001</v>
      </c>
      <c r="X87" s="102">
        <f t="shared" si="18"/>
        <v>1205.3400000000001</v>
      </c>
      <c r="Y87" s="102">
        <v>1199.3400000000001</v>
      </c>
      <c r="Z87" s="102">
        <v>1305.94</v>
      </c>
      <c r="AA87" s="102">
        <f t="shared" si="18"/>
        <v>1278.94</v>
      </c>
      <c r="AB87" s="102">
        <f t="shared" si="18"/>
        <v>1184.24</v>
      </c>
      <c r="AC87" s="102">
        <f t="shared" si="18"/>
        <v>1113.94</v>
      </c>
      <c r="AD87" s="102">
        <f t="shared" si="18"/>
        <v>1043.94</v>
      </c>
      <c r="AE87" s="102">
        <f t="shared" si="18"/>
        <v>961.6400000000001</v>
      </c>
      <c r="AF87" s="102">
        <f t="shared" si="18"/>
        <v>923.74</v>
      </c>
      <c r="AG87" s="68">
        <f t="shared" si="18"/>
        <v>2065.09</v>
      </c>
      <c r="AH87" s="52">
        <f>MAX(B87:AF87)</f>
        <v>1305.94</v>
      </c>
      <c r="AI87" s="53">
        <f>MIN(B87:AF87)</f>
        <v>923.74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100</v>
      </c>
      <c r="L88" s="104">
        <v>100</v>
      </c>
      <c r="M88" s="104">
        <v>100</v>
      </c>
      <c r="N88" s="104">
        <v>100</v>
      </c>
      <c r="O88" s="104">
        <v>100</v>
      </c>
      <c r="P88" s="104"/>
      <c r="Q88" s="104"/>
      <c r="R88" s="104"/>
      <c r="S88" s="104"/>
      <c r="T88" s="104"/>
      <c r="U88" s="104"/>
      <c r="V88" s="104"/>
      <c r="W88" s="104"/>
      <c r="X88" s="104">
        <v>150</v>
      </c>
      <c r="Y88" s="104">
        <v>150</v>
      </c>
      <c r="Z88" s="104">
        <v>150</v>
      </c>
      <c r="AA88" s="104">
        <v>150</v>
      </c>
      <c r="AB88" s="104">
        <v>150</v>
      </c>
      <c r="AC88" s="104"/>
      <c r="AD88" s="104"/>
      <c r="AE88" s="104"/>
      <c r="AF88" s="104"/>
      <c r="AG88" s="95"/>
      <c r="AH88" s="52">
        <f t="shared" si="14"/>
        <v>150</v>
      </c>
      <c r="AI88" s="53">
        <f t="shared" si="15"/>
        <v>100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20">B87+B88</f>
        <v>1051.04</v>
      </c>
      <c r="C89" s="102">
        <f t="shared" si="20"/>
        <v>1061.3400000000001</v>
      </c>
      <c r="D89" s="102">
        <f t="shared" si="20"/>
        <v>1022.74</v>
      </c>
      <c r="E89" s="102">
        <f t="shared" si="20"/>
        <v>1022.14</v>
      </c>
      <c r="F89" s="102">
        <f t="shared" si="20"/>
        <v>1029.74</v>
      </c>
      <c r="G89" s="102">
        <f t="shared" si="20"/>
        <v>1055.1400000000001</v>
      </c>
      <c r="H89" s="102">
        <f t="shared" si="20"/>
        <v>1102.6399999999999</v>
      </c>
      <c r="I89" s="102">
        <f t="shared" si="20"/>
        <v>1147.74</v>
      </c>
      <c r="J89" s="102">
        <f t="shared" si="20"/>
        <v>1226.04</v>
      </c>
      <c r="K89" s="102">
        <f t="shared" si="20"/>
        <v>1268.04</v>
      </c>
      <c r="L89" s="102">
        <f t="shared" si="20"/>
        <v>1303.8399999999999</v>
      </c>
      <c r="M89" s="102">
        <f t="shared" si="20"/>
        <v>1304.94</v>
      </c>
      <c r="N89" s="102">
        <f t="shared" si="20"/>
        <v>1337.6399999999999</v>
      </c>
      <c r="O89" s="102">
        <f t="shared" si="20"/>
        <v>1293.1399999999999</v>
      </c>
      <c r="P89" s="102">
        <f t="shared" si="20"/>
        <v>1156.74</v>
      </c>
      <c r="Q89" s="102">
        <f t="shared" si="20"/>
        <v>1141.04</v>
      </c>
      <c r="R89" s="102">
        <f t="shared" si="20"/>
        <v>1147.6399999999999</v>
      </c>
      <c r="S89" s="102">
        <f t="shared" si="20"/>
        <v>1133.04</v>
      </c>
      <c r="T89" s="102">
        <f t="shared" si="20"/>
        <v>1200.04</v>
      </c>
      <c r="U89" s="102">
        <f t="shared" si="20"/>
        <v>1171.74</v>
      </c>
      <c r="V89" s="102">
        <f t="shared" ref="V89:W89" si="21">V87+V88</f>
        <v>1171.74</v>
      </c>
      <c r="W89" s="102">
        <f t="shared" si="21"/>
        <v>1086.3400000000001</v>
      </c>
      <c r="X89" s="102">
        <f t="shared" si="20"/>
        <v>1355.3400000000001</v>
      </c>
      <c r="Y89" s="102">
        <v>1349.3400000000001</v>
      </c>
      <c r="Z89" s="102">
        <v>1455.94</v>
      </c>
      <c r="AA89" s="102">
        <f t="shared" si="20"/>
        <v>1428.94</v>
      </c>
      <c r="AB89" s="102">
        <f t="shared" si="20"/>
        <v>1334.24</v>
      </c>
      <c r="AC89" s="102">
        <f t="shared" si="20"/>
        <v>1113.94</v>
      </c>
      <c r="AD89" s="102">
        <f t="shared" si="20"/>
        <v>1043.94</v>
      </c>
      <c r="AE89" s="102">
        <f t="shared" si="20"/>
        <v>961.6400000000001</v>
      </c>
      <c r="AF89" s="102">
        <f t="shared" si="20"/>
        <v>923.74</v>
      </c>
      <c r="AG89" s="95">
        <f>AG86+AG82+AG70+AG66+AG48+AG88</f>
        <v>1526.99</v>
      </c>
      <c r="AH89" s="52">
        <f t="shared" si="14"/>
        <v>1455.94</v>
      </c>
      <c r="AI89" s="53">
        <f t="shared" si="15"/>
        <v>923.74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22">B89-B97</f>
        <v>1051.04</v>
      </c>
      <c r="C90" s="102">
        <f t="shared" si="22"/>
        <v>1061.3400000000001</v>
      </c>
      <c r="D90" s="102">
        <f t="shared" si="22"/>
        <v>1022.74</v>
      </c>
      <c r="E90" s="102">
        <f t="shared" si="22"/>
        <v>1022.14</v>
      </c>
      <c r="F90" s="102">
        <f t="shared" si="22"/>
        <v>1029.74</v>
      </c>
      <c r="G90" s="102">
        <f t="shared" si="22"/>
        <v>1055.1400000000001</v>
      </c>
      <c r="H90" s="102">
        <f t="shared" si="22"/>
        <v>1102.6399999999999</v>
      </c>
      <c r="I90" s="102">
        <f t="shared" si="22"/>
        <v>1147.74</v>
      </c>
      <c r="J90" s="102">
        <f t="shared" si="22"/>
        <v>1226.04</v>
      </c>
      <c r="K90" s="102">
        <f t="shared" si="22"/>
        <v>1268.04</v>
      </c>
      <c r="L90" s="102">
        <f t="shared" si="22"/>
        <v>1303.8399999999999</v>
      </c>
      <c r="M90" s="102">
        <f t="shared" si="22"/>
        <v>1304.94</v>
      </c>
      <c r="N90" s="102">
        <f t="shared" si="22"/>
        <v>1337.6399999999999</v>
      </c>
      <c r="O90" s="102">
        <f t="shared" si="22"/>
        <v>1293.1399999999999</v>
      </c>
      <c r="P90" s="102">
        <f t="shared" si="22"/>
        <v>1156.74</v>
      </c>
      <c r="Q90" s="102">
        <f t="shared" si="22"/>
        <v>1141.04</v>
      </c>
      <c r="R90" s="102">
        <f t="shared" si="22"/>
        <v>1147.6399999999999</v>
      </c>
      <c r="S90" s="102">
        <f t="shared" si="22"/>
        <v>1133.04</v>
      </c>
      <c r="T90" s="102">
        <f t="shared" si="22"/>
        <v>1200.04</v>
      </c>
      <c r="U90" s="102">
        <f t="shared" si="22"/>
        <v>1171.74</v>
      </c>
      <c r="V90" s="102">
        <f t="shared" ref="V90:W90" si="23">V89-V97</f>
        <v>1171.74</v>
      </c>
      <c r="W90" s="102">
        <f t="shared" si="23"/>
        <v>1086.3400000000001</v>
      </c>
      <c r="X90" s="102">
        <f t="shared" si="22"/>
        <v>1355.3400000000001</v>
      </c>
      <c r="Y90" s="102">
        <v>1349.3400000000001</v>
      </c>
      <c r="Z90" s="102">
        <v>1455.94</v>
      </c>
      <c r="AA90" s="102">
        <f t="shared" si="22"/>
        <v>1428.94</v>
      </c>
      <c r="AB90" s="102">
        <f t="shared" si="22"/>
        <v>1334.24</v>
      </c>
      <c r="AC90" s="102">
        <f t="shared" si="22"/>
        <v>1113.94</v>
      </c>
      <c r="AD90" s="102">
        <f t="shared" si="22"/>
        <v>1043.94</v>
      </c>
      <c r="AE90" s="102">
        <f t="shared" si="22"/>
        <v>961.6400000000001</v>
      </c>
      <c r="AF90" s="102">
        <f t="shared" si="22"/>
        <v>923.74</v>
      </c>
      <c r="AG90" s="95"/>
      <c r="AH90" s="52">
        <f t="shared" si="14"/>
        <v>1455.94</v>
      </c>
      <c r="AI90" s="53">
        <f t="shared" si="15"/>
        <v>923.74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4"/>
        <v>0</v>
      </c>
      <c r="AI91" s="53">
        <f t="shared" si="15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4"/>
        <v>0</v>
      </c>
      <c r="AI92" s="53">
        <f t="shared" si="15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4"/>
        <v>0</v>
      </c>
      <c r="AI93" s="53">
        <f t="shared" si="15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4"/>
        <v>0</v>
      </c>
      <c r="AI94" s="53">
        <f t="shared" si="15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4"/>
        <v>0</v>
      </c>
      <c r="AI95" s="53">
        <f t="shared" si="15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4"/>
        <v>0</v>
      </c>
      <c r="AI96" s="53">
        <f t="shared" si="15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14"/>
        <v>0</v>
      </c>
      <c r="AI97" s="53">
        <f t="shared" si="15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4">B82-B97</f>
        <v>513</v>
      </c>
      <c r="C98" s="67">
        <f t="shared" si="24"/>
        <v>549.80000000000007</v>
      </c>
      <c r="D98" s="67">
        <f t="shared" si="24"/>
        <v>544.20000000000005</v>
      </c>
      <c r="E98" s="67">
        <f t="shared" si="24"/>
        <v>562.9</v>
      </c>
      <c r="F98" s="67">
        <f t="shared" si="24"/>
        <v>546.20000000000005</v>
      </c>
      <c r="G98" s="67">
        <f t="shared" si="24"/>
        <v>555.40000000000009</v>
      </c>
      <c r="H98" s="67">
        <f t="shared" si="24"/>
        <v>557.70000000000005</v>
      </c>
      <c r="I98" s="67">
        <f t="shared" si="24"/>
        <v>533</v>
      </c>
      <c r="J98" s="67">
        <f t="shared" si="24"/>
        <v>499.1</v>
      </c>
      <c r="K98" s="67">
        <f t="shared" si="24"/>
        <v>478.5</v>
      </c>
      <c r="L98" s="67">
        <f t="shared" si="24"/>
        <v>479.79999999999995</v>
      </c>
      <c r="M98" s="67">
        <f t="shared" si="24"/>
        <v>482.20000000000005</v>
      </c>
      <c r="N98" s="67">
        <f t="shared" si="24"/>
        <v>546</v>
      </c>
      <c r="O98" s="67">
        <f t="shared" si="24"/>
        <v>528</v>
      </c>
      <c r="P98" s="67">
        <f t="shared" si="24"/>
        <v>487.90000000000003</v>
      </c>
      <c r="Q98" s="67">
        <f t="shared" si="24"/>
        <v>485</v>
      </c>
      <c r="R98" s="67">
        <f t="shared" si="24"/>
        <v>489</v>
      </c>
      <c r="S98" s="67">
        <f t="shared" si="24"/>
        <v>471.00000000000006</v>
      </c>
      <c r="T98" s="67">
        <f t="shared" si="24"/>
        <v>532</v>
      </c>
      <c r="U98" s="67">
        <f t="shared" si="24"/>
        <v>559</v>
      </c>
      <c r="V98" s="67">
        <f t="shared" ref="V98:W98" si="25">V82-V97</f>
        <v>559</v>
      </c>
      <c r="W98" s="67">
        <f t="shared" si="25"/>
        <v>537.6</v>
      </c>
      <c r="X98" s="67">
        <f t="shared" si="24"/>
        <v>547.9</v>
      </c>
      <c r="Y98" s="67">
        <v>547.9</v>
      </c>
      <c r="Z98" s="67">
        <v>531</v>
      </c>
      <c r="AA98" s="67">
        <f t="shared" si="24"/>
        <v>508</v>
      </c>
      <c r="AB98" s="67">
        <f t="shared" si="24"/>
        <v>544.9</v>
      </c>
      <c r="AC98" s="67">
        <f t="shared" si="24"/>
        <v>526</v>
      </c>
      <c r="AD98" s="67">
        <f t="shared" si="24"/>
        <v>449.70000000000005</v>
      </c>
      <c r="AE98" s="67">
        <f t="shared" si="24"/>
        <v>449.3</v>
      </c>
      <c r="AF98" s="67">
        <f t="shared" si="24"/>
        <v>411.40000000000003</v>
      </c>
      <c r="AG98" s="95"/>
      <c r="AH98" s="52">
        <f t="shared" si="14"/>
        <v>562.9</v>
      </c>
      <c r="AI98" s="53">
        <f t="shared" si="15"/>
        <v>411.40000000000003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50.006999999999998</v>
      </c>
      <c r="C99" s="108">
        <v>49.972000000000001</v>
      </c>
      <c r="D99" s="108">
        <v>49.859000000000002</v>
      </c>
      <c r="E99" s="108">
        <v>50.082999999999998</v>
      </c>
      <c r="F99" s="108">
        <v>49.932000000000002</v>
      </c>
      <c r="G99" s="108">
        <v>49.917000000000002</v>
      </c>
      <c r="H99" s="108">
        <v>50.03</v>
      </c>
      <c r="I99" s="108">
        <v>50.027000000000001</v>
      </c>
      <c r="J99" s="108">
        <v>50.042999999999999</v>
      </c>
      <c r="K99" s="108">
        <v>50.088000000000001</v>
      </c>
      <c r="L99" s="108">
        <v>50.058999999999997</v>
      </c>
      <c r="M99" s="108">
        <v>50.033999999999999</v>
      </c>
      <c r="N99" s="108">
        <v>49.828000000000003</v>
      </c>
      <c r="O99" s="108">
        <v>50.030999999999999</v>
      </c>
      <c r="P99" s="108">
        <v>50.154000000000003</v>
      </c>
      <c r="Q99" s="108">
        <v>50.018000000000001</v>
      </c>
      <c r="R99" s="108">
        <v>50.018000000000001</v>
      </c>
      <c r="S99" s="108">
        <v>49.94</v>
      </c>
      <c r="T99" s="108">
        <v>49.94</v>
      </c>
      <c r="U99" s="108">
        <v>50.09</v>
      </c>
      <c r="V99" s="108">
        <v>50.09</v>
      </c>
      <c r="W99" s="108">
        <v>50.09</v>
      </c>
      <c r="X99" s="108">
        <v>50.02</v>
      </c>
      <c r="Y99" s="108">
        <v>50.14</v>
      </c>
      <c r="Z99" s="108">
        <v>49.96</v>
      </c>
      <c r="AA99" s="108">
        <v>49.99</v>
      </c>
      <c r="AB99" s="108">
        <v>50.093000000000004</v>
      </c>
      <c r="AC99" s="108">
        <v>49.889000000000003</v>
      </c>
      <c r="AD99" s="108">
        <v>49.862000000000002</v>
      </c>
      <c r="AE99" s="108">
        <v>50.051000000000002</v>
      </c>
      <c r="AF99" s="108">
        <v>50.033000000000001</v>
      </c>
      <c r="AG99" s="109"/>
      <c r="AH99" s="52">
        <f t="shared" si="14"/>
        <v>50.154000000000003</v>
      </c>
      <c r="AI99" s="53">
        <f t="shared" si="15"/>
        <v>49.828000000000003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130</v>
      </c>
      <c r="C100" s="72">
        <v>128.69999999999999</v>
      </c>
      <c r="D100" s="72">
        <v>129.30000000000001</v>
      </c>
      <c r="E100" s="72">
        <v>130</v>
      </c>
      <c r="F100" s="72">
        <v>129.69999999999999</v>
      </c>
      <c r="G100" s="72">
        <v>128.9</v>
      </c>
      <c r="H100" s="72">
        <v>129.4</v>
      </c>
      <c r="I100" s="72">
        <v>128.5</v>
      </c>
      <c r="J100" s="72">
        <v>128.19999999999999</v>
      </c>
      <c r="K100" s="72">
        <v>129.1</v>
      </c>
      <c r="L100" s="72">
        <v>127.8</v>
      </c>
      <c r="M100" s="72">
        <v>128</v>
      </c>
      <c r="N100" s="72">
        <v>127.5</v>
      </c>
      <c r="O100" s="72">
        <v>128.30000000000001</v>
      </c>
      <c r="P100" s="72">
        <v>128.4</v>
      </c>
      <c r="Q100" s="72">
        <v>128.19999999999999</v>
      </c>
      <c r="R100" s="72">
        <v>128</v>
      </c>
      <c r="S100" s="72">
        <v>128.1</v>
      </c>
      <c r="T100" s="72">
        <v>128.1</v>
      </c>
      <c r="U100" s="72">
        <v>129</v>
      </c>
      <c r="V100" s="72">
        <v>129</v>
      </c>
      <c r="W100" s="72">
        <v>129</v>
      </c>
      <c r="X100" s="72">
        <v>130</v>
      </c>
      <c r="Y100" s="72">
        <v>128.6</v>
      </c>
      <c r="Z100" s="72">
        <v>127.8</v>
      </c>
      <c r="AA100" s="72">
        <v>127.8</v>
      </c>
      <c r="AB100" s="72">
        <v>127.8</v>
      </c>
      <c r="AC100" s="72">
        <v>130.1</v>
      </c>
      <c r="AD100" s="72">
        <v>130.1</v>
      </c>
      <c r="AE100" s="72">
        <v>129</v>
      </c>
      <c r="AF100" s="72">
        <v>130.19999999999999</v>
      </c>
      <c r="AG100" s="111"/>
      <c r="AH100" s="52">
        <f t="shared" si="14"/>
        <v>130.19999999999999</v>
      </c>
      <c r="AI100" s="53">
        <f t="shared" si="15"/>
        <v>127.5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132.80000000000001</v>
      </c>
      <c r="C101" s="72">
        <v>131.19999999999999</v>
      </c>
      <c r="D101" s="72">
        <v>131.69999999999999</v>
      </c>
      <c r="E101" s="72">
        <v>132.80000000000001</v>
      </c>
      <c r="F101" s="72">
        <v>132.4</v>
      </c>
      <c r="G101" s="72">
        <v>132</v>
      </c>
      <c r="H101" s="72">
        <v>132.19999999999999</v>
      </c>
      <c r="I101" s="72">
        <v>131.1</v>
      </c>
      <c r="J101" s="72">
        <v>130.69999999999999</v>
      </c>
      <c r="K101" s="72">
        <v>130.9</v>
      </c>
      <c r="L101" s="72">
        <v>129.80000000000001</v>
      </c>
      <c r="M101" s="72">
        <v>129.5</v>
      </c>
      <c r="N101" s="72">
        <v>129.1</v>
      </c>
      <c r="O101" s="72">
        <v>130</v>
      </c>
      <c r="P101" s="72">
        <v>130.30000000000001</v>
      </c>
      <c r="Q101" s="72">
        <v>130.4</v>
      </c>
      <c r="R101" s="72">
        <v>130.1</v>
      </c>
      <c r="S101" s="72">
        <v>130.80000000000001</v>
      </c>
      <c r="T101" s="72">
        <v>130.80000000000001</v>
      </c>
      <c r="U101" s="72">
        <v>131.5</v>
      </c>
      <c r="V101" s="72">
        <v>131.5</v>
      </c>
      <c r="W101" s="72">
        <v>131.5</v>
      </c>
      <c r="X101" s="72">
        <v>131.9</v>
      </c>
      <c r="Y101" s="72">
        <v>130.5</v>
      </c>
      <c r="Z101" s="72">
        <v>129.19999999999999</v>
      </c>
      <c r="AA101" s="72">
        <v>129.80000000000001</v>
      </c>
      <c r="AB101" s="72">
        <v>129.80000000000001</v>
      </c>
      <c r="AC101" s="72">
        <v>132</v>
      </c>
      <c r="AD101" s="72">
        <v>132</v>
      </c>
      <c r="AE101" s="72">
        <v>131.5</v>
      </c>
      <c r="AF101" s="72">
        <v>133</v>
      </c>
      <c r="AG101" s="111"/>
      <c r="AH101" s="52">
        <f t="shared" si="14"/>
        <v>133</v>
      </c>
      <c r="AI101" s="53">
        <f t="shared" si="15"/>
        <v>129.1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129.30000000000001</v>
      </c>
      <c r="C102" s="72">
        <v>128.9</v>
      </c>
      <c r="D102" s="72">
        <v>130</v>
      </c>
      <c r="E102" s="72">
        <v>130.1</v>
      </c>
      <c r="F102" s="72">
        <v>128.69999999999999</v>
      </c>
      <c r="G102" s="72">
        <v>129.30000000000001</v>
      </c>
      <c r="H102" s="72">
        <v>130.4</v>
      </c>
      <c r="I102" s="72">
        <v>129.1</v>
      </c>
      <c r="J102" s="72">
        <v>127.6</v>
      </c>
      <c r="K102" s="72">
        <v>130.4</v>
      </c>
      <c r="L102" s="72">
        <v>126.3</v>
      </c>
      <c r="M102" s="72">
        <v>126</v>
      </c>
      <c r="N102" s="72">
        <v>128</v>
      </c>
      <c r="O102" s="72">
        <v>127.2</v>
      </c>
      <c r="P102" s="72">
        <v>128</v>
      </c>
      <c r="Q102" s="72">
        <v>129.4</v>
      </c>
      <c r="R102" s="72">
        <v>129.30000000000001</v>
      </c>
      <c r="S102" s="72">
        <v>130</v>
      </c>
      <c r="T102" s="72">
        <v>130</v>
      </c>
      <c r="U102" s="72">
        <v>130</v>
      </c>
      <c r="V102" s="72">
        <v>130</v>
      </c>
      <c r="W102" s="72">
        <v>130</v>
      </c>
      <c r="X102" s="72">
        <v>129.80000000000001</v>
      </c>
      <c r="Y102" s="72">
        <v>130.80000000000001</v>
      </c>
      <c r="Z102" s="72">
        <v>128.80000000000001</v>
      </c>
      <c r="AA102" s="72">
        <v>131.4</v>
      </c>
      <c r="AB102" s="72">
        <v>131.4</v>
      </c>
      <c r="AC102" s="72">
        <v>131.5</v>
      </c>
      <c r="AD102" s="72">
        <v>131.5</v>
      </c>
      <c r="AE102" s="72">
        <v>130</v>
      </c>
      <c r="AF102" s="72">
        <v>130.19999999999999</v>
      </c>
      <c r="AG102" s="111"/>
      <c r="AH102" s="52">
        <f t="shared" si="14"/>
        <v>131.5</v>
      </c>
      <c r="AI102" s="53">
        <f t="shared" si="15"/>
        <v>126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4"/>
        <v>0</v>
      </c>
      <c r="AI103" s="53">
        <f t="shared" si="15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131.6</v>
      </c>
      <c r="C104" s="113">
        <v>128</v>
      </c>
      <c r="D104" s="113">
        <v>129.4</v>
      </c>
      <c r="E104" s="113">
        <v>132.1</v>
      </c>
      <c r="F104" s="113">
        <v>131.4</v>
      </c>
      <c r="G104" s="113">
        <v>131</v>
      </c>
      <c r="H104" s="113">
        <v>134.19999999999999</v>
      </c>
      <c r="I104" s="113">
        <v>133.9</v>
      </c>
      <c r="J104" s="113">
        <v>133.69999999999999</v>
      </c>
      <c r="K104" s="113">
        <v>133.69999999999999</v>
      </c>
      <c r="L104" s="113">
        <v>133.4</v>
      </c>
      <c r="M104" s="113">
        <v>134</v>
      </c>
      <c r="N104" s="113">
        <v>73.2</v>
      </c>
      <c r="O104" s="113">
        <v>135.6</v>
      </c>
      <c r="P104" s="113">
        <v>133.30000000000001</v>
      </c>
      <c r="Q104" s="113">
        <v>132.1</v>
      </c>
      <c r="R104" s="113">
        <v>134.1</v>
      </c>
      <c r="S104" s="113">
        <v>132.19999999999999</v>
      </c>
      <c r="T104" s="113">
        <v>132.19999999999999</v>
      </c>
      <c r="U104" s="113">
        <v>134.80000000000001</v>
      </c>
      <c r="V104" s="113">
        <v>134.80000000000001</v>
      </c>
      <c r="W104" s="113">
        <v>134.80000000000001</v>
      </c>
      <c r="X104" s="113">
        <v>136.19999999999999</v>
      </c>
      <c r="Y104" s="113">
        <v>133.30000000000001</v>
      </c>
      <c r="Z104" s="113">
        <v>132</v>
      </c>
      <c r="AA104" s="113">
        <v>131.80000000000001</v>
      </c>
      <c r="AB104" s="113">
        <v>131.80000000000001</v>
      </c>
      <c r="AC104" s="113">
        <v>131.9</v>
      </c>
      <c r="AD104" s="113">
        <v>131.9</v>
      </c>
      <c r="AE104" s="113">
        <v>134.80000000000001</v>
      </c>
      <c r="AF104" s="113">
        <v>131.69999999999999</v>
      </c>
      <c r="AG104" s="114"/>
      <c r="AH104" s="52">
        <f t="shared" si="14"/>
        <v>136.19999999999999</v>
      </c>
      <c r="AI104" s="53">
        <f t="shared" si="15"/>
        <v>73.2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134.6</v>
      </c>
      <c r="C105" s="72">
        <v>136.80000000000001</v>
      </c>
      <c r="D105" s="72">
        <v>136.19999999999999</v>
      </c>
      <c r="E105" s="72">
        <v>136.5</v>
      </c>
      <c r="F105" s="72">
        <v>137.19999999999999</v>
      </c>
      <c r="G105" s="72">
        <v>136.1</v>
      </c>
      <c r="H105" s="72">
        <v>134</v>
      </c>
      <c r="I105" s="72">
        <v>135.30000000000001</v>
      </c>
      <c r="J105" s="72">
        <v>130.6</v>
      </c>
      <c r="K105" s="72">
        <v>130.19999999999999</v>
      </c>
      <c r="L105" s="72">
        <v>130</v>
      </c>
      <c r="M105" s="72">
        <v>131.80000000000001</v>
      </c>
      <c r="N105" s="72">
        <v>132.5</v>
      </c>
      <c r="O105" s="72">
        <v>133.30000000000001</v>
      </c>
      <c r="P105" s="72">
        <v>128.80000000000001</v>
      </c>
      <c r="Q105" s="72">
        <v>132</v>
      </c>
      <c r="R105" s="72">
        <v>132.30000000000001</v>
      </c>
      <c r="S105" s="72">
        <v>132</v>
      </c>
      <c r="T105" s="72">
        <v>132</v>
      </c>
      <c r="U105" s="72">
        <v>131</v>
      </c>
      <c r="V105" s="72">
        <v>131</v>
      </c>
      <c r="W105" s="72">
        <v>131</v>
      </c>
      <c r="X105" s="72">
        <v>133.6</v>
      </c>
      <c r="Y105" s="72">
        <v>131.4</v>
      </c>
      <c r="Z105" s="72">
        <v>128.6</v>
      </c>
      <c r="AA105" s="72">
        <v>132.80000000000001</v>
      </c>
      <c r="AB105" s="72">
        <v>132.80000000000001</v>
      </c>
      <c r="AC105" s="72">
        <v>137.1</v>
      </c>
      <c r="AD105" s="72">
        <v>137.1</v>
      </c>
      <c r="AE105" s="72">
        <v>131</v>
      </c>
      <c r="AF105" s="72">
        <v>138.6</v>
      </c>
      <c r="AG105" s="111"/>
      <c r="AH105" s="52">
        <f t="shared" si="14"/>
        <v>138.6</v>
      </c>
      <c r="AI105" s="53">
        <f t="shared" si="15"/>
        <v>128.6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66.8</v>
      </c>
      <c r="C106" s="99">
        <v>66</v>
      </c>
      <c r="D106" s="99">
        <v>66.099999999999994</v>
      </c>
      <c r="E106" s="99">
        <v>66.7</v>
      </c>
      <c r="F106" s="99">
        <v>66.5</v>
      </c>
      <c r="G106" s="99">
        <v>66.099999999999994</v>
      </c>
      <c r="H106" s="99">
        <v>66.2</v>
      </c>
      <c r="I106" s="99">
        <v>65.7</v>
      </c>
      <c r="J106" s="99">
        <v>65.8</v>
      </c>
      <c r="K106" s="99">
        <v>66</v>
      </c>
      <c r="L106" s="99">
        <v>65</v>
      </c>
      <c r="M106" s="99">
        <v>64.8</v>
      </c>
      <c r="N106" s="99">
        <v>64.8</v>
      </c>
      <c r="O106" s="99">
        <v>65.2</v>
      </c>
      <c r="P106" s="99">
        <v>65.400000000000006</v>
      </c>
      <c r="Q106" s="99">
        <v>65.2</v>
      </c>
      <c r="R106" s="99">
        <v>65.2</v>
      </c>
      <c r="S106" s="99">
        <v>65.400000000000006</v>
      </c>
      <c r="T106" s="99">
        <v>65.400000000000006</v>
      </c>
      <c r="U106" s="99">
        <v>65.965999999999994</v>
      </c>
      <c r="V106" s="99">
        <v>65.965999999999994</v>
      </c>
      <c r="W106" s="99">
        <v>65.965999999999994</v>
      </c>
      <c r="X106" s="99">
        <v>66.099999999999994</v>
      </c>
      <c r="Y106" s="99">
        <v>65.400000000000006</v>
      </c>
      <c r="Z106" s="99">
        <v>64.599999999999994</v>
      </c>
      <c r="AA106" s="99">
        <v>65.099999999999994</v>
      </c>
      <c r="AB106" s="99">
        <v>65.099999999999994</v>
      </c>
      <c r="AC106" s="99">
        <v>66.3</v>
      </c>
      <c r="AD106" s="99">
        <v>66.3</v>
      </c>
      <c r="AE106" s="99">
        <v>65.965999999999994</v>
      </c>
      <c r="AF106" s="99">
        <v>66.8</v>
      </c>
      <c r="AG106" s="115"/>
      <c r="AH106" s="52">
        <f t="shared" si="14"/>
        <v>66.8</v>
      </c>
      <c r="AI106" s="53">
        <f t="shared" si="15"/>
        <v>64.599999999999994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 t="s">
        <v>111</v>
      </c>
      <c r="Z107" s="99" t="s">
        <v>111</v>
      </c>
      <c r="AA107" s="99"/>
      <c r="AB107" s="99"/>
      <c r="AC107" s="99"/>
      <c r="AD107" s="99"/>
      <c r="AE107" s="99"/>
      <c r="AF107" s="99"/>
      <c r="AG107" s="115"/>
      <c r="AH107" s="52">
        <f t="shared" si="14"/>
        <v>0</v>
      </c>
      <c r="AI107" s="53">
        <f t="shared" si="15"/>
        <v>0</v>
      </c>
    </row>
    <row r="108" spans="1:88" ht="15.75" thickBot="1" x14ac:dyDescent="0.3">
      <c r="A108" s="117" t="s">
        <v>112</v>
      </c>
      <c r="B108" s="118">
        <f t="shared" ref="B108:AF108" si="26">SUM(B18,B24,B27:B28,B56,B58:B59,B61,B63,B109:B113,B135,B141,B147,B156,B158,B170,B177,B180:B181,B188,B190,B192,B196:B198,B200:B202,B207,B213:B214,B216:B218,B226,B231)</f>
        <v>127.60000000000001</v>
      </c>
      <c r="C108" s="118">
        <f t="shared" si="26"/>
        <v>122.43999999999998</v>
      </c>
      <c r="D108" s="118">
        <f t="shared" si="26"/>
        <v>113.04</v>
      </c>
      <c r="E108" s="118">
        <f t="shared" si="26"/>
        <v>112.34</v>
      </c>
      <c r="F108" s="118">
        <f t="shared" si="26"/>
        <v>117.83999999999997</v>
      </c>
      <c r="G108" s="118">
        <f t="shared" si="26"/>
        <v>135.94</v>
      </c>
      <c r="H108" s="118">
        <f t="shared" si="26"/>
        <v>163.24</v>
      </c>
      <c r="I108" s="118">
        <f t="shared" si="26"/>
        <v>183.74</v>
      </c>
      <c r="J108" s="118">
        <f t="shared" si="26"/>
        <v>223.64</v>
      </c>
      <c r="K108" s="118">
        <f t="shared" si="26"/>
        <v>247.94</v>
      </c>
      <c r="L108" s="118">
        <f t="shared" si="26"/>
        <v>266.83999999999997</v>
      </c>
      <c r="M108" s="118">
        <f t="shared" si="26"/>
        <v>286.94</v>
      </c>
      <c r="N108" s="118">
        <f t="shared" si="26"/>
        <v>289.04000000000002</v>
      </c>
      <c r="O108" s="118">
        <f t="shared" si="26"/>
        <v>280.44</v>
      </c>
      <c r="P108" s="118">
        <f t="shared" si="26"/>
        <v>260.66000000000003</v>
      </c>
      <c r="Q108" s="118">
        <f t="shared" si="26"/>
        <v>219.6</v>
      </c>
      <c r="R108" s="118">
        <f t="shared" si="26"/>
        <v>219.4</v>
      </c>
      <c r="S108" s="118">
        <f t="shared" si="26"/>
        <v>216.5</v>
      </c>
      <c r="T108" s="118">
        <f t="shared" si="26"/>
        <v>216.5</v>
      </c>
      <c r="U108" s="118">
        <f t="shared" si="26"/>
        <v>240.39999999999998</v>
      </c>
      <c r="V108" s="118">
        <f t="shared" ref="V108:W108" si="27">SUM(V18,V24,V27:V28,V56,V58:V59,V61,V63,V109:V113,V135,V141,V147,V156,V158,V170,V177,V180:V181,V188,V190,V192,V196:V198,V200:V202,V207,V213:V214,V216:V218,V226,V231)</f>
        <v>240.39999999999998</v>
      </c>
      <c r="W108" s="118">
        <f t="shared" si="27"/>
        <v>242.2</v>
      </c>
      <c r="X108" s="118">
        <f t="shared" si="26"/>
        <v>277.29999999999995</v>
      </c>
      <c r="Y108" s="118">
        <v>271.29999999999995</v>
      </c>
      <c r="Z108" s="118">
        <v>385.69708333333335</v>
      </c>
      <c r="AA108" s="118">
        <f t="shared" si="26"/>
        <v>313.60000000000002</v>
      </c>
      <c r="AB108" s="118">
        <f t="shared" si="26"/>
        <v>313.60000000000002</v>
      </c>
      <c r="AC108" s="118">
        <f t="shared" si="26"/>
        <v>238.49999999999997</v>
      </c>
      <c r="AD108" s="118">
        <f t="shared" si="26"/>
        <v>201.9</v>
      </c>
      <c r="AE108" s="118">
        <f t="shared" si="26"/>
        <v>153.9</v>
      </c>
      <c r="AF108" s="118">
        <f t="shared" si="26"/>
        <v>122.5</v>
      </c>
      <c r="AG108" s="119"/>
      <c r="AH108" s="52">
        <f t="shared" si="14"/>
        <v>385.69708333333335</v>
      </c>
      <c r="AI108" s="53">
        <f t="shared" si="15"/>
        <v>112.34</v>
      </c>
    </row>
    <row r="109" spans="1:88" x14ac:dyDescent="0.25">
      <c r="A109" s="107" t="s">
        <v>113</v>
      </c>
      <c r="B109" s="120">
        <v>-15.6</v>
      </c>
      <c r="C109" s="120">
        <v>-26.1</v>
      </c>
      <c r="D109" s="120">
        <v>-26.3</v>
      </c>
      <c r="E109" s="120">
        <v>-22.9</v>
      </c>
      <c r="F109" s="120">
        <v>-25.8</v>
      </c>
      <c r="G109" s="120">
        <v>-19.7</v>
      </c>
      <c r="H109" s="120">
        <v>-14.8</v>
      </c>
      <c r="I109" s="120">
        <v>-8.6</v>
      </c>
      <c r="J109" s="120">
        <v>10.1</v>
      </c>
      <c r="K109" s="120">
        <v>21</v>
      </c>
      <c r="L109" s="120">
        <v>19.899999999999999</v>
      </c>
      <c r="M109" s="120">
        <v>25.1</v>
      </c>
      <c r="N109" s="120">
        <v>19.100000000000001</v>
      </c>
      <c r="O109" s="120">
        <v>19.899999999999999</v>
      </c>
      <c r="P109" s="120">
        <v>20.82</v>
      </c>
      <c r="Q109" s="120">
        <v>9.5</v>
      </c>
      <c r="R109" s="120">
        <v>6.7</v>
      </c>
      <c r="S109" s="120">
        <v>8.6999999999999993</v>
      </c>
      <c r="T109" s="120">
        <v>8.6999999999999993</v>
      </c>
      <c r="U109" s="120">
        <v>10</v>
      </c>
      <c r="V109" s="120">
        <v>10</v>
      </c>
      <c r="W109" s="120">
        <v>-0.7</v>
      </c>
      <c r="X109" s="120">
        <v>20.5</v>
      </c>
      <c r="Y109" s="120">
        <v>27.8</v>
      </c>
      <c r="Z109" s="120">
        <v>31.1</v>
      </c>
      <c r="AA109" s="120">
        <v>27.2</v>
      </c>
      <c r="AB109" s="120">
        <v>27.2</v>
      </c>
      <c r="AC109" s="120">
        <v>9.8000000000000007</v>
      </c>
      <c r="AD109" s="120">
        <v>5.3</v>
      </c>
      <c r="AE109" s="120">
        <v>-18.399999999999999</v>
      </c>
      <c r="AF109" s="120">
        <v>-21.8</v>
      </c>
      <c r="AG109" s="121">
        <v>75</v>
      </c>
      <c r="AH109" s="52">
        <f t="shared" si="14"/>
        <v>31.1</v>
      </c>
      <c r="AI109" s="53">
        <f t="shared" si="15"/>
        <v>-26.3</v>
      </c>
    </row>
    <row r="110" spans="1:88" x14ac:dyDescent="0.25">
      <c r="A110" s="110" t="s">
        <v>114</v>
      </c>
      <c r="B110" s="122">
        <v>-21.3</v>
      </c>
      <c r="C110" s="122">
        <v>-31.6</v>
      </c>
      <c r="D110" s="122">
        <v>-32.700000000000003</v>
      </c>
      <c r="E110" s="122">
        <v>-29.1</v>
      </c>
      <c r="F110" s="122">
        <v>-32.700000000000003</v>
      </c>
      <c r="G110" s="122">
        <v>-26.3</v>
      </c>
      <c r="H110" s="122">
        <v>-18.5</v>
      </c>
      <c r="I110" s="122">
        <v>-12.7</v>
      </c>
      <c r="J110" s="122">
        <v>11.6</v>
      </c>
      <c r="K110" s="122">
        <v>21.5</v>
      </c>
      <c r="L110" s="122">
        <v>17.5</v>
      </c>
      <c r="M110" s="122">
        <v>25.9</v>
      </c>
      <c r="N110" s="122">
        <v>18.899999999999999</v>
      </c>
      <c r="O110" s="122">
        <v>20.7</v>
      </c>
      <c r="P110" s="122">
        <v>22.8</v>
      </c>
      <c r="Q110" s="122">
        <v>6.7</v>
      </c>
      <c r="R110" s="122">
        <v>2.9</v>
      </c>
      <c r="S110" s="122">
        <v>4.5</v>
      </c>
      <c r="T110" s="122">
        <v>4.5</v>
      </c>
      <c r="U110" s="122">
        <v>8</v>
      </c>
      <c r="V110" s="122">
        <v>8</v>
      </c>
      <c r="W110" s="122">
        <v>-7</v>
      </c>
      <c r="X110" s="122">
        <v>20.5</v>
      </c>
      <c r="Y110" s="122">
        <v>31.4</v>
      </c>
      <c r="Z110" s="122">
        <v>35.700000000000003</v>
      </c>
      <c r="AA110" s="122">
        <v>30.8</v>
      </c>
      <c r="AB110" s="122">
        <v>30.8</v>
      </c>
      <c r="AC110" s="122">
        <v>8.3000000000000007</v>
      </c>
      <c r="AD110" s="122">
        <v>1.7</v>
      </c>
      <c r="AE110" s="122">
        <v>-28.3</v>
      </c>
      <c r="AF110" s="122">
        <v>-28.3</v>
      </c>
      <c r="AG110" s="121">
        <v>240</v>
      </c>
      <c r="AH110" s="52">
        <f t="shared" si="14"/>
        <v>35.700000000000003</v>
      </c>
      <c r="AI110" s="53">
        <f t="shared" si="15"/>
        <v>-32.700000000000003</v>
      </c>
    </row>
    <row r="111" spans="1:88" x14ac:dyDescent="0.25">
      <c r="A111" s="110" t="s">
        <v>115</v>
      </c>
      <c r="B111" s="122">
        <v>-0.2</v>
      </c>
      <c r="C111" s="122">
        <v>3.4</v>
      </c>
      <c r="D111" s="122">
        <v>0.2</v>
      </c>
      <c r="E111" s="122">
        <v>-2.2999999999999998</v>
      </c>
      <c r="F111" s="122">
        <v>0</v>
      </c>
      <c r="G111" s="122">
        <v>4.4000000000000004</v>
      </c>
      <c r="H111" s="122">
        <v>10.9</v>
      </c>
      <c r="I111" s="122">
        <v>14</v>
      </c>
      <c r="J111" s="122">
        <v>15.6</v>
      </c>
      <c r="K111" s="122">
        <v>25.2</v>
      </c>
      <c r="L111" s="122">
        <v>32</v>
      </c>
      <c r="M111" s="122">
        <v>35.4</v>
      </c>
      <c r="N111" s="122">
        <v>42</v>
      </c>
      <c r="O111" s="122">
        <v>40</v>
      </c>
      <c r="P111" s="122">
        <v>30.4</v>
      </c>
      <c r="Q111" s="122">
        <v>19</v>
      </c>
      <c r="R111" s="122">
        <v>21</v>
      </c>
      <c r="S111" s="122">
        <f>10.1+10.1</f>
        <v>20.2</v>
      </c>
      <c r="T111" s="122">
        <f>10.1+10.1</f>
        <v>20.2</v>
      </c>
      <c r="U111" s="122">
        <v>40</v>
      </c>
      <c r="V111" s="122">
        <v>40</v>
      </c>
      <c r="W111" s="122">
        <f>28.4+30.4</f>
        <v>58.8</v>
      </c>
      <c r="X111" s="122">
        <f>17.4+18.9</f>
        <v>36.299999999999997</v>
      </c>
      <c r="Y111" s="122">
        <v>35.700000000000003</v>
      </c>
      <c r="Z111" s="122">
        <v>44.4</v>
      </c>
      <c r="AA111" s="122">
        <f>24.4+25.6</f>
        <v>50</v>
      </c>
      <c r="AB111" s="122">
        <f>24.4+25.6</f>
        <v>50</v>
      </c>
      <c r="AC111" s="122">
        <v>27.1</v>
      </c>
      <c r="AD111" s="122">
        <v>10.7</v>
      </c>
      <c r="AE111" s="122">
        <v>9.3000000000000007</v>
      </c>
      <c r="AF111" s="122">
        <v>0</v>
      </c>
      <c r="AG111" s="121">
        <v>240</v>
      </c>
      <c r="AH111" s="52">
        <f t="shared" si="14"/>
        <v>58.8</v>
      </c>
      <c r="AI111" s="53">
        <f t="shared" si="15"/>
        <v>-2.2999999999999998</v>
      </c>
    </row>
    <row r="112" spans="1:88" x14ac:dyDescent="0.25">
      <c r="A112" s="110" t="s">
        <v>116</v>
      </c>
      <c r="B112" s="122">
        <v>-1.3</v>
      </c>
      <c r="C112" s="122">
        <v>-3.3</v>
      </c>
      <c r="D112" s="122">
        <v>-2.5</v>
      </c>
      <c r="E112" s="122">
        <v>-0.8</v>
      </c>
      <c r="F112" s="122">
        <v>-1.1000000000000001</v>
      </c>
      <c r="G112" s="122">
        <v>0</v>
      </c>
      <c r="H112" s="122">
        <v>2.4</v>
      </c>
      <c r="I112" s="122">
        <v>2.8</v>
      </c>
      <c r="J112" s="122">
        <v>8.9</v>
      </c>
      <c r="K112" s="122">
        <v>12.5</v>
      </c>
      <c r="L112" s="122">
        <v>16.600000000000001</v>
      </c>
      <c r="M112" s="122">
        <v>18.7</v>
      </c>
      <c r="N112" s="122">
        <v>18.899999999999999</v>
      </c>
      <c r="O112" s="122">
        <v>15.7</v>
      </c>
      <c r="P112" s="122">
        <v>10.8</v>
      </c>
      <c r="Q112" s="122">
        <v>11</v>
      </c>
      <c r="R112" s="122">
        <v>11.7</v>
      </c>
      <c r="S112" s="122">
        <v>6.6</v>
      </c>
      <c r="T112" s="122">
        <v>6.6</v>
      </c>
      <c r="U112" s="122">
        <v>11</v>
      </c>
      <c r="V112" s="122">
        <v>11</v>
      </c>
      <c r="W112" s="122">
        <v>15.9</v>
      </c>
      <c r="X112" s="122">
        <v>19.8</v>
      </c>
      <c r="Y112" s="122">
        <v>19.100000000000001</v>
      </c>
      <c r="Z112" s="122">
        <v>22.8</v>
      </c>
      <c r="AA112" s="122">
        <v>24.8</v>
      </c>
      <c r="AB112" s="122">
        <v>24.8</v>
      </c>
      <c r="AC112" s="122">
        <v>19.2</v>
      </c>
      <c r="AD112" s="122">
        <v>14.4</v>
      </c>
      <c r="AE112" s="122">
        <v>9.6</v>
      </c>
      <c r="AF112" s="122">
        <v>4.5</v>
      </c>
      <c r="AG112" s="121">
        <v>60</v>
      </c>
      <c r="AH112" s="52">
        <f t="shared" si="14"/>
        <v>24.8</v>
      </c>
      <c r="AI112" s="53">
        <f t="shared" si="15"/>
        <v>-3.3</v>
      </c>
    </row>
    <row r="113" spans="1:37" x14ac:dyDescent="0.25">
      <c r="A113" s="123" t="s">
        <v>117</v>
      </c>
      <c r="B113" s="124">
        <v>84</v>
      </c>
      <c r="C113" s="124">
        <v>97.1</v>
      </c>
      <c r="D113" s="124">
        <v>91.4</v>
      </c>
      <c r="E113" s="124">
        <v>83.8</v>
      </c>
      <c r="F113" s="124">
        <v>94.5</v>
      </c>
      <c r="G113" s="124">
        <v>96.3</v>
      </c>
      <c r="H113" s="124">
        <v>102</v>
      </c>
      <c r="I113" s="124">
        <v>107</v>
      </c>
      <c r="J113" s="124">
        <v>96.2</v>
      </c>
      <c r="K113" s="124">
        <v>86.5</v>
      </c>
      <c r="L113" s="124">
        <v>99.6</v>
      </c>
      <c r="M113" s="124">
        <v>100.6</v>
      </c>
      <c r="N113" s="124">
        <v>108.9</v>
      </c>
      <c r="O113" s="124">
        <v>102.9</v>
      </c>
      <c r="P113" s="124">
        <v>93.5</v>
      </c>
      <c r="Q113" s="124">
        <v>92</v>
      </c>
      <c r="R113" s="124">
        <v>95.7</v>
      </c>
      <c r="S113" s="124">
        <v>95.1</v>
      </c>
      <c r="T113" s="124">
        <v>95.1</v>
      </c>
      <c r="U113" s="124">
        <v>90</v>
      </c>
      <c r="V113" s="124">
        <v>90</v>
      </c>
      <c r="W113" s="124">
        <v>93.8</v>
      </c>
      <c r="X113" s="124">
        <v>99.6</v>
      </c>
      <c r="Y113" s="124">
        <v>121.9</v>
      </c>
      <c r="Z113" s="124">
        <v>110.9</v>
      </c>
      <c r="AA113" s="124">
        <v>100.2</v>
      </c>
      <c r="AB113" s="124">
        <v>100.2</v>
      </c>
      <c r="AC113" s="124">
        <v>93.5</v>
      </c>
      <c r="AD113" s="124">
        <v>87</v>
      </c>
      <c r="AE113" s="124">
        <v>98.9</v>
      </c>
      <c r="AF113" s="124">
        <v>85.3</v>
      </c>
      <c r="AG113" s="125">
        <v>120</v>
      </c>
      <c r="AH113" s="52">
        <f t="shared" si="14"/>
        <v>121.9</v>
      </c>
      <c r="AI113" s="53">
        <f t="shared" si="15"/>
        <v>83.8</v>
      </c>
    </row>
    <row r="114" spans="1:37" x14ac:dyDescent="0.25">
      <c r="A114" s="123" t="s">
        <v>118</v>
      </c>
      <c r="B114" s="124">
        <v>72</v>
      </c>
      <c r="C114" s="124">
        <v>86</v>
      </c>
      <c r="D114" s="124">
        <v>81.400000000000006</v>
      </c>
      <c r="E114" s="124">
        <v>77</v>
      </c>
      <c r="F114" s="124">
        <v>82.1</v>
      </c>
      <c r="G114" s="124">
        <v>84.5</v>
      </c>
      <c r="H114" s="124">
        <v>88.9</v>
      </c>
      <c r="I114" s="124">
        <v>88.8</v>
      </c>
      <c r="J114" s="124">
        <v>75</v>
      </c>
      <c r="K114" s="124">
        <v>65.599999999999994</v>
      </c>
      <c r="L114" s="124">
        <v>73.099999999999994</v>
      </c>
      <c r="M114" s="124">
        <v>70.400000000000006</v>
      </c>
      <c r="N114" s="124">
        <v>79.400000000000006</v>
      </c>
      <c r="O114" s="124">
        <v>73.8</v>
      </c>
      <c r="P114" s="124">
        <v>66.099999999999994</v>
      </c>
      <c r="Q114" s="124">
        <v>72</v>
      </c>
      <c r="R114" s="124">
        <v>76</v>
      </c>
      <c r="S114" s="124">
        <v>70.400000000000006</v>
      </c>
      <c r="T114" s="124">
        <v>70.400000000000006</v>
      </c>
      <c r="U114" s="124">
        <v>84</v>
      </c>
      <c r="V114" s="124">
        <v>84</v>
      </c>
      <c r="W114" s="124">
        <v>97.5</v>
      </c>
      <c r="X114" s="124">
        <v>71.7</v>
      </c>
      <c r="Y114" s="124">
        <v>71</v>
      </c>
      <c r="Z114" s="124">
        <v>80</v>
      </c>
      <c r="AA114" s="124">
        <v>82.1</v>
      </c>
      <c r="AB114" s="124">
        <v>82.1</v>
      </c>
      <c r="AC114" s="124">
        <v>71.7</v>
      </c>
      <c r="AD114" s="124">
        <v>69.7</v>
      </c>
      <c r="AE114" s="124">
        <v>84.2</v>
      </c>
      <c r="AF114" s="124">
        <v>73.2</v>
      </c>
      <c r="AG114" s="125"/>
      <c r="AH114" s="52">
        <f t="shared" si="14"/>
        <v>97.5</v>
      </c>
      <c r="AI114" s="53">
        <f t="shared" si="15"/>
        <v>65.599999999999994</v>
      </c>
    </row>
    <row r="115" spans="1:37" x14ac:dyDescent="0.25">
      <c r="A115" s="123" t="s">
        <v>119</v>
      </c>
      <c r="B115" s="124">
        <v>43.5</v>
      </c>
      <c r="C115" s="124">
        <v>48.4</v>
      </c>
      <c r="D115" s="124">
        <v>47</v>
      </c>
      <c r="E115" s="124">
        <v>41.5</v>
      </c>
      <c r="F115" s="124">
        <v>46</v>
      </c>
      <c r="G115" s="124">
        <v>44.6</v>
      </c>
      <c r="H115" s="124">
        <v>39.6</v>
      </c>
      <c r="I115" s="124">
        <v>36.9</v>
      </c>
      <c r="J115" s="124">
        <v>20.3</v>
      </c>
      <c r="K115" s="124">
        <v>3.5</v>
      </c>
      <c r="L115" s="124">
        <v>6.6</v>
      </c>
      <c r="M115" s="124">
        <v>4.9000000000000004</v>
      </c>
      <c r="N115" s="124">
        <v>11.4</v>
      </c>
      <c r="O115" s="124">
        <v>6.6</v>
      </c>
      <c r="P115" s="124">
        <v>2.1</v>
      </c>
      <c r="Q115" s="124">
        <v>22</v>
      </c>
      <c r="R115" s="124">
        <v>22.7</v>
      </c>
      <c r="S115" s="124">
        <v>-20.7</v>
      </c>
      <c r="T115" s="124">
        <v>-20.7</v>
      </c>
      <c r="U115" s="124">
        <v>20</v>
      </c>
      <c r="V115" s="124">
        <v>20</v>
      </c>
      <c r="W115" s="124">
        <v>27.4</v>
      </c>
      <c r="X115" s="124">
        <v>9.6999999999999993</v>
      </c>
      <c r="Y115" s="124">
        <v>-5.0999999999999996</v>
      </c>
      <c r="Z115" s="124">
        <v>-2</v>
      </c>
      <c r="AA115" s="124">
        <v>3.4</v>
      </c>
      <c r="AB115" s="124">
        <v>3.4</v>
      </c>
      <c r="AC115" s="124">
        <v>20.399999999999999</v>
      </c>
      <c r="AD115" s="124">
        <v>28.7</v>
      </c>
      <c r="AE115" s="124">
        <v>44.7</v>
      </c>
      <c r="AF115" s="124">
        <v>47.7</v>
      </c>
      <c r="AG115" s="126"/>
      <c r="AH115" s="52">
        <f t="shared" si="14"/>
        <v>48.4</v>
      </c>
      <c r="AI115" s="53">
        <f t="shared" si="15"/>
        <v>-20.7</v>
      </c>
    </row>
    <row r="116" spans="1:37" x14ac:dyDescent="0.25">
      <c r="A116" s="127" t="s">
        <v>120</v>
      </c>
      <c r="B116" s="113">
        <v>4</v>
      </c>
      <c r="C116" s="113">
        <v>6.4</v>
      </c>
      <c r="D116" s="113">
        <v>12</v>
      </c>
      <c r="E116" s="113">
        <v>17.899999999999999</v>
      </c>
      <c r="F116" s="113">
        <v>24.2</v>
      </c>
      <c r="G116" s="113">
        <v>20.8</v>
      </c>
      <c r="H116" s="113">
        <v>9.8000000000000007</v>
      </c>
      <c r="I116" s="113">
        <v>-3.7</v>
      </c>
      <c r="J116" s="113">
        <v>-15.5</v>
      </c>
      <c r="K116" s="113">
        <v>-22.6</v>
      </c>
      <c r="L116" s="113">
        <v>-28.4</v>
      </c>
      <c r="M116" s="113">
        <v>-39.9</v>
      </c>
      <c r="N116" s="113">
        <v>-20.6</v>
      </c>
      <c r="O116" s="113">
        <v>-20.3</v>
      </c>
      <c r="P116" s="113">
        <v>-24.6</v>
      </c>
      <c r="Q116" s="113">
        <v>-21</v>
      </c>
      <c r="R116" s="113">
        <v>-23</v>
      </c>
      <c r="S116" s="113">
        <v>31.8</v>
      </c>
      <c r="T116" s="113">
        <v>31.8</v>
      </c>
      <c r="U116" s="113">
        <v>-35</v>
      </c>
      <c r="V116" s="113">
        <v>-35</v>
      </c>
      <c r="W116" s="113">
        <v>-41.9</v>
      </c>
      <c r="X116" s="113">
        <v>-64.099999999999994</v>
      </c>
      <c r="Y116" s="113">
        <v>-82.7</v>
      </c>
      <c r="Z116" s="113">
        <v>-78.3</v>
      </c>
      <c r="AA116" s="113">
        <v>-51</v>
      </c>
      <c r="AB116" s="113">
        <v>-51</v>
      </c>
      <c r="AC116" s="113">
        <v>-21.9</v>
      </c>
      <c r="AD116" s="113">
        <v>-2.8</v>
      </c>
      <c r="AE116" s="113">
        <v>14.4</v>
      </c>
      <c r="AF116" s="113">
        <v>43.3</v>
      </c>
      <c r="AG116" s="126"/>
      <c r="AH116" s="52">
        <f t="shared" si="14"/>
        <v>43.3</v>
      </c>
      <c r="AI116" s="53">
        <f t="shared" si="15"/>
        <v>-82.7</v>
      </c>
    </row>
    <row r="117" spans="1:37" ht="15.75" thickBot="1" x14ac:dyDescent="0.3">
      <c r="A117" s="127" t="s">
        <v>121</v>
      </c>
      <c r="B117" s="113">
        <v>76</v>
      </c>
      <c r="C117" s="113">
        <v>71</v>
      </c>
      <c r="D117" s="113">
        <v>68</v>
      </c>
      <c r="E117" s="113">
        <v>66.2</v>
      </c>
      <c r="F117" s="113">
        <v>67.099999999999994</v>
      </c>
      <c r="G117" s="113">
        <v>65</v>
      </c>
      <c r="H117" s="113">
        <v>63.3</v>
      </c>
      <c r="I117" s="113">
        <v>70.099999999999994</v>
      </c>
      <c r="J117" s="113">
        <v>68.900000000000006</v>
      </c>
      <c r="K117" s="113">
        <v>64.900000000000006</v>
      </c>
      <c r="L117" s="113">
        <v>73.2</v>
      </c>
      <c r="M117" s="113">
        <v>89.6</v>
      </c>
      <c r="N117" s="113">
        <v>89.7</v>
      </c>
      <c r="O117" s="113">
        <v>85.9</v>
      </c>
      <c r="P117" s="113">
        <v>85.4</v>
      </c>
      <c r="Q117" s="113">
        <v>83</v>
      </c>
      <c r="R117" s="113">
        <v>75</v>
      </c>
      <c r="S117" s="113">
        <v>87.6</v>
      </c>
      <c r="T117" s="113">
        <v>87.6</v>
      </c>
      <c r="U117" s="113">
        <v>84</v>
      </c>
      <c r="V117" s="113">
        <v>84</v>
      </c>
      <c r="W117" s="113">
        <v>64.400000000000006</v>
      </c>
      <c r="X117" s="113">
        <v>80</v>
      </c>
      <c r="Y117" s="113">
        <v>96.3</v>
      </c>
      <c r="Z117" s="113">
        <v>98.8</v>
      </c>
      <c r="AA117" s="113">
        <v>80.2</v>
      </c>
      <c r="AB117" s="113">
        <v>80.2</v>
      </c>
      <c r="AC117" s="113">
        <v>75.8</v>
      </c>
      <c r="AD117" s="113">
        <v>69.3</v>
      </c>
      <c r="AE117" s="113">
        <v>51.9</v>
      </c>
      <c r="AF117" s="113">
        <v>46.1</v>
      </c>
      <c r="AG117" s="126"/>
      <c r="AH117" s="52">
        <f t="shared" si="14"/>
        <v>98.8</v>
      </c>
      <c r="AI117" s="53">
        <f t="shared" si="15"/>
        <v>46.1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8">SUM(B119:B223)</f>
        <v>0</v>
      </c>
      <c r="C224" s="144">
        <f t="shared" si="28"/>
        <v>0</v>
      </c>
      <c r="D224" s="144">
        <f t="shared" si="28"/>
        <v>0</v>
      </c>
      <c r="E224" s="144">
        <f t="shared" si="28"/>
        <v>0</v>
      </c>
      <c r="F224" s="144">
        <f t="shared" si="28"/>
        <v>0</v>
      </c>
      <c r="G224" s="144">
        <f t="shared" si="28"/>
        <v>0</v>
      </c>
      <c r="H224" s="144">
        <f t="shared" si="28"/>
        <v>0</v>
      </c>
      <c r="I224" s="144">
        <f t="shared" si="28"/>
        <v>0</v>
      </c>
      <c r="J224" s="144">
        <f t="shared" si="28"/>
        <v>0</v>
      </c>
      <c r="K224" s="144">
        <f t="shared" si="28"/>
        <v>0</v>
      </c>
      <c r="L224" s="144">
        <f t="shared" si="28"/>
        <v>0</v>
      </c>
      <c r="M224" s="144">
        <f t="shared" si="28"/>
        <v>0</v>
      </c>
      <c r="N224" s="144">
        <f t="shared" si="28"/>
        <v>0</v>
      </c>
      <c r="O224" s="144">
        <f t="shared" si="28"/>
        <v>0</v>
      </c>
      <c r="P224" s="144">
        <f t="shared" si="28"/>
        <v>0</v>
      </c>
      <c r="Q224" s="144">
        <f t="shared" si="28"/>
        <v>0</v>
      </c>
      <c r="R224" s="144">
        <f t="shared" si="28"/>
        <v>0</v>
      </c>
      <c r="S224" s="144">
        <f t="shared" si="28"/>
        <v>0</v>
      </c>
      <c r="T224" s="144">
        <f t="shared" si="28"/>
        <v>0</v>
      </c>
      <c r="U224" s="144">
        <f t="shared" si="28"/>
        <v>0</v>
      </c>
      <c r="V224" s="144">
        <f t="shared" si="28"/>
        <v>0</v>
      </c>
      <c r="W224" s="144">
        <f t="shared" si="28"/>
        <v>0</v>
      </c>
      <c r="X224" s="144">
        <f t="shared" si="28"/>
        <v>0</v>
      </c>
      <c r="Y224" s="144">
        <f t="shared" si="28"/>
        <v>0</v>
      </c>
      <c r="Z224" s="144">
        <f t="shared" si="28"/>
        <v>0</v>
      </c>
      <c r="AA224" s="144">
        <f t="shared" si="28"/>
        <v>0</v>
      </c>
      <c r="AB224" s="144">
        <f t="shared" si="28"/>
        <v>0</v>
      </c>
      <c r="AC224" s="144">
        <f t="shared" si="28"/>
        <v>0</v>
      </c>
      <c r="AD224" s="144">
        <f t="shared" si="28"/>
        <v>0</v>
      </c>
      <c r="AE224" s="144">
        <f t="shared" si="28"/>
        <v>0</v>
      </c>
      <c r="AF224" s="145">
        <f t="shared" si="28"/>
        <v>0</v>
      </c>
      <c r="AG224" s="146">
        <f t="shared" si="28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9">AF226</f>
        <v>0</v>
      </c>
      <c r="C226" s="149">
        <v>0.3</v>
      </c>
      <c r="D226" s="149">
        <f t="shared" ref="D226:P231" si="30">C226</f>
        <v>0.3</v>
      </c>
      <c r="E226" s="149">
        <f t="shared" si="30"/>
        <v>0.3</v>
      </c>
      <c r="F226" s="149">
        <f t="shared" si="30"/>
        <v>0.3</v>
      </c>
      <c r="G226" s="149">
        <f t="shared" si="30"/>
        <v>0.3</v>
      </c>
      <c r="H226" s="149">
        <f t="shared" si="30"/>
        <v>0.3</v>
      </c>
      <c r="I226" s="149">
        <f t="shared" si="30"/>
        <v>0.3</v>
      </c>
      <c r="J226" s="149">
        <f t="shared" si="30"/>
        <v>0.3</v>
      </c>
      <c r="K226" s="149">
        <f t="shared" si="30"/>
        <v>0.3</v>
      </c>
      <c r="L226" s="149">
        <f t="shared" si="30"/>
        <v>0.3</v>
      </c>
      <c r="M226" s="149">
        <f t="shared" si="30"/>
        <v>0.3</v>
      </c>
      <c r="N226" s="149">
        <f t="shared" si="30"/>
        <v>0.3</v>
      </c>
      <c r="O226" s="149">
        <f t="shared" si="30"/>
        <v>0.3</v>
      </c>
      <c r="P226" s="149">
        <f t="shared" si="30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9"/>
        <v>0</v>
      </c>
      <c r="C227" s="136">
        <v>0.4</v>
      </c>
      <c r="D227" s="136">
        <f t="shared" si="30"/>
        <v>0.4</v>
      </c>
      <c r="E227" s="136">
        <f t="shared" si="30"/>
        <v>0.4</v>
      </c>
      <c r="F227" s="136">
        <f t="shared" si="30"/>
        <v>0.4</v>
      </c>
      <c r="G227" s="136">
        <f t="shared" si="30"/>
        <v>0.4</v>
      </c>
      <c r="H227" s="136">
        <f t="shared" si="30"/>
        <v>0.4</v>
      </c>
      <c r="I227" s="136">
        <f t="shared" si="30"/>
        <v>0.4</v>
      </c>
      <c r="J227" s="136">
        <f t="shared" si="30"/>
        <v>0.4</v>
      </c>
      <c r="K227" s="136">
        <f t="shared" si="30"/>
        <v>0.4</v>
      </c>
      <c r="L227" s="136">
        <f t="shared" si="30"/>
        <v>0.4</v>
      </c>
      <c r="M227" s="136">
        <f t="shared" si="30"/>
        <v>0.4</v>
      </c>
      <c r="N227" s="136">
        <f t="shared" si="30"/>
        <v>0.4</v>
      </c>
      <c r="O227" s="136">
        <f t="shared" si="30"/>
        <v>0.4</v>
      </c>
      <c r="P227" s="136">
        <f t="shared" si="30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9"/>
        <v>0</v>
      </c>
      <c r="C228" s="136">
        <v>1.5</v>
      </c>
      <c r="D228" s="136">
        <f t="shared" si="30"/>
        <v>1.5</v>
      </c>
      <c r="E228" s="136">
        <f t="shared" si="30"/>
        <v>1.5</v>
      </c>
      <c r="F228" s="136">
        <f t="shared" si="30"/>
        <v>1.5</v>
      </c>
      <c r="G228" s="136">
        <f t="shared" si="30"/>
        <v>1.5</v>
      </c>
      <c r="H228" s="136">
        <f t="shared" si="30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0"/>
        <v>1.5</v>
      </c>
      <c r="K228" s="136">
        <f t="shared" ca="1" si="30"/>
        <v>1.5</v>
      </c>
      <c r="L228" s="136">
        <f t="shared" ca="1" si="30"/>
        <v>1.5</v>
      </c>
      <c r="M228" s="136">
        <f t="shared" ca="1" si="30"/>
        <v>1.5</v>
      </c>
      <c r="N228" s="136">
        <f t="shared" ca="1" si="30"/>
        <v>1.5</v>
      </c>
      <c r="O228" s="136">
        <f t="shared" ca="1" si="30"/>
        <v>1.5</v>
      </c>
      <c r="P228" s="136">
        <f t="shared" ca="1" si="30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9"/>
        <v>0</v>
      </c>
      <c r="C229" s="136">
        <v>0.3</v>
      </c>
      <c r="D229" s="136">
        <f t="shared" si="30"/>
        <v>0.3</v>
      </c>
      <c r="E229" s="136">
        <f t="shared" si="30"/>
        <v>0.3</v>
      </c>
      <c r="F229" s="136">
        <f t="shared" si="30"/>
        <v>0.3</v>
      </c>
      <c r="G229" s="136">
        <f t="shared" si="30"/>
        <v>0.3</v>
      </c>
      <c r="H229" s="136">
        <f t="shared" si="30"/>
        <v>0.3</v>
      </c>
      <c r="I229" s="136">
        <f t="shared" si="30"/>
        <v>0.3</v>
      </c>
      <c r="J229" s="136">
        <f t="shared" si="30"/>
        <v>0.3</v>
      </c>
      <c r="K229" s="136">
        <f t="shared" si="30"/>
        <v>0.3</v>
      </c>
      <c r="L229" s="136">
        <f t="shared" si="30"/>
        <v>0.3</v>
      </c>
      <c r="M229" s="136">
        <f t="shared" si="30"/>
        <v>0.3</v>
      </c>
      <c r="N229" s="136">
        <f t="shared" si="30"/>
        <v>0.3</v>
      </c>
      <c r="O229" s="136">
        <f t="shared" si="30"/>
        <v>0.3</v>
      </c>
      <c r="P229" s="136">
        <f t="shared" si="30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9"/>
        <v>0</v>
      </c>
      <c r="C230" s="136">
        <v>0.4</v>
      </c>
      <c r="D230" s="136">
        <f t="shared" si="30"/>
        <v>0.4</v>
      </c>
      <c r="E230" s="136">
        <f t="shared" si="30"/>
        <v>0.4</v>
      </c>
      <c r="F230" s="136">
        <f t="shared" si="30"/>
        <v>0.4</v>
      </c>
      <c r="G230" s="136">
        <f t="shared" si="30"/>
        <v>0.4</v>
      </c>
      <c r="H230" s="136">
        <f t="shared" si="30"/>
        <v>0.4</v>
      </c>
      <c r="I230" s="136">
        <f t="shared" si="30"/>
        <v>0.4</v>
      </c>
      <c r="J230" s="136">
        <f t="shared" si="30"/>
        <v>0.4</v>
      </c>
      <c r="K230" s="136">
        <f t="shared" si="30"/>
        <v>0.4</v>
      </c>
      <c r="L230" s="136">
        <f t="shared" si="30"/>
        <v>0.4</v>
      </c>
      <c r="M230" s="136">
        <f t="shared" si="30"/>
        <v>0.4</v>
      </c>
      <c r="N230" s="136">
        <f t="shared" si="30"/>
        <v>0.4</v>
      </c>
      <c r="O230" s="136">
        <f t="shared" si="30"/>
        <v>0.4</v>
      </c>
      <c r="P230" s="136">
        <f t="shared" si="30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9"/>
        <v>0</v>
      </c>
      <c r="C231" s="140">
        <v>0.64</v>
      </c>
      <c r="D231" s="140">
        <f t="shared" si="30"/>
        <v>0.64</v>
      </c>
      <c r="E231" s="140">
        <f t="shared" si="30"/>
        <v>0.64</v>
      </c>
      <c r="F231" s="140">
        <f t="shared" si="30"/>
        <v>0.64</v>
      </c>
      <c r="G231" s="140">
        <f t="shared" si="30"/>
        <v>0.64</v>
      </c>
      <c r="H231" s="140">
        <f t="shared" si="30"/>
        <v>0.64</v>
      </c>
      <c r="I231" s="140">
        <f t="shared" si="30"/>
        <v>0.64</v>
      </c>
      <c r="J231" s="140">
        <f t="shared" si="30"/>
        <v>0.64</v>
      </c>
      <c r="K231" s="140">
        <f t="shared" si="30"/>
        <v>0.64</v>
      </c>
      <c r="L231" s="140">
        <f t="shared" si="30"/>
        <v>0.64</v>
      </c>
      <c r="M231" s="140">
        <f t="shared" si="30"/>
        <v>0.64</v>
      </c>
      <c r="N231" s="140">
        <f t="shared" si="30"/>
        <v>0.64</v>
      </c>
      <c r="O231" s="140">
        <f t="shared" si="30"/>
        <v>0.64</v>
      </c>
      <c r="P231" s="140">
        <f t="shared" si="30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31">SUM(B226:B231)</f>
        <v>0</v>
      </c>
      <c r="C232" s="144">
        <f t="shared" si="31"/>
        <v>3.54</v>
      </c>
      <c r="D232" s="144">
        <f t="shared" si="31"/>
        <v>3.54</v>
      </c>
      <c r="E232" s="144">
        <f t="shared" si="31"/>
        <v>3.54</v>
      </c>
      <c r="F232" s="144">
        <f t="shared" si="31"/>
        <v>3.54</v>
      </c>
      <c r="G232" s="144">
        <f t="shared" si="31"/>
        <v>3.54</v>
      </c>
      <c r="H232" s="144">
        <f t="shared" si="31"/>
        <v>3.54</v>
      </c>
      <c r="I232" s="144">
        <f t="shared" ca="1" si="31"/>
        <v>3.54</v>
      </c>
      <c r="J232" s="144">
        <f t="shared" ca="1" si="31"/>
        <v>3.54</v>
      </c>
      <c r="K232" s="144">
        <f t="shared" ca="1" si="31"/>
        <v>3.54</v>
      </c>
      <c r="L232" s="144">
        <f t="shared" ca="1" si="31"/>
        <v>3.54</v>
      </c>
      <c r="M232" s="144">
        <f t="shared" ca="1" si="31"/>
        <v>3.54</v>
      </c>
      <c r="N232" s="144">
        <f t="shared" ca="1" si="31"/>
        <v>3.54</v>
      </c>
      <c r="O232" s="144">
        <f t="shared" ca="1" si="31"/>
        <v>3.54</v>
      </c>
      <c r="P232" s="144">
        <f t="shared" ca="1" si="31"/>
        <v>3.54</v>
      </c>
      <c r="Q232" s="144">
        <f t="shared" si="31"/>
        <v>0</v>
      </c>
      <c r="R232" s="144">
        <f t="shared" si="31"/>
        <v>0</v>
      </c>
      <c r="S232" s="144">
        <f t="shared" si="31"/>
        <v>0</v>
      </c>
      <c r="T232" s="144">
        <f t="shared" si="31"/>
        <v>0</v>
      </c>
      <c r="U232" s="144">
        <f t="shared" si="31"/>
        <v>0</v>
      </c>
      <c r="V232" s="144">
        <f t="shared" si="31"/>
        <v>0</v>
      </c>
      <c r="W232" s="144">
        <f t="shared" si="31"/>
        <v>0</v>
      </c>
      <c r="X232" s="144">
        <f t="shared" si="31"/>
        <v>0</v>
      </c>
      <c r="Y232" s="144">
        <f t="shared" si="31"/>
        <v>0</v>
      </c>
      <c r="Z232" s="144">
        <f t="shared" si="31"/>
        <v>0</v>
      </c>
      <c r="AA232" s="144">
        <f t="shared" si="31"/>
        <v>0</v>
      </c>
      <c r="AB232" s="144">
        <f t="shared" si="31"/>
        <v>0</v>
      </c>
      <c r="AC232" s="144">
        <f t="shared" si="31"/>
        <v>0</v>
      </c>
      <c r="AD232" s="144">
        <f t="shared" si="31"/>
        <v>0</v>
      </c>
      <c r="AE232" s="144">
        <f t="shared" si="31"/>
        <v>0</v>
      </c>
      <c r="AF232" s="144">
        <f t="shared" si="31"/>
        <v>0</v>
      </c>
      <c r="AG232" s="154">
        <f t="shared" si="31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1337.6399999999999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04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2079/12/4)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2079/12/4)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2">B89</f>
        <v>1051.04</v>
      </c>
      <c r="U246" s="180">
        <f t="shared" si="32"/>
        <v>1061.3400000000001</v>
      </c>
      <c r="V246" s="180">
        <f t="shared" si="32"/>
        <v>1022.74</v>
      </c>
      <c r="W246" s="180">
        <f t="shared" si="32"/>
        <v>1022.14</v>
      </c>
      <c r="X246" s="180">
        <f t="shared" si="32"/>
        <v>1029.74</v>
      </c>
      <c r="Y246" s="180">
        <f t="shared" si="32"/>
        <v>1055.1400000000001</v>
      </c>
      <c r="Z246" s="180">
        <f t="shared" si="32"/>
        <v>1102.6399999999999</v>
      </c>
      <c r="AA246" s="180">
        <f t="shared" si="32"/>
        <v>1147.74</v>
      </c>
      <c r="AB246" s="180">
        <f t="shared" si="32"/>
        <v>1226.04</v>
      </c>
      <c r="AC246" s="180">
        <f t="shared" si="32"/>
        <v>1268.04</v>
      </c>
      <c r="AD246" s="180">
        <f t="shared" si="32"/>
        <v>1303.8399999999999</v>
      </c>
      <c r="AE246" s="180">
        <f t="shared" si="32"/>
        <v>1304.94</v>
      </c>
      <c r="AF246" s="180">
        <f t="shared" si="32"/>
        <v>1337.6399999999999</v>
      </c>
      <c r="AG246" s="180">
        <f t="shared" si="32"/>
        <v>1293.1399999999999</v>
      </c>
      <c r="AH246" s="180">
        <f t="shared" si="32"/>
        <v>1156.74</v>
      </c>
      <c r="AI246" s="180">
        <f t="shared" si="32"/>
        <v>1141.04</v>
      </c>
      <c r="AJ246" s="180">
        <f t="shared" si="32"/>
        <v>1147.6399999999999</v>
      </c>
      <c r="AK246" s="180">
        <f t="shared" si="32"/>
        <v>1133.04</v>
      </c>
      <c r="AL246" s="180">
        <f t="shared" si="32"/>
        <v>1200.04</v>
      </c>
      <c r="AM246" s="180">
        <f t="shared" si="32"/>
        <v>1171.74</v>
      </c>
      <c r="AN246" s="180">
        <f t="shared" si="32"/>
        <v>1171.74</v>
      </c>
      <c r="AO246" s="180">
        <f t="shared" si="32"/>
        <v>1086.3400000000001</v>
      </c>
      <c r="AP246" s="180">
        <f t="shared" si="32"/>
        <v>1355.3400000000001</v>
      </c>
      <c r="AQ246" s="180">
        <f t="shared" si="32"/>
        <v>1349.3400000000001</v>
      </c>
      <c r="AR246" s="180">
        <f t="shared" si="32"/>
        <v>1455.94</v>
      </c>
      <c r="AS246" s="180">
        <f t="shared" si="32"/>
        <v>1428.94</v>
      </c>
      <c r="AT246" s="180">
        <f t="shared" si="32"/>
        <v>1334.24</v>
      </c>
      <c r="AU246" s="180">
        <f t="shared" si="32"/>
        <v>1113.94</v>
      </c>
      <c r="AV246" s="180">
        <f t="shared" si="32"/>
        <v>1043.94</v>
      </c>
      <c r="AW246" s="180">
        <f t="shared" si="32"/>
        <v>961.6400000000001</v>
      </c>
      <c r="AX246" s="180">
        <f t="shared" si="32"/>
        <v>923.74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3">C231</f>
        <v>0.64</v>
      </c>
      <c r="C267" s="183">
        <f t="shared" si="33"/>
        <v>0.64</v>
      </c>
      <c r="D267" s="183">
        <f t="shared" si="33"/>
        <v>0.64</v>
      </c>
      <c r="E267" s="183">
        <f t="shared" si="33"/>
        <v>0.64</v>
      </c>
      <c r="F267" s="183">
        <f t="shared" si="33"/>
        <v>0.64</v>
      </c>
      <c r="G267" s="183">
        <f t="shared" si="33"/>
        <v>0.64</v>
      </c>
      <c r="H267" s="183">
        <f t="shared" si="33"/>
        <v>0.64</v>
      </c>
      <c r="I267" s="183">
        <f t="shared" si="33"/>
        <v>0.64</v>
      </c>
      <c r="J267" s="183">
        <f t="shared" si="33"/>
        <v>0.64</v>
      </c>
      <c r="K267" s="183">
        <f t="shared" si="33"/>
        <v>0.64</v>
      </c>
      <c r="L267" s="183">
        <f t="shared" si="33"/>
        <v>0.64</v>
      </c>
      <c r="M267" s="183">
        <f t="shared" si="33"/>
        <v>0.64</v>
      </c>
      <c r="N267" s="183">
        <f t="shared" si="33"/>
        <v>0.64</v>
      </c>
      <c r="O267" s="183">
        <f t="shared" si="33"/>
        <v>0.64</v>
      </c>
      <c r="P267" s="183">
        <f t="shared" si="33"/>
        <v>0</v>
      </c>
      <c r="Q267" s="183">
        <f t="shared" si="33"/>
        <v>0</v>
      </c>
      <c r="R267" s="183">
        <f t="shared" si="33"/>
        <v>0</v>
      </c>
      <c r="S267" s="183">
        <f t="shared" si="33"/>
        <v>0</v>
      </c>
      <c r="T267" s="183">
        <f t="shared" si="33"/>
        <v>0</v>
      </c>
      <c r="U267" s="183">
        <f t="shared" si="33"/>
        <v>0</v>
      </c>
      <c r="V267" s="183">
        <f t="shared" si="33"/>
        <v>0</v>
      </c>
      <c r="W267" s="183">
        <f t="shared" si="33"/>
        <v>0</v>
      </c>
      <c r="X267" s="183">
        <f t="shared" si="33"/>
        <v>0</v>
      </c>
      <c r="Y267" s="183">
        <f t="shared" si="33"/>
        <v>0</v>
      </c>
      <c r="Z267" s="183">
        <f t="shared" si="33"/>
        <v>0</v>
      </c>
      <c r="AA267" s="183">
        <f t="shared" si="33"/>
        <v>0</v>
      </c>
      <c r="AB267" s="183">
        <f t="shared" si="33"/>
        <v>0</v>
      </c>
      <c r="AC267" s="183">
        <f t="shared" si="33"/>
        <v>0</v>
      </c>
      <c r="AD267" s="183">
        <f t="shared" si="33"/>
        <v>0</v>
      </c>
      <c r="AE267" s="183">
        <f t="shared" si="33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4">IF(B235&lt;100,"",B235-520)</f>
        <v/>
      </c>
      <c r="C268" s="184" t="str">
        <f t="shared" si="34"/>
        <v/>
      </c>
      <c r="D268" s="184" t="str">
        <f t="shared" si="34"/>
        <v/>
      </c>
      <c r="E268" s="184" t="str">
        <f t="shared" si="34"/>
        <v/>
      </c>
      <c r="F268" s="184" t="str">
        <f t="shared" si="34"/>
        <v/>
      </c>
      <c r="G268" s="184" t="str">
        <f t="shared" si="34"/>
        <v/>
      </c>
      <c r="H268" s="184" t="str">
        <f t="shared" si="34"/>
        <v/>
      </c>
      <c r="I268" s="184" t="str">
        <f t="shared" si="34"/>
        <v/>
      </c>
      <c r="J268" s="184" t="str">
        <f t="shared" si="34"/>
        <v/>
      </c>
      <c r="K268" s="184" t="str">
        <f t="shared" si="34"/>
        <v/>
      </c>
      <c r="L268" s="184" t="str">
        <f t="shared" si="34"/>
        <v/>
      </c>
      <c r="M268" s="184" t="str">
        <f t="shared" si="34"/>
        <v/>
      </c>
      <c r="N268" s="184" t="str">
        <f t="shared" si="34"/>
        <v/>
      </c>
      <c r="O268" s="184" t="str">
        <f t="shared" si="34"/>
        <v/>
      </c>
      <c r="P268" s="184" t="str">
        <f t="shared" si="34"/>
        <v/>
      </c>
      <c r="Q268" s="184" t="str">
        <f t="shared" si="34"/>
        <v/>
      </c>
      <c r="R268" s="184" t="str">
        <f t="shared" si="34"/>
        <v/>
      </c>
      <c r="S268" s="184" t="str">
        <f t="shared" si="34"/>
        <v/>
      </c>
      <c r="T268" s="184" t="str">
        <f t="shared" si="34"/>
        <v/>
      </c>
      <c r="U268" s="184" t="str">
        <f t="shared" si="34"/>
        <v/>
      </c>
      <c r="V268" s="184" t="str">
        <f t="shared" si="34"/>
        <v/>
      </c>
      <c r="W268" s="184" t="str">
        <f t="shared" si="34"/>
        <v/>
      </c>
      <c r="X268" s="184" t="str">
        <f t="shared" si="34"/>
        <v/>
      </c>
      <c r="Y268" s="184" t="str">
        <f t="shared" si="34"/>
        <v/>
      </c>
      <c r="Z268" s="184" t="str">
        <f t="shared" si="34"/>
        <v/>
      </c>
      <c r="AA268" s="184" t="str">
        <f t="shared" si="34"/>
        <v/>
      </c>
      <c r="AB268" s="184" t="str">
        <f t="shared" si="34"/>
        <v/>
      </c>
      <c r="AC268" s="184" t="str">
        <f t="shared" si="34"/>
        <v/>
      </c>
      <c r="AD268" s="184" t="str">
        <f t="shared" si="34"/>
        <v/>
      </c>
      <c r="AE268" s="184" t="str">
        <f t="shared" si="34"/>
        <v/>
      </c>
      <c r="AF268" s="184" t="str">
        <f t="shared" si="34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5">IF(B236&lt;100,"",B236-620)</f>
        <v/>
      </c>
      <c r="C269" s="184" t="str">
        <f t="shared" si="35"/>
        <v/>
      </c>
      <c r="D269" s="184" t="str">
        <f t="shared" si="35"/>
        <v/>
      </c>
      <c r="E269" s="184" t="str">
        <f t="shared" si="35"/>
        <v/>
      </c>
      <c r="F269" s="184" t="str">
        <f t="shared" si="35"/>
        <v/>
      </c>
      <c r="G269" s="184" t="str">
        <f t="shared" si="35"/>
        <v/>
      </c>
      <c r="H269" s="184" t="str">
        <f t="shared" si="35"/>
        <v/>
      </c>
      <c r="I269" s="184" t="str">
        <f t="shared" si="35"/>
        <v/>
      </c>
      <c r="J269" s="184" t="str">
        <f t="shared" si="35"/>
        <v/>
      </c>
      <c r="K269" s="184" t="str">
        <f t="shared" si="35"/>
        <v/>
      </c>
      <c r="L269" s="184" t="str">
        <f t="shared" si="35"/>
        <v/>
      </c>
      <c r="M269" s="184" t="str">
        <f t="shared" si="35"/>
        <v/>
      </c>
      <c r="N269" s="184" t="str">
        <f t="shared" si="35"/>
        <v/>
      </c>
      <c r="O269" s="184" t="str">
        <f t="shared" si="35"/>
        <v/>
      </c>
      <c r="P269" s="184" t="str">
        <f t="shared" si="35"/>
        <v/>
      </c>
      <c r="Q269" s="184" t="str">
        <f t="shared" si="35"/>
        <v/>
      </c>
      <c r="R269" s="184" t="str">
        <f t="shared" si="35"/>
        <v/>
      </c>
      <c r="S269" s="184" t="str">
        <f t="shared" si="35"/>
        <v/>
      </c>
      <c r="T269" s="184" t="str">
        <f t="shared" si="35"/>
        <v/>
      </c>
      <c r="U269" s="184" t="str">
        <f t="shared" si="35"/>
        <v/>
      </c>
      <c r="V269" s="184" t="str">
        <f t="shared" si="35"/>
        <v/>
      </c>
      <c r="W269" s="184" t="str">
        <f t="shared" si="35"/>
        <v/>
      </c>
      <c r="X269" s="184" t="str">
        <f t="shared" si="35"/>
        <v/>
      </c>
      <c r="Y269" s="184" t="str">
        <f t="shared" si="35"/>
        <v/>
      </c>
      <c r="Z269" s="184" t="str">
        <f t="shared" si="35"/>
        <v/>
      </c>
      <c r="AA269" s="184" t="str">
        <f t="shared" si="35"/>
        <v/>
      </c>
      <c r="AB269" s="184" t="str">
        <f t="shared" si="35"/>
        <v/>
      </c>
      <c r="AC269" s="184" t="str">
        <f t="shared" si="35"/>
        <v/>
      </c>
      <c r="AD269" s="184" t="str">
        <f t="shared" si="35"/>
        <v/>
      </c>
      <c r="AE269" s="184" t="str">
        <f t="shared" si="35"/>
        <v/>
      </c>
      <c r="AF269" s="184" t="str">
        <f t="shared" si="35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6">IF(B237&lt;100,"",B237-330)</f>
        <v/>
      </c>
      <c r="C270" s="184" t="str">
        <f t="shared" si="36"/>
        <v/>
      </c>
      <c r="D270" s="184" t="str">
        <f t="shared" si="36"/>
        <v/>
      </c>
      <c r="E270" s="184" t="str">
        <f t="shared" si="36"/>
        <v/>
      </c>
      <c r="F270" s="184" t="str">
        <f t="shared" si="36"/>
        <v/>
      </c>
      <c r="G270" s="184" t="str">
        <f t="shared" si="36"/>
        <v/>
      </c>
      <c r="H270" s="184" t="str">
        <f t="shared" si="36"/>
        <v/>
      </c>
      <c r="I270" s="184" t="str">
        <f t="shared" si="36"/>
        <v/>
      </c>
      <c r="J270" s="184" t="str">
        <f t="shared" si="36"/>
        <v/>
      </c>
      <c r="K270" s="184" t="str">
        <f t="shared" si="36"/>
        <v/>
      </c>
      <c r="L270" s="184" t="str">
        <f t="shared" si="36"/>
        <v/>
      </c>
      <c r="M270" s="184" t="str">
        <f t="shared" si="36"/>
        <v/>
      </c>
      <c r="N270" s="184" t="str">
        <f t="shared" si="36"/>
        <v/>
      </c>
      <c r="O270" s="184" t="str">
        <f t="shared" si="36"/>
        <v/>
      </c>
      <c r="P270" s="184" t="str">
        <f t="shared" si="36"/>
        <v/>
      </c>
      <c r="Q270" s="184" t="str">
        <f t="shared" si="36"/>
        <v/>
      </c>
      <c r="R270" s="184" t="str">
        <f t="shared" si="36"/>
        <v/>
      </c>
      <c r="S270" s="184" t="str">
        <f t="shared" si="36"/>
        <v/>
      </c>
      <c r="T270" s="184" t="str">
        <f t="shared" si="36"/>
        <v/>
      </c>
      <c r="U270" s="184" t="str">
        <f t="shared" si="36"/>
        <v/>
      </c>
      <c r="V270" s="184" t="str">
        <f t="shared" si="36"/>
        <v/>
      </c>
      <c r="W270" s="184" t="str">
        <f t="shared" si="36"/>
        <v/>
      </c>
      <c r="X270" s="184" t="str">
        <f t="shared" si="36"/>
        <v/>
      </c>
      <c r="Y270" s="184" t="str">
        <f t="shared" si="36"/>
        <v/>
      </c>
      <c r="Z270" s="184" t="str">
        <f t="shared" si="36"/>
        <v/>
      </c>
      <c r="AA270" s="184" t="str">
        <f t="shared" si="36"/>
        <v/>
      </c>
      <c r="AB270" s="184" t="str">
        <f t="shared" si="36"/>
        <v/>
      </c>
      <c r="AC270" s="184" t="str">
        <f t="shared" si="36"/>
        <v/>
      </c>
      <c r="AD270" s="184" t="str">
        <f t="shared" si="36"/>
        <v/>
      </c>
      <c r="AE270" s="184" t="str">
        <f t="shared" si="36"/>
        <v/>
      </c>
      <c r="AF270" s="184" t="str">
        <f t="shared" si="36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7">IF(B238&lt;100,"",B238-1500)</f>
        <v/>
      </c>
      <c r="C271" s="184" t="str">
        <f t="shared" si="37"/>
        <v/>
      </c>
      <c r="D271" s="184" t="str">
        <f t="shared" si="37"/>
        <v/>
      </c>
      <c r="E271" s="184" t="str">
        <f t="shared" si="37"/>
        <v/>
      </c>
      <c r="F271" s="184" t="str">
        <f t="shared" si="37"/>
        <v/>
      </c>
      <c r="G271" s="184" t="str">
        <f t="shared" si="37"/>
        <v/>
      </c>
      <c r="H271" s="184" t="str">
        <f t="shared" si="37"/>
        <v/>
      </c>
      <c r="I271" s="184" t="str">
        <f t="shared" si="37"/>
        <v/>
      </c>
      <c r="J271" s="184" t="str">
        <f t="shared" si="37"/>
        <v/>
      </c>
      <c r="K271" s="184" t="str">
        <f t="shared" si="37"/>
        <v/>
      </c>
      <c r="L271" s="184" t="str">
        <f t="shared" si="37"/>
        <v/>
      </c>
      <c r="M271" s="184" t="str">
        <f t="shared" si="37"/>
        <v/>
      </c>
      <c r="N271" s="184" t="str">
        <f t="shared" si="37"/>
        <v/>
      </c>
      <c r="O271" s="184" t="str">
        <f t="shared" si="37"/>
        <v/>
      </c>
      <c r="P271" s="184" t="str">
        <f t="shared" si="37"/>
        <v/>
      </c>
      <c r="Q271" s="184" t="str">
        <f t="shared" si="37"/>
        <v/>
      </c>
      <c r="R271" s="184" t="str">
        <f t="shared" si="37"/>
        <v/>
      </c>
      <c r="S271" s="184" t="str">
        <f t="shared" si="37"/>
        <v/>
      </c>
      <c r="T271" s="184" t="str">
        <f t="shared" si="37"/>
        <v/>
      </c>
      <c r="U271" s="184" t="str">
        <f t="shared" si="37"/>
        <v/>
      </c>
      <c r="V271" s="184" t="str">
        <f t="shared" si="37"/>
        <v/>
      </c>
      <c r="W271" s="184" t="str">
        <f t="shared" si="37"/>
        <v/>
      </c>
      <c r="X271" s="184" t="str">
        <f t="shared" si="37"/>
        <v/>
      </c>
      <c r="Y271" s="184" t="str">
        <f t="shared" si="37"/>
        <v/>
      </c>
      <c r="Z271" s="184" t="str">
        <f t="shared" si="37"/>
        <v/>
      </c>
      <c r="AA271" s="184" t="str">
        <f t="shared" si="37"/>
        <v/>
      </c>
      <c r="AB271" s="184" t="str">
        <f t="shared" si="37"/>
        <v/>
      </c>
      <c r="AC271" s="184" t="str">
        <f t="shared" si="37"/>
        <v/>
      </c>
      <c r="AD271" s="184" t="str">
        <f t="shared" si="37"/>
        <v/>
      </c>
      <c r="AE271" s="184" t="str">
        <f t="shared" si="37"/>
        <v/>
      </c>
      <c r="AF271" s="184" t="str">
        <f t="shared" si="37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N53:O55 D109:AF109 D111:AF116 E49:AF51">
    <cfRule type="expression" dxfId="10803" priority="349">
      <formula>B$9&gt;=20/24</formula>
    </cfRule>
    <cfRule type="expression" dxfId="10802" priority="350">
      <formula>AND(B$9&gt;=14/24,B$9&lt;20/24)</formula>
    </cfRule>
    <cfRule type="expression" dxfId="10801" priority="351">
      <formula>AND(B$9&gt;=8/24,B$9&lt;14/24)</formula>
    </cfRule>
    <cfRule type="expression" dxfId="10800" priority="352">
      <formula>B$9&lt;8/24</formula>
    </cfRule>
  </conditionalFormatting>
  <conditionalFormatting sqref="AL4:AL6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AG65 E49:AF51">
    <cfRule type="expression" dxfId="10799" priority="347">
      <formula>E49&gt;$AG49</formula>
    </cfRule>
  </conditionalFormatting>
  <conditionalFormatting sqref="A99:A109 A59:A86 A95:A97 A202:A232 A46:A57 A118:A189 A41:A42 A91:A93 A88:A89 A111:A113 A38:A39 A19:A20 A12:A15 A22:A32 A17 A34:A36">
    <cfRule type="expression" dxfId="10798" priority="346">
      <formula>$AH12=0</formula>
    </cfRule>
  </conditionalFormatting>
  <conditionalFormatting sqref="A114">
    <cfRule type="expression" dxfId="10797" priority="345">
      <formula>$AH114=0</formula>
    </cfRule>
  </conditionalFormatting>
  <conditionalFormatting sqref="AL42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0796" priority="343">
      <formula>$AH45=0</formula>
    </cfRule>
  </conditionalFormatting>
  <conditionalFormatting sqref="A98">
    <cfRule type="expression" dxfId="10795" priority="342">
      <formula>$AH98=0</formula>
    </cfRule>
  </conditionalFormatting>
  <conditionalFormatting sqref="A18">
    <cfRule type="expression" dxfId="10794" priority="341">
      <formula>$AH18=0</formula>
    </cfRule>
  </conditionalFormatting>
  <conditionalFormatting sqref="A196:A201">
    <cfRule type="expression" dxfId="10793" priority="340">
      <formula>$AH196=0</formula>
    </cfRule>
  </conditionalFormatting>
  <conditionalFormatting sqref="A190:A195">
    <cfRule type="expression" dxfId="10792" priority="339">
      <formula>$AH190=0</formula>
    </cfRule>
  </conditionalFormatting>
  <conditionalFormatting sqref="A58">
    <cfRule type="expression" dxfId="10791" priority="338">
      <formula>$AH58=0</formula>
    </cfRule>
  </conditionalFormatting>
  <conditionalFormatting sqref="A94">
    <cfRule type="expression" dxfId="10790" priority="337">
      <formula>$AH94=0</formula>
    </cfRule>
  </conditionalFormatting>
  <conditionalFormatting sqref="AD99:AF99 E99:X99">
    <cfRule type="expression" dxfId="10789" priority="333">
      <formula>E$9&gt;=20/24</formula>
    </cfRule>
    <cfRule type="expression" dxfId="10788" priority="334">
      <formula>AND(E$9&gt;=14/24,E$9&lt;20/24)</formula>
    </cfRule>
    <cfRule type="expression" dxfId="10787" priority="335">
      <formula>AND(E$9&gt;=8/24,E$9&lt;14/24)</formula>
    </cfRule>
    <cfRule type="expression" dxfId="10786" priority="336">
      <formula>E$9&lt;8/24</formula>
    </cfRule>
  </conditionalFormatting>
  <conditionalFormatting sqref="AL4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785" priority="355">
      <formula>C$9&gt;=20/24</formula>
    </cfRule>
    <cfRule type="expression" dxfId="10784" priority="356">
      <formula>AND(C$9&gt;=14/24,C$9&lt;20/24)</formula>
    </cfRule>
    <cfRule type="expression" dxfId="10783" priority="357">
      <formula>AND(C$9&gt;=8/24,C$9&lt;14/24)</formula>
    </cfRule>
    <cfRule type="expression" dxfId="10782" priority="358">
      <formula>C$9&lt;8/24</formula>
    </cfRule>
  </conditionalFormatting>
  <conditionalFormatting sqref="A233">
    <cfRule type="expression" dxfId="10781" priority="359">
      <formula>$AH233=0</formula>
    </cfRule>
  </conditionalFormatting>
  <conditionalFormatting sqref="AG245">
    <cfRule type="expression" dxfId="10780" priority="360">
      <formula>B$9&gt;=20/24</formula>
    </cfRule>
    <cfRule type="expression" dxfId="10779" priority="361">
      <formula>AND(B$9&gt;=14/24,B$9&lt;20/24)</formula>
    </cfRule>
    <cfRule type="expression" dxfId="10778" priority="362">
      <formula>AND(B$9&gt;=8/24,B$9&lt;14/24)</formula>
    </cfRule>
    <cfRule type="expression" dxfId="10777" priority="363">
      <formula>B$9&lt;8/24</formula>
    </cfRule>
  </conditionalFormatting>
  <conditionalFormatting sqref="S8">
    <cfRule type="expression" dxfId="10776" priority="328">
      <formula>U$9&gt;=20/24</formula>
    </cfRule>
    <cfRule type="expression" dxfId="10775" priority="329">
      <formula>AND(U$9&gt;=14/24,U$9&lt;20/24)</formula>
    </cfRule>
    <cfRule type="expression" dxfId="10774" priority="330">
      <formula>AND(U$9&gt;=8/24,U$9&lt;14/24)</formula>
    </cfRule>
    <cfRule type="expression" dxfId="10773" priority="331">
      <formula>U$9&lt;8/24</formula>
    </cfRule>
  </conditionalFormatting>
  <conditionalFormatting sqref="AB8">
    <cfRule type="expression" dxfId="10772" priority="324">
      <formula>AD$9&gt;=20/24</formula>
    </cfRule>
    <cfRule type="expression" dxfId="10771" priority="325">
      <formula>AND(AD$9&gt;=14/24,AD$9&lt;20/24)</formula>
    </cfRule>
    <cfRule type="expression" dxfId="10770" priority="326">
      <formula>AND(AD$9&gt;=8/24,AD$9&lt;14/24)</formula>
    </cfRule>
    <cfRule type="expression" dxfId="10769" priority="327">
      <formula>AD$9&lt;8/24</formula>
    </cfRule>
  </conditionalFormatting>
  <conditionalFormatting sqref="AH245:AX245">
    <cfRule type="expression" dxfId="10768" priority="364">
      <formula>AG$9&gt;=20/24</formula>
    </cfRule>
    <cfRule type="expression" dxfId="10767" priority="365">
      <formula>AND(AG$9&gt;=14/24,AG$9&lt;20/24)</formula>
    </cfRule>
    <cfRule type="expression" dxfId="10766" priority="366">
      <formula>AND(AG$9&gt;=8/24,AG$9&lt;14/24)</formula>
    </cfRule>
    <cfRule type="expression" dxfId="10765" priority="367">
      <formula>AG$9&lt;8/24</formula>
    </cfRule>
  </conditionalFormatting>
  <conditionalFormatting sqref="T245">
    <cfRule type="expression" dxfId="10764" priority="368">
      <formula>AX$9&gt;=20/24</formula>
    </cfRule>
    <cfRule type="expression" dxfId="10763" priority="369">
      <formula>AND(AX$9&gt;=14/24,AX$9&lt;20/24)</formula>
    </cfRule>
    <cfRule type="expression" dxfId="10762" priority="370">
      <formula>AND(AX$9&gt;=8/24,AX$9&lt;14/24)</formula>
    </cfRule>
    <cfRule type="expression" dxfId="10761" priority="371">
      <formula>AX$9&lt;8/24</formula>
    </cfRule>
  </conditionalFormatting>
  <conditionalFormatting sqref="A115:A116">
    <cfRule type="expression" dxfId="10760" priority="323">
      <formula>$AH115=0</formula>
    </cfRule>
  </conditionalFormatting>
  <conditionalFormatting sqref="M54:M55 P54:S57 T56:W57 X57 E71:AF71 AC57:AD57 AB54:AE55 AD56 AE56:AE57 AF54:AF57">
    <cfRule type="expression" dxfId="10759" priority="319">
      <formula>E$9&gt;=20/24</formula>
    </cfRule>
    <cfRule type="expression" dxfId="10758" priority="320">
      <formula>AND(E$9&gt;=14/24,E$9&lt;20/24)</formula>
    </cfRule>
    <cfRule type="expression" dxfId="10757" priority="321">
      <formula>AND(E$9&gt;=8/24,E$9&lt;14/24)</formula>
    </cfRule>
    <cfRule type="expression" dxfId="10756" priority="322">
      <formula>E$9&lt;8/24</formula>
    </cfRule>
  </conditionalFormatting>
  <conditionalFormatting sqref="M53 P53:S53 AB53:AF53">
    <cfRule type="expression" dxfId="10755" priority="315">
      <formula>M$9&gt;=20/24</formula>
    </cfRule>
    <cfRule type="expression" dxfId="10754" priority="316">
      <formula>AND(M$9&gt;=14/24,M$9&lt;20/24)</formula>
    </cfRule>
    <cfRule type="expression" dxfId="10753" priority="317">
      <formula>AND(M$9&gt;=8/24,M$9&lt;14/24)</formula>
    </cfRule>
    <cfRule type="expression" dxfId="10752" priority="318">
      <formula>M$9&lt;8/24</formula>
    </cfRule>
  </conditionalFormatting>
  <conditionalFormatting sqref="M53:M55 P53:S57 T56:W57 X57 AC57:AD57 AB53:AE55 AD56 AE56:AE57 AF53:AF57">
    <cfRule type="expression" dxfId="10751" priority="314">
      <formula>M53&gt;$AG53</formula>
    </cfRule>
  </conditionalFormatting>
  <conditionalFormatting sqref="X96:AF96 AE100:AF106 X47:AF47 D86:AF86 E72:X73 M100:X106 Y72:AF74 Y67:AF69">
    <cfRule type="expression" dxfId="10750" priority="310">
      <formula>D$9&gt;=20/24</formula>
    </cfRule>
    <cfRule type="expression" dxfId="10749" priority="311">
      <formula>AND(D$9&gt;=14/24,D$9&lt;20/24)</formula>
    </cfRule>
    <cfRule type="expression" dxfId="10748" priority="312">
      <formula>AND(D$9&gt;=8/24,D$9&lt;14/24)</formula>
    </cfRule>
    <cfRule type="expression" dxfId="10747" priority="313">
      <formula>D$9&lt;8/24</formula>
    </cfRule>
  </conditionalFormatting>
  <conditionalFormatting sqref="X47:AF47 Y67:AF69">
    <cfRule type="expression" dxfId="10746" priority="309">
      <formula>X47&gt;$AG47</formula>
    </cfRule>
  </conditionalFormatting>
  <conditionalFormatting sqref="X53:AA53 T53:W55 Y57:Z58 X54:Z56 AA54:AA58 AB56:AB58 AC56 AC58:AF58">
    <cfRule type="expression" dxfId="10745" priority="305">
      <formula>T$9&gt;=20/24</formula>
    </cfRule>
    <cfRule type="expression" dxfId="10744" priority="306">
      <formula>AND(T$9&gt;=14/24,T$9&lt;20/24)</formula>
    </cfRule>
    <cfRule type="expression" dxfId="10743" priority="307">
      <formula>AND(T$9&gt;=8/24,T$9&lt;14/24)</formula>
    </cfRule>
    <cfRule type="expression" dxfId="10742" priority="308">
      <formula>T$9&lt;8/24</formula>
    </cfRule>
  </conditionalFormatting>
  <conditionalFormatting sqref="X53:AA53 T53:W55 Y57:Z58 X54:Z56 AA54:AA58 AB56:AB58 AC56 AC58:AF58">
    <cfRule type="expression" dxfId="10741" priority="304">
      <formula>T53&gt;$AG53</formula>
    </cfRule>
  </conditionalFormatting>
  <conditionalFormatting sqref="C97:AF97 D88:AF88">
    <cfRule type="expression" dxfId="10740" priority="300">
      <formula>C$9&gt;=20/24</formula>
    </cfRule>
    <cfRule type="expression" dxfId="10739" priority="301">
      <formula>AND(C$9&gt;=14/24,C$9&lt;20/24)</formula>
    </cfRule>
    <cfRule type="expression" dxfId="10738" priority="302">
      <formula>AND(C$9&gt;=8/24,C$9&lt;14/24)</formula>
    </cfRule>
    <cfRule type="expression" dxfId="10737" priority="303">
      <formula>C$9&lt;8/24</formula>
    </cfRule>
  </conditionalFormatting>
  <conditionalFormatting sqref="T47:W47">
    <cfRule type="expression" dxfId="10736" priority="296">
      <formula>T$9&gt;=20/24</formula>
    </cfRule>
    <cfRule type="expression" dxfId="10735" priority="297">
      <formula>AND(T$9&gt;=14/24,T$9&lt;20/24)</formula>
    </cfRule>
    <cfRule type="expression" dxfId="10734" priority="298">
      <formula>AND(T$9&gt;=8/24,T$9&lt;14/24)</formula>
    </cfRule>
    <cfRule type="expression" dxfId="10733" priority="299">
      <formula>T$9&lt;8/24</formula>
    </cfRule>
  </conditionalFormatting>
  <conditionalFormatting sqref="T47:W47">
    <cfRule type="expression" dxfId="10732" priority="295">
      <formula>T47&gt;$AG47</formula>
    </cfRule>
  </conditionalFormatting>
  <conditionalFormatting sqref="E54:L55">
    <cfRule type="expression" dxfId="10731" priority="291">
      <formula>E$9&gt;=20/24</formula>
    </cfRule>
    <cfRule type="expression" dxfId="10730" priority="292">
      <formula>AND(E$9&gt;=14/24,E$9&lt;20/24)</formula>
    </cfRule>
    <cfRule type="expression" dxfId="10729" priority="293">
      <formula>AND(E$9&gt;=8/24,E$9&lt;14/24)</formula>
    </cfRule>
    <cfRule type="expression" dxfId="10728" priority="294">
      <formula>E$9&lt;8/24</formula>
    </cfRule>
  </conditionalFormatting>
  <conditionalFormatting sqref="E53:L53">
    <cfRule type="expression" dxfId="10727" priority="287">
      <formula>E$9&gt;=20/24</formula>
    </cfRule>
    <cfRule type="expression" dxfId="10726" priority="288">
      <formula>AND(E$9&gt;=14/24,E$9&lt;20/24)</formula>
    </cfRule>
    <cfRule type="expression" dxfId="10725" priority="289">
      <formula>AND(E$9&gt;=8/24,E$9&lt;14/24)</formula>
    </cfRule>
    <cfRule type="expression" dxfId="10724" priority="290">
      <formula>E$9&lt;8/24</formula>
    </cfRule>
  </conditionalFormatting>
  <conditionalFormatting sqref="E53:L55">
    <cfRule type="expression" dxfId="10723" priority="286">
      <formula>E53&gt;$AG53</formula>
    </cfRule>
  </conditionalFormatting>
  <conditionalFormatting sqref="AG70 AG87 E100:L106 S67:X69">
    <cfRule type="expression" dxfId="10722" priority="282">
      <formula>E$9&gt;=20/24</formula>
    </cfRule>
    <cfRule type="expression" dxfId="10721" priority="283">
      <formula>AND(E$9&gt;=14/24,E$9&lt;20/24)</formula>
    </cfRule>
    <cfRule type="expression" dxfId="10720" priority="284">
      <formula>AND(E$9&gt;=8/24,E$9&lt;14/24)</formula>
    </cfRule>
    <cfRule type="expression" dxfId="10719" priority="285">
      <formula>E$9&lt;8/24</formula>
    </cfRule>
  </conditionalFormatting>
  <conditionalFormatting sqref="AG48 AG66 AG70 S67:X69">
    <cfRule type="expression" dxfId="10718" priority="281">
      <formula>S48&gt;$AG48</formula>
    </cfRule>
  </conditionalFormatting>
  <conditionalFormatting sqref="A43">
    <cfRule type="expression" dxfId="10717" priority="275">
      <formula>$AH43=0</formula>
    </cfRule>
  </conditionalFormatting>
  <conditionalFormatting sqref="X91:AF95">
    <cfRule type="expression" dxfId="10716" priority="271">
      <formula>X$9&gt;=20/24</formula>
    </cfRule>
    <cfRule type="expression" dxfId="10715" priority="272">
      <formula>AND(X$9&gt;=14/24,X$9&lt;20/24)</formula>
    </cfRule>
    <cfRule type="expression" dxfId="10714" priority="273">
      <formula>AND(X$9&gt;=8/24,X$9&lt;14/24)</formula>
    </cfRule>
    <cfRule type="expression" dxfId="10713" priority="274">
      <formula>X$9&lt;8/24</formula>
    </cfRule>
  </conditionalFormatting>
  <conditionalFormatting sqref="AL45 AL41 AL22:AL32 AL38:AL39 AL7:AL15 AL17:AL20 AL34:AL36">
    <cfRule type="iconSet" priority="372">
      <iconSet iconSet="3TrafficLights2" reverse="1">
        <cfvo type="percent" val="0"/>
        <cfvo type="num" val="1"/>
        <cfvo type="num" val="1"/>
      </iconSet>
    </cfRule>
  </conditionalFormatting>
  <conditionalFormatting sqref="AG52">
    <cfRule type="expression" dxfId="10712" priority="262">
      <formula>AG$9&gt;=20/24</formula>
    </cfRule>
    <cfRule type="expression" dxfId="10711" priority="263">
      <formula>AND(AG$9&gt;=14/24,AG$9&lt;20/24)</formula>
    </cfRule>
    <cfRule type="expression" dxfId="10710" priority="264">
      <formula>AND(AG$9&gt;=8/24,AG$9&lt;14/24)</formula>
    </cfRule>
    <cfRule type="expression" dxfId="10709" priority="265">
      <formula>AG$9&lt;8/24</formula>
    </cfRule>
  </conditionalFormatting>
  <conditionalFormatting sqref="AG52">
    <cfRule type="expression" dxfId="10708" priority="261">
      <formula>AG52&gt;$AG52</formula>
    </cfRule>
  </conditionalFormatting>
  <conditionalFormatting sqref="C107:AF107">
    <cfRule type="expression" dxfId="10707" priority="257">
      <formula>C$9&gt;=20/24</formula>
    </cfRule>
    <cfRule type="expression" dxfId="10706" priority="258">
      <formula>AND(C$9&gt;=14/24,C$9&lt;20/24)</formula>
    </cfRule>
    <cfRule type="expression" dxfId="10705" priority="259">
      <formula>AND(C$9&gt;=8/24,C$9&lt;14/24)</formula>
    </cfRule>
    <cfRule type="expression" dxfId="10704" priority="260">
      <formula>C$9&lt;8/24</formula>
    </cfRule>
  </conditionalFormatting>
  <conditionalFormatting sqref="AL40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0703" priority="255">
      <formula>$AH40=0</formula>
    </cfRule>
  </conditionalFormatting>
  <conditionalFormatting sqref="A90">
    <cfRule type="expression" dxfId="10702" priority="253">
      <formula>$AH90=0</formula>
    </cfRule>
  </conditionalFormatting>
  <conditionalFormatting sqref="A87">
    <cfRule type="expression" dxfId="10701" priority="254">
      <formula>$AH87=0</formula>
    </cfRule>
  </conditionalFormatting>
  <conditionalFormatting sqref="D110:AF110">
    <cfRule type="expression" dxfId="10700" priority="249">
      <formula>D$9&gt;=20/24</formula>
    </cfRule>
    <cfRule type="expression" dxfId="10699" priority="250">
      <formula>AND(D$9&gt;=14/24,D$9&lt;20/24)</formula>
    </cfRule>
    <cfRule type="expression" dxfId="10698" priority="251">
      <formula>AND(D$9&gt;=8/24,D$9&lt;14/24)</formula>
    </cfRule>
    <cfRule type="expression" dxfId="10697" priority="252">
      <formula>D$9&lt;8/24</formula>
    </cfRule>
  </conditionalFormatting>
  <conditionalFormatting sqref="A110">
    <cfRule type="expression" dxfId="10696" priority="248">
      <formula>$AH110=0</formula>
    </cfRule>
  </conditionalFormatting>
  <conditionalFormatting sqref="A21">
    <cfRule type="expression" dxfId="10695" priority="246">
      <formula>$AH21=0</formula>
    </cfRule>
  </conditionalFormatting>
  <conditionalFormatting sqref="AL21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0694" priority="244">
      <formula>$AH37=0</formula>
    </cfRule>
  </conditionalFormatting>
  <conditionalFormatting sqref="AL37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0693" priority="240">
      <formula>Y$9&gt;=20/24</formula>
    </cfRule>
    <cfRule type="expression" dxfId="10692" priority="241">
      <formula>AND(Y$9&gt;=14/24,Y$9&lt;20/24)</formula>
    </cfRule>
    <cfRule type="expression" dxfId="10691" priority="242">
      <formula>AND(Y$9&gt;=8/24,Y$9&lt;14/24)</formula>
    </cfRule>
    <cfRule type="expression" dxfId="10690" priority="243">
      <formula>Y$9&lt;8/24</formula>
    </cfRule>
  </conditionalFormatting>
  <conditionalFormatting sqref="Y100:AD106">
    <cfRule type="expression" dxfId="10689" priority="236">
      <formula>Y$9&gt;=20/24</formula>
    </cfRule>
    <cfRule type="expression" dxfId="10688" priority="237">
      <formula>AND(Y$9&gt;=14/24,Y$9&lt;20/24)</formula>
    </cfRule>
    <cfRule type="expression" dxfId="10687" priority="238">
      <formula>AND(Y$9&gt;=8/24,Y$9&lt;14/24)</formula>
    </cfRule>
    <cfRule type="expression" dxfId="10686" priority="239">
      <formula>Y$9&lt;8/24</formula>
    </cfRule>
  </conditionalFormatting>
  <conditionalFormatting sqref="C109 C111:C116 Y34:AF43 Y17:AF23 Y25:AF32">
    <cfRule type="expression" dxfId="10685" priority="232">
      <formula>C$9&gt;=20/24</formula>
    </cfRule>
    <cfRule type="expression" dxfId="10684" priority="233">
      <formula>AND(C$9&gt;=14/24,C$9&lt;20/24)</formula>
    </cfRule>
    <cfRule type="expression" dxfId="10683" priority="234">
      <formula>AND(C$9&gt;=8/24,C$9&lt;14/24)</formula>
    </cfRule>
    <cfRule type="expression" dxfId="10682" priority="235">
      <formula>C$9&lt;8/24</formula>
    </cfRule>
  </conditionalFormatting>
  <conditionalFormatting sqref="C47:S47">
    <cfRule type="expression" dxfId="10681" priority="228">
      <formula>C$9&gt;=20/24</formula>
    </cfRule>
    <cfRule type="expression" dxfId="10680" priority="229">
      <formula>AND(C$9&gt;=14/24,C$9&lt;20/24)</formula>
    </cfRule>
    <cfRule type="expression" dxfId="10679" priority="230">
      <formula>AND(C$9&gt;=8/24,C$9&lt;14/24)</formula>
    </cfRule>
    <cfRule type="expression" dxfId="10678" priority="231">
      <formula>C$9&lt;8/24</formula>
    </cfRule>
  </conditionalFormatting>
  <conditionalFormatting sqref="C47:S47 Y34:AF43 Y17:AF23 Y25:AF32">
    <cfRule type="expression" dxfId="10677" priority="227">
      <formula>C17&gt;$AG17</formula>
    </cfRule>
  </conditionalFormatting>
  <conditionalFormatting sqref="C99:D99">
    <cfRule type="expression" dxfId="10676" priority="223">
      <formula>C$9&gt;=20/24</formula>
    </cfRule>
    <cfRule type="expression" dxfId="10675" priority="224">
      <formula>AND(C$9&gt;=14/24,C$9&lt;20/24)</formula>
    </cfRule>
    <cfRule type="expression" dxfId="10674" priority="225">
      <formula>AND(C$9&gt;=8/24,C$9&lt;14/24)</formula>
    </cfRule>
    <cfRule type="expression" dxfId="10673" priority="226">
      <formula>C$9&lt;8/24</formula>
    </cfRule>
  </conditionalFormatting>
  <conditionalFormatting sqref="C86 C100:D106 E67:R69 C96:W96 C83:AF85 E74:X75 Y75:AF75 I76:AF76">
    <cfRule type="expression" dxfId="10672" priority="219">
      <formula>C$9&gt;=20/24</formula>
    </cfRule>
    <cfRule type="expression" dxfId="10671" priority="220">
      <formula>AND(C$9&gt;=14/24,C$9&lt;20/24)</formula>
    </cfRule>
    <cfRule type="expression" dxfId="10670" priority="221">
      <formula>AND(C$9&gt;=8/24,C$9&lt;14/24)</formula>
    </cfRule>
    <cfRule type="expression" dxfId="10669" priority="222">
      <formula>C$9&lt;8/24</formula>
    </cfRule>
  </conditionalFormatting>
  <conditionalFormatting sqref="E56:L57 E67:R69">
    <cfRule type="expression" dxfId="10668" priority="218">
      <formula>E56&gt;$AG56</formula>
    </cfRule>
  </conditionalFormatting>
  <conditionalFormatting sqref="P46:AF46">
    <cfRule type="expression" dxfId="10667" priority="209">
      <formula>P$9&gt;=20/24</formula>
    </cfRule>
    <cfRule type="expression" dxfId="10666" priority="210">
      <formula>AND(P$9&gt;=14/24,P$9&lt;20/24)</formula>
    </cfRule>
    <cfRule type="expression" dxfId="10665" priority="211">
      <formula>AND(P$9&gt;=8/24,P$9&lt;14/24)</formula>
    </cfRule>
    <cfRule type="expression" dxfId="10664" priority="212">
      <formula>P$9&lt;8/24</formula>
    </cfRule>
  </conditionalFormatting>
  <conditionalFormatting sqref="P46:AF46">
    <cfRule type="expression" dxfId="10663" priority="208">
      <formula>P46&gt;$AG46</formula>
    </cfRule>
  </conditionalFormatting>
  <conditionalFormatting sqref="B54:D57 B71:D71">
    <cfRule type="expression" dxfId="10662" priority="137">
      <formula>B$9&gt;=20/24</formula>
    </cfRule>
    <cfRule type="expression" dxfId="10661" priority="138">
      <formula>AND(B$9&gt;=14/24,B$9&lt;20/24)</formula>
    </cfRule>
    <cfRule type="expression" dxfId="10660" priority="139">
      <formula>AND(B$9&gt;=8/24,B$9&lt;14/24)</formula>
    </cfRule>
    <cfRule type="expression" dxfId="10659" priority="140">
      <formula>B$9&lt;8/24</formula>
    </cfRule>
  </conditionalFormatting>
  <conditionalFormatting sqref="C87:AF87 C89:AF89 C98:AF98 C70:AF70">
    <cfRule type="expression" dxfId="10658" priority="204">
      <formula>C$9&gt;=20/24</formula>
    </cfRule>
    <cfRule type="expression" dxfId="10657" priority="205">
      <formula>AND(C$9&gt;=14/24,C$9&lt;20/24)</formula>
    </cfRule>
    <cfRule type="expression" dxfId="10656" priority="206">
      <formula>AND(C$9&gt;=8/24,C$9&lt;14/24)</formula>
    </cfRule>
    <cfRule type="expression" dxfId="10655" priority="207">
      <formula>C$9&lt;8/24</formula>
    </cfRule>
  </conditionalFormatting>
  <conditionalFormatting sqref="C48:AF48 C70:AF70 C65:AF66">
    <cfRule type="expression" dxfId="10654" priority="203">
      <formula>C48&gt;$AG48</formula>
    </cfRule>
  </conditionalFormatting>
  <conditionalFormatting sqref="C82:AF82">
    <cfRule type="expression" dxfId="10653" priority="199">
      <formula>C$9&gt;=20/24</formula>
    </cfRule>
    <cfRule type="expression" dxfId="10652" priority="200">
      <formula>AND(C$9&gt;=14/24,C$9&lt;20/24)</formula>
    </cfRule>
    <cfRule type="expression" dxfId="10651" priority="201">
      <formula>AND(C$9&gt;=8/24,C$9&lt;14/24)</formula>
    </cfRule>
    <cfRule type="expression" dxfId="10650" priority="202">
      <formula>C$9&lt;8/24</formula>
    </cfRule>
  </conditionalFormatting>
  <conditionalFormatting sqref="C91:W95">
    <cfRule type="expression" dxfId="10649" priority="195">
      <formula>C$9&gt;=20/24</formula>
    </cfRule>
    <cfRule type="expression" dxfId="10648" priority="196">
      <formula>AND(C$9&gt;=14/24,C$9&lt;20/24)</formula>
    </cfRule>
    <cfRule type="expression" dxfId="10647" priority="197">
      <formula>AND(C$9&gt;=8/24,C$9&lt;14/24)</formula>
    </cfRule>
    <cfRule type="expression" dxfId="10646" priority="198">
      <formula>C$9&lt;8/24</formula>
    </cfRule>
  </conditionalFormatting>
  <conditionalFormatting sqref="C52:AF52">
    <cfRule type="expression" dxfId="10645" priority="191">
      <formula>C$9&gt;=20/24</formula>
    </cfRule>
    <cfRule type="expression" dxfId="10644" priority="192">
      <formula>AND(C$9&gt;=14/24,C$9&lt;20/24)</formula>
    </cfRule>
    <cfRule type="expression" dxfId="10643" priority="193">
      <formula>AND(C$9&gt;=8/24,C$9&lt;14/24)</formula>
    </cfRule>
    <cfRule type="expression" dxfId="10642" priority="194">
      <formula>C$9&lt;8/24</formula>
    </cfRule>
  </conditionalFormatting>
  <conditionalFormatting sqref="C52:AF52">
    <cfRule type="expression" dxfId="10641" priority="190">
      <formula>C52&gt;$AG52</formula>
    </cfRule>
  </conditionalFormatting>
  <conditionalFormatting sqref="B49:D51">
    <cfRule type="expression" dxfId="10640" priority="105">
      <formula>B$9&gt;=20/24</formula>
    </cfRule>
    <cfRule type="expression" dxfId="10639" priority="106">
      <formula>AND(B$9&gt;=14/24,B$9&lt;20/24)</formula>
    </cfRule>
    <cfRule type="expression" dxfId="10638" priority="107">
      <formula>AND(B$9&gt;=8/24,B$9&lt;14/24)</formula>
    </cfRule>
    <cfRule type="expression" dxfId="10637" priority="108">
      <formula>B$9&lt;8/24</formula>
    </cfRule>
  </conditionalFormatting>
  <conditionalFormatting sqref="C110">
    <cfRule type="expression" dxfId="10636" priority="182">
      <formula>C$9&gt;=20/24</formula>
    </cfRule>
    <cfRule type="expression" dxfId="10635" priority="183">
      <formula>AND(C$9&gt;=14/24,C$9&lt;20/24)</formula>
    </cfRule>
    <cfRule type="expression" dxfId="10634" priority="184">
      <formula>AND(C$9&gt;=8/24,C$9&lt;14/24)</formula>
    </cfRule>
    <cfRule type="expression" dxfId="10633" priority="185">
      <formula>C$9&lt;8/24</formula>
    </cfRule>
  </conditionalFormatting>
  <conditionalFormatting sqref="Y59:AF62 Y64:AF64">
    <cfRule type="expression" dxfId="10632" priority="178">
      <formula>Y$9&gt;=20/24</formula>
    </cfRule>
    <cfRule type="expression" dxfId="10631" priority="179">
      <formula>AND(Y$9&gt;=14/24,Y$9&lt;20/24)</formula>
    </cfRule>
    <cfRule type="expression" dxfId="10630" priority="180">
      <formula>AND(Y$9&gt;=8/24,Y$9&lt;14/24)</formula>
    </cfRule>
    <cfRule type="expression" dxfId="10629" priority="181">
      <formula>Y$9&lt;8/24</formula>
    </cfRule>
  </conditionalFormatting>
  <conditionalFormatting sqref="Y59:AF62 Y64:AF64">
    <cfRule type="expression" dxfId="10628" priority="177">
      <formula>Y59&gt;$AG59</formula>
    </cfRule>
  </conditionalFormatting>
  <conditionalFormatting sqref="Y45:AF45 Y13:AF15">
    <cfRule type="expression" dxfId="10627" priority="176">
      <formula>Y13&gt;$AG13</formula>
    </cfRule>
  </conditionalFormatting>
  <conditionalFormatting sqref="Y12:AF12">
    <cfRule type="expression" dxfId="10626" priority="172">
      <formula>Y$9&gt;=20/24</formula>
    </cfRule>
    <cfRule type="expression" dxfId="10625" priority="173">
      <formula>AND(Y$9&gt;=14/24,Y$9&lt;20/24)</formula>
    </cfRule>
    <cfRule type="expression" dxfId="10624" priority="174">
      <formula>AND(Y$9&gt;=8/24,Y$9&lt;14/24)</formula>
    </cfRule>
    <cfRule type="expression" dxfId="10623" priority="175">
      <formula>Y$9&lt;8/24</formula>
    </cfRule>
  </conditionalFormatting>
  <conditionalFormatting sqref="Y12:AF12">
    <cfRule type="expression" dxfId="10622" priority="171">
      <formula>Y12&gt;$AG12</formula>
    </cfRule>
  </conditionalFormatting>
  <conditionalFormatting sqref="Y13:AF15">
    <cfRule type="expression" dxfId="10621" priority="167">
      <formula>Y$9&gt;=20/24</formula>
    </cfRule>
    <cfRule type="expression" dxfId="10620" priority="168">
      <formula>AND(Y$9&gt;=14/24,Y$9&lt;20/24)</formula>
    </cfRule>
    <cfRule type="expression" dxfId="10619" priority="169">
      <formula>AND(Y$9&gt;=8/24,Y$9&lt;14/24)</formula>
    </cfRule>
    <cfRule type="expression" dxfId="10618" priority="170">
      <formula>Y$9&lt;8/24</formula>
    </cfRule>
  </conditionalFormatting>
  <conditionalFormatting sqref="Y45:AF45">
    <cfRule type="expression" dxfId="10617" priority="163">
      <formula>Y$9&gt;=20/24</formula>
    </cfRule>
    <cfRule type="expression" dxfId="10616" priority="164">
      <formula>AND(Y$9&gt;=14/24,Y$9&lt;20/24)</formula>
    </cfRule>
    <cfRule type="expression" dxfId="10615" priority="165">
      <formula>AND(Y$9&gt;=8/24,Y$9&lt;14/24)</formula>
    </cfRule>
    <cfRule type="expression" dxfId="10614" priority="166">
      <formula>Y$9&lt;8/24</formula>
    </cfRule>
  </conditionalFormatting>
  <conditionalFormatting sqref="M77:AF81">
    <cfRule type="expression" dxfId="10613" priority="159">
      <formula>M$9&gt;=20/24</formula>
    </cfRule>
    <cfRule type="expression" dxfId="10612" priority="160">
      <formula>AND(M$9&gt;=14/24,M$9&lt;20/24)</formula>
    </cfRule>
    <cfRule type="expression" dxfId="10611" priority="161">
      <formula>AND(M$9&gt;=8/24,M$9&lt;14/24)</formula>
    </cfRule>
    <cfRule type="expression" dxfId="10610" priority="162">
      <formula>M$9&lt;8/24</formula>
    </cfRule>
  </conditionalFormatting>
  <conditionalFormatting sqref="AL78:AN78 AL84:AN84 AN79:AN80">
    <cfRule type="expression" dxfId="10609" priority="155">
      <formula>AL$9&gt;=20/24</formula>
    </cfRule>
    <cfRule type="expression" dxfId="10608" priority="156">
      <formula>AND(AL$9&gt;=14/24,AL$9&lt;20/24)</formula>
    </cfRule>
    <cfRule type="expression" dxfId="10607" priority="157">
      <formula>AND(AL$9&gt;=8/24,AL$9&lt;14/24)</formula>
    </cfRule>
    <cfRule type="expression" dxfId="10606" priority="158">
      <formula>AL$9&lt;8/24</formula>
    </cfRule>
  </conditionalFormatting>
  <conditionalFormatting sqref="AN81:AN82">
    <cfRule type="expression" dxfId="10605" priority="151">
      <formula>AN$9&gt;=20/24</formula>
    </cfRule>
    <cfRule type="expression" dxfId="10604" priority="152">
      <formula>AND(AN$9&gt;=14/24,AN$9&lt;20/24)</formula>
    </cfRule>
    <cfRule type="expression" dxfId="10603" priority="153">
      <formula>AND(AN$9&gt;=8/24,AN$9&lt;14/24)</formula>
    </cfRule>
    <cfRule type="expression" dxfId="10602" priority="154">
      <formula>AN$9&lt;8/24</formula>
    </cfRule>
  </conditionalFormatting>
  <conditionalFormatting sqref="AL79:AM83">
    <cfRule type="expression" dxfId="10601" priority="373">
      <formula>AJ$9&gt;=20/24</formula>
    </cfRule>
    <cfRule type="expression" dxfId="10600" priority="374">
      <formula>AND(AJ$9&gt;=14/24,AJ$9&lt;20/24)</formula>
    </cfRule>
    <cfRule type="expression" dxfId="10599" priority="375">
      <formula>AND(AJ$9&gt;=8/24,AJ$9&lt;14/24)</formula>
    </cfRule>
    <cfRule type="expression" dxfId="10598" priority="376">
      <formula>AJ$9&lt;8/24</formula>
    </cfRule>
  </conditionalFormatting>
  <conditionalFormatting sqref="A117">
    <cfRule type="expression" dxfId="10597" priority="150">
      <formula>$AH117=0</formula>
    </cfRule>
  </conditionalFormatting>
  <conditionalFormatting sqref="B109 B111:B116 B12:X15 B17:X23 B34:X43 B45:X45 B25:X32 B24:AF24">
    <cfRule type="expression" dxfId="10596" priority="146">
      <formula>B$9&gt;=20/24</formula>
    </cfRule>
    <cfRule type="expression" dxfId="10595" priority="147">
      <formula>AND(B$9&gt;=14/24,B$9&lt;20/24)</formula>
    </cfRule>
    <cfRule type="expression" dxfId="10594" priority="148">
      <formula>AND(B$9&gt;=8/24,B$9&lt;14/24)</formula>
    </cfRule>
    <cfRule type="expression" dxfId="10593" priority="149">
      <formula>B$9&lt;8/24</formula>
    </cfRule>
  </conditionalFormatting>
  <conditionalFormatting sqref="B12:X15 B17:X23 B34:X43 B45:X45 B25:X32 B24:AF24">
    <cfRule type="expression" dxfId="10592" priority="145">
      <formula>B12&gt;$AG12</formula>
    </cfRule>
  </conditionalFormatting>
  <conditionalFormatting sqref="B99">
    <cfRule type="expression" dxfId="10591" priority="141">
      <formula>B$9&gt;=20/24</formula>
    </cfRule>
    <cfRule type="expression" dxfId="10590" priority="142">
      <formula>AND(B$9&gt;=14/24,B$9&lt;20/24)</formula>
    </cfRule>
    <cfRule type="expression" dxfId="10589" priority="143">
      <formula>AND(B$9&gt;=8/24,B$9&lt;14/24)</formula>
    </cfRule>
    <cfRule type="expression" dxfId="10588" priority="144">
      <formula>B$9&lt;8/24</formula>
    </cfRule>
  </conditionalFormatting>
  <conditionalFormatting sqref="B53:D53">
    <cfRule type="expression" dxfId="10587" priority="133">
      <formula>B$9&gt;=20/24</formula>
    </cfRule>
    <cfRule type="expression" dxfId="10586" priority="134">
      <formula>AND(B$9&gt;=14/24,B$9&lt;20/24)</formula>
    </cfRule>
    <cfRule type="expression" dxfId="10585" priority="135">
      <formula>AND(B$9&gt;=8/24,B$9&lt;14/24)</formula>
    </cfRule>
    <cfRule type="expression" dxfId="10584" priority="136">
      <formula>B$9&lt;8/24</formula>
    </cfRule>
  </conditionalFormatting>
  <conditionalFormatting sqref="B53:D57">
    <cfRule type="expression" dxfId="10583" priority="132">
      <formula>B53&gt;$AG53</formula>
    </cfRule>
  </conditionalFormatting>
  <conditionalFormatting sqref="B96 B100:B106 B86 B47 B67:D69 B72:D74">
    <cfRule type="expression" dxfId="10582" priority="128">
      <formula>B$9&gt;=20/24</formula>
    </cfRule>
    <cfRule type="expression" dxfId="10581" priority="129">
      <formula>AND(B$9&gt;=14/24,B$9&lt;20/24)</formula>
    </cfRule>
    <cfRule type="expression" dxfId="10580" priority="130">
      <formula>AND(B$9&gt;=8/24,B$9&lt;14/24)</formula>
    </cfRule>
    <cfRule type="expression" dxfId="10579" priority="131">
      <formula>B$9&lt;8/24</formula>
    </cfRule>
  </conditionalFormatting>
  <conditionalFormatting sqref="B47 B67:D69">
    <cfRule type="expression" dxfId="10578" priority="127">
      <formula>B47&gt;$AG47</formula>
    </cfRule>
  </conditionalFormatting>
  <conditionalFormatting sqref="B97 B88:C88">
    <cfRule type="expression" dxfId="10577" priority="123">
      <formula>B$9&gt;=20/24</formula>
    </cfRule>
    <cfRule type="expression" dxfId="10576" priority="124">
      <formula>AND(B$9&gt;=14/24,B$9&lt;20/24)</formula>
    </cfRule>
    <cfRule type="expression" dxfId="10575" priority="125">
      <formula>AND(B$9&gt;=8/24,B$9&lt;14/24)</formula>
    </cfRule>
    <cfRule type="expression" dxfId="10574" priority="126">
      <formula>B$9&lt;8/24</formula>
    </cfRule>
  </conditionalFormatting>
  <conditionalFormatting sqref="B46:O46">
    <cfRule type="expression" dxfId="10573" priority="119">
      <formula>B$9&gt;=20/24</formula>
    </cfRule>
    <cfRule type="expression" dxfId="10572" priority="120">
      <formula>AND(B$9&gt;=14/24,B$9&lt;20/24)</formula>
    </cfRule>
    <cfRule type="expression" dxfId="10571" priority="121">
      <formula>AND(B$9&gt;=8/24,B$9&lt;14/24)</formula>
    </cfRule>
    <cfRule type="expression" dxfId="10570" priority="122">
      <formula>B$9&lt;8/24</formula>
    </cfRule>
  </conditionalFormatting>
  <conditionalFormatting sqref="B46:O46">
    <cfRule type="expression" dxfId="10569" priority="118">
      <formula>B46&gt;$AG46</formula>
    </cfRule>
  </conditionalFormatting>
  <conditionalFormatting sqref="B58:X58">
    <cfRule type="expression" dxfId="10568" priority="114">
      <formula>B$9&gt;=20/24</formula>
    </cfRule>
    <cfRule type="expression" dxfId="10567" priority="115">
      <formula>AND(B$9&gt;=14/24,B$9&lt;20/24)</formula>
    </cfRule>
    <cfRule type="expression" dxfId="10566" priority="116">
      <formula>AND(B$9&gt;=8/24,B$9&lt;14/24)</formula>
    </cfRule>
    <cfRule type="expression" dxfId="10565" priority="117">
      <formula>B$9&lt;8/24</formula>
    </cfRule>
  </conditionalFormatting>
  <conditionalFormatting sqref="B58:X58">
    <cfRule type="expression" dxfId="10564" priority="113">
      <formula>B58&gt;$AG58</formula>
    </cfRule>
  </conditionalFormatting>
  <conditionalFormatting sqref="B91:B95">
    <cfRule type="expression" dxfId="10563" priority="109">
      <formula>B$9&gt;=20/24</formula>
    </cfRule>
    <cfRule type="expression" dxfId="10562" priority="110">
      <formula>AND(B$9&gt;=14/24,B$9&lt;20/24)</formula>
    </cfRule>
    <cfRule type="expression" dxfId="10561" priority="111">
      <formula>AND(B$9&gt;=8/24,B$9&lt;14/24)</formula>
    </cfRule>
    <cfRule type="expression" dxfId="10560" priority="112">
      <formula>B$9&lt;8/24</formula>
    </cfRule>
  </conditionalFormatting>
  <conditionalFormatting sqref="B49:D51">
    <cfRule type="expression" dxfId="10559" priority="104">
      <formula>B49&gt;$AG49</formula>
    </cfRule>
  </conditionalFormatting>
  <conditionalFormatting sqref="B107">
    <cfRule type="expression" dxfId="10558" priority="100">
      <formula>B$9&gt;=20/24</formula>
    </cfRule>
    <cfRule type="expression" dxfId="10557" priority="101">
      <formula>AND(B$9&gt;=14/24,B$9&lt;20/24)</formula>
    </cfRule>
    <cfRule type="expression" dxfId="10556" priority="102">
      <formula>AND(B$9&gt;=8/24,B$9&lt;14/24)</formula>
    </cfRule>
    <cfRule type="expression" dxfId="10555" priority="103">
      <formula>B$9&lt;8/24</formula>
    </cfRule>
  </conditionalFormatting>
  <conditionalFormatting sqref="B110">
    <cfRule type="expression" dxfId="10554" priority="96">
      <formula>B$9&gt;=20/24</formula>
    </cfRule>
    <cfRule type="expression" dxfId="10553" priority="97">
      <formula>AND(B$9&gt;=14/24,B$9&lt;20/24)</formula>
    </cfRule>
    <cfRule type="expression" dxfId="10552" priority="98">
      <formula>AND(B$9&gt;=8/24,B$9&lt;14/24)</formula>
    </cfRule>
    <cfRule type="expression" dxfId="10551" priority="99">
      <formula>B$9&lt;8/24</formula>
    </cfRule>
  </conditionalFormatting>
  <conditionalFormatting sqref="B83:B85 B75:D75 B76:H76">
    <cfRule type="expression" dxfId="10550" priority="92">
      <formula>B$9&gt;=20/24</formula>
    </cfRule>
    <cfRule type="expression" dxfId="10549" priority="93">
      <formula>AND(B$9&gt;=14/24,B$9&lt;20/24)</formula>
    </cfRule>
    <cfRule type="expression" dxfId="10548" priority="94">
      <formula>AND(B$9&gt;=8/24,B$9&lt;14/24)</formula>
    </cfRule>
    <cfRule type="expression" dxfId="10547" priority="95">
      <formula>B$9&lt;8/24</formula>
    </cfRule>
  </conditionalFormatting>
  <conditionalFormatting sqref="B89 B98 B70 B87">
    <cfRule type="expression" dxfId="10546" priority="88">
      <formula>B$9&gt;=20/24</formula>
    </cfRule>
    <cfRule type="expression" dxfId="10545" priority="89">
      <formula>AND(B$9&gt;=14/24,B$9&lt;20/24)</formula>
    </cfRule>
    <cfRule type="expression" dxfId="10544" priority="90">
      <formula>AND(B$9&gt;=8/24,B$9&lt;14/24)</formula>
    </cfRule>
    <cfRule type="expression" dxfId="10543" priority="91">
      <formula>B$9&lt;8/24</formula>
    </cfRule>
  </conditionalFormatting>
  <conditionalFormatting sqref="B48 B65:B66 B70">
    <cfRule type="expression" dxfId="10542" priority="87">
      <formula>B48&gt;$AG48</formula>
    </cfRule>
  </conditionalFormatting>
  <conditionalFormatting sqref="B82">
    <cfRule type="expression" dxfId="10541" priority="83">
      <formula>B$9&gt;=20/24</formula>
    </cfRule>
    <cfRule type="expression" dxfId="10540" priority="84">
      <formula>AND(B$9&gt;=14/24,B$9&lt;20/24)</formula>
    </cfRule>
    <cfRule type="expression" dxfId="10539" priority="85">
      <formula>AND(B$9&gt;=8/24,B$9&lt;14/24)</formula>
    </cfRule>
    <cfRule type="expression" dxfId="10538" priority="86">
      <formula>B$9&lt;8/24</formula>
    </cfRule>
  </conditionalFormatting>
  <conditionalFormatting sqref="B52">
    <cfRule type="expression" dxfId="10537" priority="79">
      <formula>B$9&gt;=20/24</formula>
    </cfRule>
    <cfRule type="expression" dxfId="10536" priority="80">
      <formula>AND(B$9&gt;=14/24,B$9&lt;20/24)</formula>
    </cfRule>
    <cfRule type="expression" dxfId="10535" priority="81">
      <formula>AND(B$9&gt;=8/24,B$9&lt;14/24)</formula>
    </cfRule>
    <cfRule type="expression" dxfId="10534" priority="82">
      <formula>B$9&lt;8/24</formula>
    </cfRule>
  </conditionalFormatting>
  <conditionalFormatting sqref="B52">
    <cfRule type="expression" dxfId="10533" priority="78">
      <formula>B52&gt;$AG52</formula>
    </cfRule>
  </conditionalFormatting>
  <conditionalFormatting sqref="B59:X62 B64:X64 B63:AF63">
    <cfRule type="expression" dxfId="10532" priority="70">
      <formula>B$9&gt;=20/24</formula>
    </cfRule>
    <cfRule type="expression" dxfId="10531" priority="71">
      <formula>AND(B$9&gt;=14/24,B$9&lt;20/24)</formula>
    </cfRule>
    <cfRule type="expression" dxfId="10530" priority="72">
      <formula>AND(B$9&gt;=8/24,B$9&lt;14/24)</formula>
    </cfRule>
    <cfRule type="expression" dxfId="10529" priority="73">
      <formula>B$9&lt;8/24</formula>
    </cfRule>
  </conditionalFormatting>
  <conditionalFormatting sqref="B59:X62 B64:X64 B63:AF63">
    <cfRule type="expression" dxfId="10528" priority="69">
      <formula>B59&gt;$AG59</formula>
    </cfRule>
  </conditionalFormatting>
  <conditionalFormatting sqref="B77:L81">
    <cfRule type="expression" dxfId="10527" priority="65">
      <formula>B$9&gt;=20/24</formula>
    </cfRule>
    <cfRule type="expression" dxfId="10526" priority="66">
      <formula>AND(B$9&gt;=14/24,B$9&lt;20/24)</formula>
    </cfRule>
    <cfRule type="expression" dxfId="10525" priority="67">
      <formula>AND(B$9&gt;=8/24,B$9&lt;14/24)</formula>
    </cfRule>
    <cfRule type="expression" dxfId="10524" priority="68">
      <formula>B$9&lt;8/24</formula>
    </cfRule>
  </conditionalFormatting>
  <conditionalFormatting sqref="A11">
    <cfRule type="expression" dxfId="10523" priority="64">
      <formula>$AH11=0</formula>
    </cfRule>
  </conditionalFormatting>
  <conditionalFormatting sqref="Y11:AF11">
    <cfRule type="expression" dxfId="10522" priority="60">
      <formula>Y$9&gt;=20/24</formula>
    </cfRule>
    <cfRule type="expression" dxfId="10521" priority="61">
      <formula>AND(Y$9&gt;=14/24,Y$9&lt;20/24)</formula>
    </cfRule>
    <cfRule type="expression" dxfId="10520" priority="62">
      <formula>AND(Y$9&gt;=8/24,Y$9&lt;14/24)</formula>
    </cfRule>
    <cfRule type="expression" dxfId="10519" priority="63">
      <formula>Y$9&lt;8/24</formula>
    </cfRule>
  </conditionalFormatting>
  <conditionalFormatting sqref="Y11:AF11">
    <cfRule type="expression" dxfId="10518" priority="59">
      <formula>Y11&gt;$AG11</formula>
    </cfRule>
  </conditionalFormatting>
  <conditionalFormatting sqref="B11:X11">
    <cfRule type="expression" dxfId="10517" priority="55">
      <formula>B$9&gt;=20/24</formula>
    </cfRule>
    <cfRule type="expression" dxfId="10516" priority="56">
      <formula>AND(B$9&gt;=14/24,B$9&lt;20/24)</formula>
    </cfRule>
    <cfRule type="expression" dxfId="10515" priority="57">
      <formula>AND(B$9&gt;=8/24,B$9&lt;14/24)</formula>
    </cfRule>
    <cfRule type="expression" dxfId="10514" priority="58">
      <formula>B$9&lt;8/24</formula>
    </cfRule>
  </conditionalFormatting>
  <conditionalFormatting sqref="B11:X11">
    <cfRule type="expression" dxfId="10513" priority="54">
      <formula>B11&gt;$AG11</formula>
    </cfRule>
  </conditionalFormatting>
  <conditionalFormatting sqref="A16">
    <cfRule type="expression" dxfId="10512" priority="52">
      <formula>$AH16=0</formula>
    </cfRule>
  </conditionalFormatting>
  <conditionalFormatting sqref="AL16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Y16:AF16">
    <cfRule type="expression" dxfId="10511" priority="48">
      <formula>Y$9&gt;=20/24</formula>
    </cfRule>
    <cfRule type="expression" dxfId="10510" priority="49">
      <formula>AND(Y$9&gt;=14/24,Y$9&lt;20/24)</formula>
    </cfRule>
    <cfRule type="expression" dxfId="10509" priority="50">
      <formula>AND(Y$9&gt;=8/24,Y$9&lt;14/24)</formula>
    </cfRule>
    <cfRule type="expression" dxfId="10508" priority="51">
      <formula>Y$9&lt;8/24</formula>
    </cfRule>
  </conditionalFormatting>
  <conditionalFormatting sqref="Y16:AF16">
    <cfRule type="expression" dxfId="10507" priority="47">
      <formula>Y16&gt;$AG16</formula>
    </cfRule>
  </conditionalFormatting>
  <conditionalFormatting sqref="B16:X16">
    <cfRule type="expression" dxfId="10506" priority="43">
      <formula>B$9&gt;=20/24</formula>
    </cfRule>
    <cfRule type="expression" dxfId="10505" priority="44">
      <formula>AND(B$9&gt;=14/24,B$9&lt;20/24)</formula>
    </cfRule>
    <cfRule type="expression" dxfId="10504" priority="45">
      <formula>AND(B$9&gt;=8/24,B$9&lt;14/24)</formula>
    </cfRule>
    <cfRule type="expression" dxfId="10503" priority="46">
      <formula>B$9&lt;8/24</formula>
    </cfRule>
  </conditionalFormatting>
  <conditionalFormatting sqref="B16:X16">
    <cfRule type="expression" dxfId="10502" priority="42">
      <formula>B16&gt;$AG16</formula>
    </cfRule>
  </conditionalFormatting>
  <conditionalFormatting sqref="A33">
    <cfRule type="expression" dxfId="10501" priority="40">
      <formula>$AH33=0</formula>
    </cfRule>
  </conditionalFormatting>
  <conditionalFormatting sqref="AL33">
    <cfRule type="iconSet" priority="41">
      <iconSet iconSet="3TrafficLights2" reverse="1">
        <cfvo type="percent" val="0"/>
        <cfvo type="num" val="1"/>
        <cfvo type="num" val="1"/>
      </iconSet>
    </cfRule>
  </conditionalFormatting>
  <conditionalFormatting sqref="Y33:AF33">
    <cfRule type="expression" dxfId="10500" priority="36">
      <formula>Y$9&gt;=20/24</formula>
    </cfRule>
    <cfRule type="expression" dxfId="10499" priority="37">
      <formula>AND(Y$9&gt;=14/24,Y$9&lt;20/24)</formula>
    </cfRule>
    <cfRule type="expression" dxfId="10498" priority="38">
      <formula>AND(Y$9&gt;=8/24,Y$9&lt;14/24)</formula>
    </cfRule>
    <cfRule type="expression" dxfId="10497" priority="39">
      <formula>Y$9&lt;8/24</formula>
    </cfRule>
  </conditionalFormatting>
  <conditionalFormatting sqref="Y33:AF33">
    <cfRule type="expression" dxfId="10496" priority="35">
      <formula>Y33&gt;$AG33</formula>
    </cfRule>
  </conditionalFormatting>
  <conditionalFormatting sqref="B33:X33">
    <cfRule type="expression" dxfId="10495" priority="31">
      <formula>B$9&gt;=20/24</formula>
    </cfRule>
    <cfRule type="expression" dxfId="10494" priority="32">
      <formula>AND(B$9&gt;=14/24,B$9&lt;20/24)</formula>
    </cfRule>
    <cfRule type="expression" dxfId="10493" priority="33">
      <formula>AND(B$9&gt;=8/24,B$9&lt;14/24)</formula>
    </cfRule>
    <cfRule type="expression" dxfId="10492" priority="34">
      <formula>B$9&lt;8/24</formula>
    </cfRule>
  </conditionalFormatting>
  <conditionalFormatting sqref="B33:X33">
    <cfRule type="expression" dxfId="10491" priority="30">
      <formula>B33&gt;$AG33</formula>
    </cfRule>
  </conditionalFormatting>
  <conditionalFormatting sqref="A44">
    <cfRule type="expression" dxfId="10490" priority="28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Y44:AF44">
    <cfRule type="expression" dxfId="10489" priority="27">
      <formula>Y44&gt;$AG44</formula>
    </cfRule>
  </conditionalFormatting>
  <conditionalFormatting sqref="Y44:AF44">
    <cfRule type="expression" dxfId="10488" priority="23">
      <formula>Y$9&gt;=20/24</formula>
    </cfRule>
    <cfRule type="expression" dxfId="10487" priority="24">
      <formula>AND(Y$9&gt;=14/24,Y$9&lt;20/24)</formula>
    </cfRule>
    <cfRule type="expression" dxfId="10486" priority="25">
      <formula>AND(Y$9&gt;=8/24,Y$9&lt;14/24)</formula>
    </cfRule>
    <cfRule type="expression" dxfId="10485" priority="26">
      <formula>Y$9&lt;8/24</formula>
    </cfRule>
  </conditionalFormatting>
  <conditionalFormatting sqref="B44:X44">
    <cfRule type="expression" dxfId="10484" priority="19">
      <formula>B$9&gt;=20/24</formula>
    </cfRule>
    <cfRule type="expression" dxfId="10483" priority="20">
      <formula>AND(B$9&gt;=14/24,B$9&lt;20/24)</formula>
    </cfRule>
    <cfRule type="expression" dxfId="10482" priority="21">
      <formula>AND(B$9&gt;=8/24,B$9&lt;14/24)</formula>
    </cfRule>
    <cfRule type="expression" dxfId="10481" priority="22">
      <formula>B$9&lt;8/24</formula>
    </cfRule>
  </conditionalFormatting>
  <conditionalFormatting sqref="B44:X44">
    <cfRule type="expression" dxfId="10480" priority="18">
      <formula>B44&gt;$AG44</formula>
    </cfRule>
  </conditionalFormatting>
  <conditionalFormatting sqref="B117">
    <cfRule type="expression" dxfId="10479" priority="6">
      <formula>B$9&gt;=20/24</formula>
    </cfRule>
    <cfRule type="expression" dxfId="10478" priority="7">
      <formula>AND(B$9&gt;=14/24,B$9&lt;20/24)</formula>
    </cfRule>
    <cfRule type="expression" dxfId="10477" priority="8">
      <formula>AND(B$9&gt;=8/24,B$9&lt;14/24)</formula>
    </cfRule>
    <cfRule type="expression" dxfId="10476" priority="9">
      <formula>B$9&lt;8/24</formula>
    </cfRule>
  </conditionalFormatting>
  <conditionalFormatting sqref="D117:AF117">
    <cfRule type="expression" dxfId="10475" priority="14">
      <formula>D$9&gt;=20/24</formula>
    </cfRule>
    <cfRule type="expression" dxfId="10474" priority="15">
      <formula>AND(D$9&gt;=14/24,D$9&lt;20/24)</formula>
    </cfRule>
    <cfRule type="expression" dxfId="10473" priority="16">
      <formula>AND(D$9&gt;=8/24,D$9&lt;14/24)</formula>
    </cfRule>
    <cfRule type="expression" dxfId="10472" priority="17">
      <formula>D$9&lt;8/24</formula>
    </cfRule>
  </conditionalFormatting>
  <conditionalFormatting sqref="C117">
    <cfRule type="expression" dxfId="10471" priority="10">
      <formula>C$9&gt;=20/24</formula>
    </cfRule>
    <cfRule type="expression" dxfId="10470" priority="11">
      <formula>AND(C$9&gt;=14/24,C$9&lt;20/24)</formula>
    </cfRule>
    <cfRule type="expression" dxfId="10469" priority="12">
      <formula>AND(C$9&gt;=8/24,C$9&lt;14/24)</formula>
    </cfRule>
    <cfRule type="expression" dxfId="10468" priority="13">
      <formula>C$9&lt;8/24</formula>
    </cfRule>
  </conditionalFormatting>
  <conditionalFormatting sqref="M56:O57">
    <cfRule type="expression" dxfId="10467" priority="2">
      <formula>M$9&gt;=20/24</formula>
    </cfRule>
    <cfRule type="expression" dxfId="10466" priority="3">
      <formula>AND(M$9&gt;=14/24,M$9&lt;20/24)</formula>
    </cfRule>
    <cfRule type="expression" dxfId="10465" priority="4">
      <formula>AND(M$9&gt;=8/24,M$9&lt;14/24)</formula>
    </cfRule>
    <cfRule type="expression" dxfId="10464" priority="5">
      <formula>M$9&lt;8/24</formula>
    </cfRule>
  </conditionalFormatting>
  <conditionalFormatting sqref="M56:O57">
    <cfRule type="expression" dxfId="10463" priority="1">
      <formula>M56&gt;$AG56</formula>
    </cfRule>
  </conditionalFormatting>
  <conditionalFormatting sqref="N53:O55">
    <cfRule type="expression" dxfId="10462" priority="640">
      <formula>N53&gt;$AG49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6" id="{B281D0B7-0081-4043-9A3A-21112E23DE1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7" id="{EDDEFC2C-B5AB-4E5E-AF1D-E7DAE2F7878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8" id="{EAAF8435-15B9-4E4C-9CA4-FF43AFAAEC4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9" id="{E3A9F68A-B61E-49C2-97F2-A373E07BA68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74" id="{ED2C6CD2-4158-4971-8195-FFAEA3F5455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5" id="{E776FC28-A203-473A-A3F5-25665295E70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6" id="{099615C5-CE3F-4E58-8F88-1C1558D5E07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7" id="{43B28394-4961-43EB-B922-188AD8F1B46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83" activePane="bottomLeft" state="frozen"/>
      <selection activeCell="Z85" sqref="Z85"/>
      <selection pane="bottomLeft" activeCell="AH11" sqref="AH11:AI11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2079/12/5</v>
      </c>
      <c r="C4" s="196"/>
      <c r="D4" s="196"/>
      <c r="E4" s="197" t="str">
        <f ca="1">"2079/"&amp;"12/"&amp;INT(MID(CELL("filename",G6),FIND("]",CELL("filename",G6))+1,200))</f>
        <v>2079/12/5</v>
      </c>
      <c r="F4" s="197"/>
      <c r="G4" s="197"/>
      <c r="H4" s="197" t="str">
        <f ca="1">TEXT(E4,"dddd")</f>
        <v>Tuesday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365.2</v>
      </c>
      <c r="C5" s="33">
        <f t="shared" si="0"/>
        <v>365.09999999999997</v>
      </c>
      <c r="D5" s="33">
        <f t="shared" si="0"/>
        <v>288.2</v>
      </c>
      <c r="E5" s="33">
        <f t="shared" si="0"/>
        <v>317.89999999999998</v>
      </c>
      <c r="F5" s="33">
        <f t="shared" si="0"/>
        <v>298</v>
      </c>
      <c r="G5" s="33">
        <f t="shared" si="0"/>
        <v>279.5</v>
      </c>
      <c r="H5" s="33">
        <f t="shared" si="0"/>
        <v>310.5</v>
      </c>
      <c r="I5" s="33">
        <f t="shared" si="0"/>
        <v>343.98</v>
      </c>
      <c r="J5" s="33">
        <f t="shared" si="0"/>
        <v>379.8</v>
      </c>
      <c r="K5" s="33">
        <f t="shared" si="0"/>
        <v>445.7</v>
      </c>
      <c r="L5" s="33">
        <f t="shared" si="0"/>
        <v>461.7</v>
      </c>
      <c r="M5" s="33">
        <f t="shared" si="0"/>
        <v>511.20000000000005</v>
      </c>
      <c r="N5" s="33">
        <f t="shared" si="0"/>
        <v>538</v>
      </c>
      <c r="O5" s="33">
        <f t="shared" si="0"/>
        <v>548.9</v>
      </c>
      <c r="P5" s="33">
        <f t="shared" si="0"/>
        <v>513.9</v>
      </c>
      <c r="Q5" s="33">
        <f t="shared" si="0"/>
        <v>471.5</v>
      </c>
      <c r="R5" s="33">
        <f t="shared" si="0"/>
        <v>465.5</v>
      </c>
      <c r="S5" s="33">
        <f t="shared" si="0"/>
        <v>502.40000000000003</v>
      </c>
      <c r="T5" s="33">
        <f t="shared" si="0"/>
        <v>499.5</v>
      </c>
      <c r="U5" s="33">
        <f t="shared" si="0"/>
        <v>451</v>
      </c>
      <c r="V5" s="33">
        <f t="shared" si="0"/>
        <v>526.79999999999995</v>
      </c>
      <c r="W5" s="33">
        <f t="shared" si="0"/>
        <v>525.40000000000009</v>
      </c>
      <c r="X5" s="33">
        <f t="shared" si="0"/>
        <v>524.09999999999991</v>
      </c>
      <c r="Y5" s="33">
        <f t="shared" si="0"/>
        <v>522.4</v>
      </c>
      <c r="Z5" s="33">
        <f t="shared" si="0"/>
        <v>517.6</v>
      </c>
      <c r="AA5" s="33">
        <f t="shared" si="0"/>
        <v>516</v>
      </c>
      <c r="AB5" s="33">
        <f t="shared" si="0"/>
        <v>491.5</v>
      </c>
      <c r="AC5" s="33">
        <f t="shared" si="0"/>
        <v>532.6</v>
      </c>
      <c r="AD5" s="33">
        <f t="shared" si="0"/>
        <v>487.6</v>
      </c>
      <c r="AE5" s="33">
        <f t="shared" si="0"/>
        <v>456</v>
      </c>
      <c r="AF5" s="33">
        <f>B82</f>
        <v>429.6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1255MW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Load=772</v>
      </c>
      <c r="B7" s="38">
        <f t="shared" ref="B7:AF7" si="1">B89</f>
        <v>933.1400000000001</v>
      </c>
      <c r="C7" s="38">
        <f t="shared" si="1"/>
        <v>873.74</v>
      </c>
      <c r="D7" s="38">
        <f t="shared" si="1"/>
        <v>873.64</v>
      </c>
      <c r="E7" s="38">
        <f t="shared" si="1"/>
        <v>771.64</v>
      </c>
      <c r="F7" s="38">
        <f t="shared" si="1"/>
        <v>782.83999999999992</v>
      </c>
      <c r="G7" s="38">
        <f t="shared" si="1"/>
        <v>788.04</v>
      </c>
      <c r="H7" s="38">
        <f t="shared" si="1"/>
        <v>865.54</v>
      </c>
      <c r="I7" s="38">
        <f t="shared" si="1"/>
        <v>927.14</v>
      </c>
      <c r="J7" s="38">
        <f t="shared" si="1"/>
        <v>1028.92</v>
      </c>
      <c r="K7" s="38">
        <f t="shared" si="1"/>
        <v>1091.24</v>
      </c>
      <c r="L7" s="38">
        <f t="shared" si="1"/>
        <v>1254.54</v>
      </c>
      <c r="M7" s="38">
        <f t="shared" si="1"/>
        <v>1220.24</v>
      </c>
      <c r="N7" s="38">
        <f>N89</f>
        <v>1216.8400000000001</v>
      </c>
      <c r="O7" s="38">
        <f t="shared" si="1"/>
        <v>1245.54</v>
      </c>
      <c r="P7" s="38">
        <f t="shared" si="1"/>
        <v>1281.8399999999999</v>
      </c>
      <c r="Q7" s="38">
        <f t="shared" si="1"/>
        <v>1233.7399999999998</v>
      </c>
      <c r="R7" s="38">
        <f t="shared" si="1"/>
        <v>1158.44</v>
      </c>
      <c r="S7" s="38">
        <f t="shared" si="1"/>
        <v>1201.3399999999999</v>
      </c>
      <c r="T7" s="38">
        <f t="shared" si="1"/>
        <v>1245.3400000000001</v>
      </c>
      <c r="U7" s="38">
        <f t="shared" si="1"/>
        <v>1248.44</v>
      </c>
      <c r="V7" s="38">
        <f t="shared" si="1"/>
        <v>1207.54</v>
      </c>
      <c r="W7" s="38">
        <f t="shared" si="1"/>
        <v>1300.6399999999999</v>
      </c>
      <c r="X7" s="38">
        <f t="shared" si="1"/>
        <v>1377.44</v>
      </c>
      <c r="Y7" s="38">
        <f t="shared" si="1"/>
        <v>1529.84</v>
      </c>
      <c r="Z7" s="38">
        <f t="shared" si="1"/>
        <v>1507.7399999999998</v>
      </c>
      <c r="AA7" s="38">
        <f t="shared" si="1"/>
        <v>1441.04</v>
      </c>
      <c r="AB7" s="38">
        <f t="shared" si="1"/>
        <v>1389.84</v>
      </c>
      <c r="AC7" s="38">
        <f t="shared" si="1"/>
        <v>1336.24</v>
      </c>
      <c r="AD7" s="38">
        <f t="shared" si="1"/>
        <v>1192.3400000000001</v>
      </c>
      <c r="AE7" s="38">
        <f t="shared" si="1"/>
        <v>1014.0400000000001</v>
      </c>
      <c r="AF7" s="38">
        <f t="shared" si="1"/>
        <v>979.44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24</v>
      </c>
      <c r="C11" s="50">
        <v>24</v>
      </c>
      <c r="D11" s="50">
        <v>24</v>
      </c>
      <c r="E11" s="50">
        <v>33</v>
      </c>
      <c r="F11" s="50">
        <v>33</v>
      </c>
      <c r="G11" s="50">
        <v>33</v>
      </c>
      <c r="H11" s="50">
        <v>33</v>
      </c>
      <c r="I11" s="50">
        <v>33</v>
      </c>
      <c r="J11" s="50">
        <v>33</v>
      </c>
      <c r="K11" s="50">
        <v>33</v>
      </c>
      <c r="L11" s="50">
        <v>33</v>
      </c>
      <c r="M11" s="50">
        <v>33</v>
      </c>
      <c r="N11" s="50">
        <v>33</v>
      </c>
      <c r="O11" s="50">
        <v>33</v>
      </c>
      <c r="P11" s="50">
        <v>26</v>
      </c>
      <c r="Q11" s="50">
        <v>26</v>
      </c>
      <c r="R11" s="50">
        <v>26</v>
      </c>
      <c r="S11" s="50">
        <v>26</v>
      </c>
      <c r="T11" s="50">
        <v>26</v>
      </c>
      <c r="U11" s="50">
        <v>26</v>
      </c>
      <c r="V11" s="50">
        <v>26</v>
      </c>
      <c r="W11" s="50">
        <v>26</v>
      </c>
      <c r="X11" s="50">
        <v>26</v>
      </c>
      <c r="Y11" s="50">
        <v>26</v>
      </c>
      <c r="Z11" s="50">
        <v>26</v>
      </c>
      <c r="AA11" s="50">
        <v>26</v>
      </c>
      <c r="AB11" s="50">
        <v>26</v>
      </c>
      <c r="AC11" s="50">
        <v>26</v>
      </c>
      <c r="AD11" s="50">
        <v>26</v>
      </c>
      <c r="AE11" s="50">
        <v>26</v>
      </c>
      <c r="AF11" s="50">
        <v>26</v>
      </c>
      <c r="AG11" s="51">
        <v>86</v>
      </c>
      <c r="AH11" s="52">
        <f t="shared" ref="AH11:AH74" si="2">MAX(B11:AF11)</f>
        <v>33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15</v>
      </c>
      <c r="C12" s="50">
        <v>15</v>
      </c>
      <c r="D12" s="50">
        <v>15</v>
      </c>
      <c r="E12" s="50">
        <v>15</v>
      </c>
      <c r="F12" s="50">
        <v>15</v>
      </c>
      <c r="G12" s="50">
        <v>15</v>
      </c>
      <c r="H12" s="50">
        <v>15</v>
      </c>
      <c r="I12" s="50">
        <v>15</v>
      </c>
      <c r="J12" s="50">
        <v>15</v>
      </c>
      <c r="K12" s="50">
        <v>15</v>
      </c>
      <c r="L12" s="50">
        <v>15</v>
      </c>
      <c r="M12" s="50">
        <v>15</v>
      </c>
      <c r="N12" s="50">
        <v>14.2</v>
      </c>
      <c r="O12" s="50">
        <v>14.2</v>
      </c>
      <c r="P12" s="50">
        <v>14.9</v>
      </c>
      <c r="Q12" s="50">
        <v>16.5</v>
      </c>
      <c r="R12" s="50">
        <v>16.5</v>
      </c>
      <c r="S12" s="50">
        <v>14.4</v>
      </c>
      <c r="T12" s="50">
        <v>14.4</v>
      </c>
      <c r="U12" s="50">
        <v>14.4</v>
      </c>
      <c r="V12" s="50">
        <v>14.4</v>
      </c>
      <c r="W12" s="50">
        <v>14.4</v>
      </c>
      <c r="X12" s="50">
        <v>14.4</v>
      </c>
      <c r="Y12" s="50">
        <v>14.4</v>
      </c>
      <c r="Z12" s="50">
        <v>14.4</v>
      </c>
      <c r="AA12" s="50">
        <v>14.4</v>
      </c>
      <c r="AB12" s="50">
        <v>14.4</v>
      </c>
      <c r="AC12" s="50">
        <v>14.4</v>
      </c>
      <c r="AD12" s="50">
        <v>14.4</v>
      </c>
      <c r="AE12" s="50">
        <v>14.4</v>
      </c>
      <c r="AF12" s="50">
        <v>14.4</v>
      </c>
      <c r="AG12" s="51">
        <v>52.4</v>
      </c>
      <c r="AH12" s="52">
        <f t="shared" si="2"/>
        <v>16.5</v>
      </c>
      <c r="AI12" s="53">
        <f t="shared" si="3"/>
        <v>14.2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28.9</v>
      </c>
      <c r="C13" s="50">
        <v>28.9</v>
      </c>
      <c r="D13" s="50">
        <v>28.9</v>
      </c>
      <c r="E13" s="50">
        <v>28.9</v>
      </c>
      <c r="F13" s="50">
        <v>28.9</v>
      </c>
      <c r="G13" s="50">
        <v>29</v>
      </c>
      <c r="H13" s="50">
        <v>29</v>
      </c>
      <c r="I13" s="50">
        <v>29</v>
      </c>
      <c r="J13" s="50">
        <v>29</v>
      </c>
      <c r="K13" s="50">
        <v>29</v>
      </c>
      <c r="L13" s="50">
        <v>29</v>
      </c>
      <c r="M13" s="50">
        <v>29</v>
      </c>
      <c r="N13" s="50">
        <v>28</v>
      </c>
      <c r="O13" s="50">
        <v>28</v>
      </c>
      <c r="P13" s="50">
        <v>28</v>
      </c>
      <c r="Q13" s="50">
        <v>27.9</v>
      </c>
      <c r="R13" s="50">
        <v>27.9</v>
      </c>
      <c r="S13" s="50">
        <v>27.9</v>
      </c>
      <c r="T13" s="50">
        <v>27.9</v>
      </c>
      <c r="U13" s="50">
        <v>27.9</v>
      </c>
      <c r="V13" s="50">
        <v>27.9</v>
      </c>
      <c r="W13" s="50">
        <v>27.9</v>
      </c>
      <c r="X13" s="50">
        <v>27.9</v>
      </c>
      <c r="Y13" s="50">
        <v>27.9</v>
      </c>
      <c r="Z13" s="50">
        <v>27.5</v>
      </c>
      <c r="AA13" s="50">
        <v>27.5</v>
      </c>
      <c r="AB13" s="50">
        <v>27.5</v>
      </c>
      <c r="AC13" s="50">
        <v>27.5</v>
      </c>
      <c r="AD13" s="50">
        <v>27.5</v>
      </c>
      <c r="AE13" s="50">
        <v>27.5</v>
      </c>
      <c r="AF13" s="50">
        <v>27.5</v>
      </c>
      <c r="AG13" s="55">
        <v>50</v>
      </c>
      <c r="AH13" s="52">
        <f t="shared" si="2"/>
        <v>29</v>
      </c>
      <c r="AI13" s="53">
        <f t="shared" si="3"/>
        <v>27.5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16.5</v>
      </c>
      <c r="C14" s="50">
        <v>16.5</v>
      </c>
      <c r="D14" s="50">
        <v>16.5</v>
      </c>
      <c r="E14" s="50">
        <v>16.5</v>
      </c>
      <c r="F14" s="50">
        <v>16.5</v>
      </c>
      <c r="G14" s="50">
        <v>16.5</v>
      </c>
      <c r="H14" s="50">
        <v>16.5</v>
      </c>
      <c r="I14" s="50">
        <v>16.5</v>
      </c>
      <c r="J14" s="50">
        <v>16.5</v>
      </c>
      <c r="K14" s="50">
        <v>16.5</v>
      </c>
      <c r="L14" s="50">
        <v>16.5</v>
      </c>
      <c r="M14" s="50">
        <v>16.5</v>
      </c>
      <c r="N14" s="50">
        <v>14.8</v>
      </c>
      <c r="O14" s="50">
        <v>14.8</v>
      </c>
      <c r="P14" s="50">
        <v>14.4</v>
      </c>
      <c r="Q14" s="50">
        <v>14.4</v>
      </c>
      <c r="R14" s="50">
        <v>14.4</v>
      </c>
      <c r="S14" s="50">
        <v>14.4</v>
      </c>
      <c r="T14" s="50">
        <v>14.4</v>
      </c>
      <c r="U14" s="50">
        <v>14.4</v>
      </c>
      <c r="V14" s="50">
        <v>14.4</v>
      </c>
      <c r="W14" s="50">
        <v>14.4</v>
      </c>
      <c r="X14" s="50">
        <v>14.4</v>
      </c>
      <c r="Y14" s="50">
        <v>14.4</v>
      </c>
      <c r="Z14" s="50">
        <v>15.8</v>
      </c>
      <c r="AA14" s="50">
        <v>15.8</v>
      </c>
      <c r="AB14" s="50">
        <v>15.8</v>
      </c>
      <c r="AC14" s="50">
        <v>15.8</v>
      </c>
      <c r="AD14" s="50">
        <v>15.8</v>
      </c>
      <c r="AE14" s="50">
        <v>15.8</v>
      </c>
      <c r="AF14" s="50">
        <v>15.8</v>
      </c>
      <c r="AG14" s="55">
        <v>45</v>
      </c>
      <c r="AH14" s="52">
        <f t="shared" si="2"/>
        <v>16.5</v>
      </c>
      <c r="AI14" s="53">
        <f t="shared" si="3"/>
        <v>14.4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8</v>
      </c>
      <c r="C15" s="50">
        <v>8</v>
      </c>
      <c r="D15" s="50">
        <v>8</v>
      </c>
      <c r="E15" s="50">
        <v>8</v>
      </c>
      <c r="F15" s="50">
        <v>8</v>
      </c>
      <c r="G15" s="50">
        <v>8</v>
      </c>
      <c r="H15" s="50">
        <v>8</v>
      </c>
      <c r="I15" s="50">
        <v>8</v>
      </c>
      <c r="J15" s="50">
        <v>8</v>
      </c>
      <c r="K15" s="50">
        <v>8</v>
      </c>
      <c r="L15" s="50">
        <v>8</v>
      </c>
      <c r="M15" s="50">
        <v>8</v>
      </c>
      <c r="N15" s="50">
        <v>8</v>
      </c>
      <c r="O15" s="50">
        <v>8</v>
      </c>
      <c r="P15" s="50">
        <v>8</v>
      </c>
      <c r="Q15" s="50">
        <v>8</v>
      </c>
      <c r="R15" s="50">
        <v>8</v>
      </c>
      <c r="S15" s="50">
        <v>8</v>
      </c>
      <c r="T15" s="50">
        <v>8</v>
      </c>
      <c r="U15" s="50">
        <v>8</v>
      </c>
      <c r="V15" s="50">
        <v>8</v>
      </c>
      <c r="W15" s="50">
        <v>8</v>
      </c>
      <c r="X15" s="50">
        <v>8</v>
      </c>
      <c r="Y15" s="50">
        <v>8</v>
      </c>
      <c r="Z15" s="50">
        <v>8</v>
      </c>
      <c r="AA15" s="50">
        <v>8</v>
      </c>
      <c r="AB15" s="50">
        <v>8</v>
      </c>
      <c r="AC15" s="50">
        <v>8</v>
      </c>
      <c r="AD15" s="50">
        <v>8</v>
      </c>
      <c r="AE15" s="50">
        <v>8</v>
      </c>
      <c r="AF15" s="50">
        <v>8</v>
      </c>
      <c r="AG15" s="55">
        <v>42</v>
      </c>
      <c r="AH15" s="52">
        <f t="shared" si="2"/>
        <v>8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0</v>
      </c>
      <c r="P16" s="50">
        <v>0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0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7.5</v>
      </c>
      <c r="C18" s="50">
        <v>7.5</v>
      </c>
      <c r="D18" s="50">
        <v>7.5</v>
      </c>
      <c r="E18" s="50">
        <v>7.5</v>
      </c>
      <c r="F18" s="50">
        <v>7.5</v>
      </c>
      <c r="G18" s="50">
        <v>7.5</v>
      </c>
      <c r="H18" s="50">
        <v>7.5</v>
      </c>
      <c r="I18" s="50">
        <v>7.5</v>
      </c>
      <c r="J18" s="50">
        <v>7.5</v>
      </c>
      <c r="K18" s="50">
        <v>7.5</v>
      </c>
      <c r="L18" s="50">
        <v>7.5</v>
      </c>
      <c r="M18" s="50">
        <v>7.5</v>
      </c>
      <c r="N18" s="50">
        <v>7.5</v>
      </c>
      <c r="O18" s="50">
        <v>7.5</v>
      </c>
      <c r="P18" s="50">
        <v>7.2</v>
      </c>
      <c r="Q18" s="50">
        <v>7.2</v>
      </c>
      <c r="R18" s="50">
        <v>7.2</v>
      </c>
      <c r="S18" s="50">
        <v>7.2</v>
      </c>
      <c r="T18" s="50">
        <v>7.2</v>
      </c>
      <c r="U18" s="50">
        <v>7.2</v>
      </c>
      <c r="V18" s="50">
        <v>7.2</v>
      </c>
      <c r="W18" s="50">
        <v>7.2</v>
      </c>
      <c r="X18" s="50">
        <v>7.2</v>
      </c>
      <c r="Y18" s="50">
        <v>7.2</v>
      </c>
      <c r="Z18" s="50">
        <v>7.2</v>
      </c>
      <c r="AA18" s="50">
        <v>7.2</v>
      </c>
      <c r="AB18" s="50">
        <v>7.2</v>
      </c>
      <c r="AC18" s="50">
        <v>7.2</v>
      </c>
      <c r="AD18" s="50">
        <v>7.2</v>
      </c>
      <c r="AE18" s="50">
        <v>7.2</v>
      </c>
      <c r="AF18" s="50">
        <v>7.2</v>
      </c>
      <c r="AG18" s="56">
        <v>30</v>
      </c>
      <c r="AH18" s="52">
        <f t="shared" si="2"/>
        <v>7.5</v>
      </c>
      <c r="AI18" s="53">
        <f t="shared" si="3"/>
        <v>7.2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7.8</v>
      </c>
      <c r="Q19" s="50">
        <v>7.7</v>
      </c>
      <c r="R19" s="50">
        <v>7.7</v>
      </c>
      <c r="S19" s="50">
        <v>7.7</v>
      </c>
      <c r="T19" s="50">
        <v>7.7</v>
      </c>
      <c r="U19" s="50">
        <v>7.7</v>
      </c>
      <c r="V19" s="50">
        <v>7.7</v>
      </c>
      <c r="W19" s="50">
        <v>7.7</v>
      </c>
      <c r="X19" s="50">
        <v>7.7</v>
      </c>
      <c r="Y19" s="50">
        <v>7.7</v>
      </c>
      <c r="Z19" s="50">
        <v>6.5</v>
      </c>
      <c r="AA19" s="50">
        <v>6.5</v>
      </c>
      <c r="AB19" s="50">
        <v>6.5</v>
      </c>
      <c r="AC19" s="50">
        <v>6.5</v>
      </c>
      <c r="AD19" s="50">
        <v>6.5</v>
      </c>
      <c r="AE19" s="50">
        <v>6.5</v>
      </c>
      <c r="AF19" s="50">
        <v>6.5</v>
      </c>
      <c r="AG19" s="55">
        <v>24.2</v>
      </c>
      <c r="AH19" s="52">
        <f t="shared" si="2"/>
        <v>7.8</v>
      </c>
      <c r="AI19" s="53">
        <f t="shared" si="3"/>
        <v>6.5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9.3000000000000007</v>
      </c>
      <c r="C22" s="50">
        <v>9.3000000000000007</v>
      </c>
      <c r="D22" s="50">
        <v>9.3000000000000007</v>
      </c>
      <c r="E22" s="50">
        <v>9.3000000000000007</v>
      </c>
      <c r="F22" s="50">
        <v>9.3000000000000007</v>
      </c>
      <c r="G22" s="50">
        <v>9.3000000000000007</v>
      </c>
      <c r="H22" s="50">
        <v>9.3000000000000007</v>
      </c>
      <c r="I22" s="50">
        <v>9.3000000000000007</v>
      </c>
      <c r="J22" s="50">
        <v>9.3000000000000007</v>
      </c>
      <c r="K22" s="50">
        <v>9.3000000000000007</v>
      </c>
      <c r="L22" s="50">
        <v>9.3000000000000007</v>
      </c>
      <c r="M22" s="50">
        <v>9.3000000000000007</v>
      </c>
      <c r="N22" s="50">
        <v>9.3000000000000007</v>
      </c>
      <c r="O22" s="50">
        <v>9.3000000000000007</v>
      </c>
      <c r="P22" s="50">
        <v>7.9</v>
      </c>
      <c r="Q22" s="50">
        <v>7.9</v>
      </c>
      <c r="R22" s="50">
        <v>7.9</v>
      </c>
      <c r="S22" s="50">
        <v>7.9</v>
      </c>
      <c r="T22" s="50">
        <v>7.9</v>
      </c>
      <c r="U22" s="50">
        <v>7.9</v>
      </c>
      <c r="V22" s="50">
        <v>7.9</v>
      </c>
      <c r="W22" s="50">
        <v>7.9</v>
      </c>
      <c r="X22" s="50">
        <v>7.9</v>
      </c>
      <c r="Y22" s="50">
        <v>7.9</v>
      </c>
      <c r="Z22" s="50">
        <v>7.9</v>
      </c>
      <c r="AA22" s="50">
        <v>7.9</v>
      </c>
      <c r="AB22" s="50">
        <v>7.9</v>
      </c>
      <c r="AC22" s="50">
        <v>7.9</v>
      </c>
      <c r="AD22" s="50">
        <v>7.9</v>
      </c>
      <c r="AE22" s="50">
        <v>7.9</v>
      </c>
      <c r="AF22" s="50">
        <v>7.9</v>
      </c>
      <c r="AG22" s="55">
        <v>25</v>
      </c>
      <c r="AH22" s="52">
        <f t="shared" si="2"/>
        <v>9.3000000000000007</v>
      </c>
      <c r="AI22" s="53">
        <f t="shared" si="3"/>
        <v>7.9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0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7</v>
      </c>
      <c r="C26" s="50">
        <v>7</v>
      </c>
      <c r="D26" s="50">
        <v>7</v>
      </c>
      <c r="E26" s="50">
        <v>7</v>
      </c>
      <c r="F26" s="50">
        <v>7</v>
      </c>
      <c r="G26" s="50">
        <v>7</v>
      </c>
      <c r="H26" s="50">
        <v>7</v>
      </c>
      <c r="I26" s="50">
        <v>7</v>
      </c>
      <c r="J26" s="50">
        <v>7</v>
      </c>
      <c r="K26" s="50">
        <v>7</v>
      </c>
      <c r="L26" s="50">
        <v>7</v>
      </c>
      <c r="M26" s="50">
        <v>7</v>
      </c>
      <c r="N26" s="50">
        <v>7</v>
      </c>
      <c r="O26" s="50">
        <v>7</v>
      </c>
      <c r="P26" s="50">
        <v>6.7</v>
      </c>
      <c r="Q26" s="50">
        <v>6.7</v>
      </c>
      <c r="R26" s="50">
        <v>6.7</v>
      </c>
      <c r="S26" s="50">
        <v>6.7</v>
      </c>
      <c r="T26" s="50">
        <v>6.7</v>
      </c>
      <c r="U26" s="50">
        <v>6.7</v>
      </c>
      <c r="V26" s="50">
        <v>6.7</v>
      </c>
      <c r="W26" s="50">
        <v>6.7</v>
      </c>
      <c r="X26" s="50">
        <v>6.7</v>
      </c>
      <c r="Y26" s="50">
        <v>6.7</v>
      </c>
      <c r="Z26" s="50">
        <v>6.7</v>
      </c>
      <c r="AA26" s="50">
        <v>6.7</v>
      </c>
      <c r="AB26" s="50">
        <v>6.7</v>
      </c>
      <c r="AC26" s="50">
        <v>6.7</v>
      </c>
      <c r="AD26" s="50">
        <v>6.7</v>
      </c>
      <c r="AE26" s="50">
        <v>6.7</v>
      </c>
      <c r="AF26" s="50">
        <v>6.7</v>
      </c>
      <c r="AG26" s="55">
        <v>23.5</v>
      </c>
      <c r="AH26" s="52">
        <f t="shared" si="2"/>
        <v>7</v>
      </c>
      <c r="AI26" s="53">
        <f t="shared" si="3"/>
        <v>6.7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7</v>
      </c>
      <c r="C28" s="50">
        <v>7</v>
      </c>
      <c r="D28" s="50">
        <v>7</v>
      </c>
      <c r="E28" s="50">
        <v>7</v>
      </c>
      <c r="F28" s="50">
        <v>7</v>
      </c>
      <c r="G28" s="50">
        <v>7</v>
      </c>
      <c r="H28" s="50">
        <v>7</v>
      </c>
      <c r="I28" s="50">
        <v>7</v>
      </c>
      <c r="J28" s="50">
        <v>7</v>
      </c>
      <c r="K28" s="50">
        <v>7</v>
      </c>
      <c r="L28" s="50">
        <v>7</v>
      </c>
      <c r="M28" s="50">
        <v>7</v>
      </c>
      <c r="N28" s="50">
        <v>7</v>
      </c>
      <c r="O28" s="50">
        <v>7</v>
      </c>
      <c r="P28" s="50">
        <v>7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5">
        <v>22.1</v>
      </c>
      <c r="AH28" s="52">
        <f t="shared" si="2"/>
        <v>7</v>
      </c>
      <c r="AI28" s="53">
        <f t="shared" si="3"/>
        <v>0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0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55">
        <v>22</v>
      </c>
      <c r="AH29" s="52">
        <f t="shared" si="2"/>
        <v>8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5">
        <v>22</v>
      </c>
      <c r="AH30" s="52">
        <f t="shared" si="2"/>
        <v>10</v>
      </c>
      <c r="AI30" s="53">
        <f t="shared" si="3"/>
        <v>10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55">
        <v>13.6</v>
      </c>
      <c r="AH35" s="52">
        <f t="shared" si="2"/>
        <v>0</v>
      </c>
      <c r="AI35" s="53">
        <f t="shared" si="3"/>
        <v>0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4.8</v>
      </c>
      <c r="C38" s="50">
        <v>4.8</v>
      </c>
      <c r="D38" s="50">
        <v>4.8</v>
      </c>
      <c r="E38" s="50">
        <v>4.8</v>
      </c>
      <c r="F38" s="50">
        <v>4.8</v>
      </c>
      <c r="G38" s="50">
        <v>4.8</v>
      </c>
      <c r="H38" s="50">
        <v>4.8</v>
      </c>
      <c r="I38" s="50">
        <v>4.8</v>
      </c>
      <c r="J38" s="50">
        <v>4.8</v>
      </c>
      <c r="K38" s="50">
        <v>4.8</v>
      </c>
      <c r="L38" s="50">
        <v>4.8</v>
      </c>
      <c r="M38" s="50">
        <v>4.8</v>
      </c>
      <c r="N38" s="50">
        <v>4.8</v>
      </c>
      <c r="O38" s="50">
        <v>4.8</v>
      </c>
      <c r="P38" s="50">
        <v>4.8</v>
      </c>
      <c r="Q38" s="50">
        <v>4.8</v>
      </c>
      <c r="R38" s="50">
        <v>4.8</v>
      </c>
      <c r="S38" s="50">
        <v>4.8</v>
      </c>
      <c r="T38" s="50">
        <v>4.8</v>
      </c>
      <c r="U38" s="50">
        <v>4.8</v>
      </c>
      <c r="V38" s="50">
        <v>4.8</v>
      </c>
      <c r="W38" s="50">
        <v>4.8</v>
      </c>
      <c r="X38" s="50">
        <v>4.8</v>
      </c>
      <c r="Y38" s="50">
        <v>4.8</v>
      </c>
      <c r="Z38" s="50">
        <v>4.8</v>
      </c>
      <c r="AA38" s="50">
        <v>4.8</v>
      </c>
      <c r="AB38" s="50">
        <v>4.8</v>
      </c>
      <c r="AC38" s="50">
        <v>4.8</v>
      </c>
      <c r="AD38" s="50">
        <v>4.8</v>
      </c>
      <c r="AE38" s="50">
        <v>4.8</v>
      </c>
      <c r="AF38" s="50">
        <v>4.8</v>
      </c>
      <c r="AG38" s="55">
        <v>12</v>
      </c>
      <c r="AH38" s="52">
        <f t="shared" si="2"/>
        <v>4.8</v>
      </c>
      <c r="AI38" s="53">
        <f t="shared" si="3"/>
        <v>4.8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5.2</v>
      </c>
      <c r="C41" s="50">
        <v>5.2</v>
      </c>
      <c r="D41" s="50">
        <v>5.2</v>
      </c>
      <c r="E41" s="50">
        <v>5.2</v>
      </c>
      <c r="F41" s="50">
        <v>5.2</v>
      </c>
      <c r="G41" s="50">
        <v>5.2</v>
      </c>
      <c r="H41" s="50">
        <v>5.2</v>
      </c>
      <c r="I41" s="50">
        <v>5.2</v>
      </c>
      <c r="J41" s="50">
        <v>5.2</v>
      </c>
      <c r="K41" s="50">
        <v>5.2</v>
      </c>
      <c r="L41" s="50">
        <v>5.2</v>
      </c>
      <c r="M41" s="50">
        <v>5.2</v>
      </c>
      <c r="N41" s="50">
        <v>5.2</v>
      </c>
      <c r="O41" s="50">
        <v>5.2</v>
      </c>
      <c r="P41" s="50">
        <v>5.2</v>
      </c>
      <c r="Q41" s="50">
        <v>5.2</v>
      </c>
      <c r="R41" s="50">
        <v>5.2</v>
      </c>
      <c r="S41" s="50">
        <v>5.2</v>
      </c>
      <c r="T41" s="50">
        <v>5.2</v>
      </c>
      <c r="U41" s="50">
        <v>5.2</v>
      </c>
      <c r="V41" s="50">
        <v>5.2</v>
      </c>
      <c r="W41" s="50">
        <v>5.2</v>
      </c>
      <c r="X41" s="50">
        <v>5.2</v>
      </c>
      <c r="Y41" s="50">
        <v>5.2</v>
      </c>
      <c r="Z41" s="50">
        <v>5.2</v>
      </c>
      <c r="AA41" s="50">
        <v>5.2</v>
      </c>
      <c r="AB41" s="50">
        <v>5.2</v>
      </c>
      <c r="AC41" s="50">
        <v>5.2</v>
      </c>
      <c r="AD41" s="50">
        <v>5.2</v>
      </c>
      <c r="AE41" s="50">
        <v>5.2</v>
      </c>
      <c r="AF41" s="50">
        <v>5.2</v>
      </c>
      <c r="AG41" s="56">
        <v>11.88</v>
      </c>
      <c r="AH41" s="52">
        <f t="shared" si="2"/>
        <v>5.2</v>
      </c>
      <c r="AI41" s="53">
        <f t="shared" si="3"/>
        <v>5.2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3.5</v>
      </c>
      <c r="C44" s="50">
        <v>3.5</v>
      </c>
      <c r="D44" s="50">
        <v>3.5</v>
      </c>
      <c r="E44" s="50">
        <v>3.5</v>
      </c>
      <c r="F44" s="50">
        <v>3.5</v>
      </c>
      <c r="G44" s="50">
        <v>3.5</v>
      </c>
      <c r="H44" s="50">
        <v>3.5</v>
      </c>
      <c r="I44" s="50">
        <v>3.5</v>
      </c>
      <c r="J44" s="50">
        <v>3.5</v>
      </c>
      <c r="K44" s="50">
        <v>3.5</v>
      </c>
      <c r="L44" s="50">
        <v>3.5</v>
      </c>
      <c r="M44" s="50">
        <v>3.5</v>
      </c>
      <c r="N44" s="50">
        <v>3.5</v>
      </c>
      <c r="O44" s="50">
        <v>3.5</v>
      </c>
      <c r="P44" s="50">
        <v>3.5</v>
      </c>
      <c r="Q44" s="50">
        <v>3.5</v>
      </c>
      <c r="R44" s="50">
        <v>3.5</v>
      </c>
      <c r="S44" s="50">
        <v>3.5</v>
      </c>
      <c r="T44" s="50">
        <v>3.5</v>
      </c>
      <c r="U44" s="50">
        <v>3.5</v>
      </c>
      <c r="V44" s="50">
        <v>3.5</v>
      </c>
      <c r="W44" s="50">
        <v>3.5</v>
      </c>
      <c r="X44" s="50">
        <v>3.5</v>
      </c>
      <c r="Y44" s="50">
        <v>3.5</v>
      </c>
      <c r="Z44" s="50">
        <v>3.5</v>
      </c>
      <c r="AA44" s="50">
        <v>3.5</v>
      </c>
      <c r="AB44" s="50">
        <v>3.5</v>
      </c>
      <c r="AC44" s="50">
        <v>3.5</v>
      </c>
      <c r="AD44" s="50">
        <v>3.5</v>
      </c>
      <c r="AE44" s="50">
        <v>3.5</v>
      </c>
      <c r="AF44" s="50">
        <v>3.5</v>
      </c>
      <c r="AG44" s="61">
        <v>10</v>
      </c>
      <c r="AH44" s="52">
        <f t="shared" si="2"/>
        <v>3.5</v>
      </c>
      <c r="AI44" s="53">
        <f t="shared" si="3"/>
        <v>3.5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" si="4">SUM(B12:B46)</f>
        <v>354.6</v>
      </c>
      <c r="C48" s="67">
        <f t="shared" ref="C48:AG48" si="5">SUM(C12:C46)</f>
        <v>354.6</v>
      </c>
      <c r="D48" s="67">
        <f t="shared" si="5"/>
        <v>354.6</v>
      </c>
      <c r="E48" s="67">
        <f t="shared" si="5"/>
        <v>354.6</v>
      </c>
      <c r="F48" s="67">
        <f t="shared" si="5"/>
        <v>354.6</v>
      </c>
      <c r="G48" s="67">
        <f t="shared" si="5"/>
        <v>354.7</v>
      </c>
      <c r="H48" s="67">
        <f t="shared" si="5"/>
        <v>354.7</v>
      </c>
      <c r="I48" s="67">
        <f t="shared" si="5"/>
        <v>354.7</v>
      </c>
      <c r="J48" s="67">
        <f t="shared" si="5"/>
        <v>354.7</v>
      </c>
      <c r="K48" s="67">
        <f t="shared" si="5"/>
        <v>354.7</v>
      </c>
      <c r="L48" s="67">
        <f t="shared" si="5"/>
        <v>354.7</v>
      </c>
      <c r="M48" s="67">
        <f t="shared" si="5"/>
        <v>354.7</v>
      </c>
      <c r="N48" s="67">
        <f t="shared" ref="N48:O48" si="6">SUM(N12:N46)</f>
        <v>351.2</v>
      </c>
      <c r="O48" s="67">
        <f t="shared" si="6"/>
        <v>344.2</v>
      </c>
      <c r="P48" s="67">
        <f t="shared" si="5"/>
        <v>343.7</v>
      </c>
      <c r="Q48" s="67">
        <f t="shared" ref="Q48" si="7">SUM(Q12:Q46)</f>
        <v>330.6</v>
      </c>
      <c r="R48" s="67">
        <f t="shared" si="5"/>
        <v>345.1</v>
      </c>
      <c r="S48" s="67">
        <f t="shared" si="5"/>
        <v>343</v>
      </c>
      <c r="T48" s="67">
        <f t="shared" si="5"/>
        <v>343</v>
      </c>
      <c r="U48" s="67">
        <f t="shared" si="5"/>
        <v>343</v>
      </c>
      <c r="V48" s="67">
        <f t="shared" si="5"/>
        <v>343</v>
      </c>
      <c r="W48" s="67">
        <f t="shared" si="5"/>
        <v>343</v>
      </c>
      <c r="X48" s="67">
        <f t="shared" si="5"/>
        <v>343</v>
      </c>
      <c r="Y48" s="67">
        <f t="shared" si="5"/>
        <v>343</v>
      </c>
      <c r="Z48" s="67">
        <f t="shared" si="5"/>
        <v>342.8</v>
      </c>
      <c r="AA48" s="67">
        <f t="shared" si="5"/>
        <v>342.8</v>
      </c>
      <c r="AB48" s="67">
        <f t="shared" si="5"/>
        <v>342.8</v>
      </c>
      <c r="AC48" s="67">
        <f t="shared" si="5"/>
        <v>342.8</v>
      </c>
      <c r="AD48" s="67">
        <f t="shared" si="5"/>
        <v>342.8</v>
      </c>
      <c r="AE48" s="67">
        <f t="shared" si="5"/>
        <v>342.8</v>
      </c>
      <c r="AF48" s="67">
        <f t="shared" si="5"/>
        <v>342.8</v>
      </c>
      <c r="AG48" s="68">
        <f t="shared" si="5"/>
        <v>875.68</v>
      </c>
      <c r="AH48" s="52">
        <f t="shared" si="2"/>
        <v>354.7</v>
      </c>
      <c r="AI48" s="53">
        <f t="shared" si="3"/>
        <v>330.6</v>
      </c>
      <c r="AK48" s="54"/>
    </row>
    <row r="49" spans="1:41" x14ac:dyDescent="0.25">
      <c r="A49" s="69" t="s">
        <v>53</v>
      </c>
      <c r="B49" s="50">
        <v>40</v>
      </c>
      <c r="C49" s="50">
        <v>45</v>
      </c>
      <c r="D49" s="50">
        <v>45</v>
      </c>
      <c r="E49" s="50">
        <v>20</v>
      </c>
      <c r="F49" s="50">
        <v>0</v>
      </c>
      <c r="G49" s="50">
        <v>25</v>
      </c>
      <c r="H49" s="50">
        <v>50</v>
      </c>
      <c r="I49" s="50">
        <v>50</v>
      </c>
      <c r="J49" s="50">
        <v>65</v>
      </c>
      <c r="K49" s="50">
        <v>81</v>
      </c>
      <c r="L49" s="50">
        <v>81</v>
      </c>
      <c r="M49" s="50">
        <v>81</v>
      </c>
      <c r="N49" s="50">
        <v>80</v>
      </c>
      <c r="O49" s="50">
        <v>70</v>
      </c>
      <c r="P49" s="50">
        <v>80</v>
      </c>
      <c r="Q49" s="50">
        <v>80</v>
      </c>
      <c r="R49" s="50">
        <v>30</v>
      </c>
      <c r="S49" s="50">
        <v>50</v>
      </c>
      <c r="T49" s="50">
        <v>50</v>
      </c>
      <c r="U49" s="50">
        <v>50</v>
      </c>
      <c r="V49" s="50">
        <v>50</v>
      </c>
      <c r="W49" s="50">
        <v>50</v>
      </c>
      <c r="X49" s="50">
        <v>80</v>
      </c>
      <c r="Y49" s="50">
        <v>160</v>
      </c>
      <c r="Z49" s="50">
        <v>130</v>
      </c>
      <c r="AA49" s="50">
        <v>110</v>
      </c>
      <c r="AB49" s="50">
        <v>145</v>
      </c>
      <c r="AC49" s="50">
        <v>145</v>
      </c>
      <c r="AD49" s="50">
        <v>80</v>
      </c>
      <c r="AE49" s="50">
        <v>80</v>
      </c>
      <c r="AF49" s="50">
        <v>67</v>
      </c>
      <c r="AG49" s="56">
        <v>456</v>
      </c>
      <c r="AH49" s="52">
        <f t="shared" si="2"/>
        <v>160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11.3</v>
      </c>
      <c r="C51" s="74">
        <v>11.3</v>
      </c>
      <c r="D51" s="74">
        <v>11.3</v>
      </c>
      <c r="E51" s="74">
        <v>11.2</v>
      </c>
      <c r="F51" s="74">
        <v>11.2</v>
      </c>
      <c r="G51" s="74">
        <v>11.2</v>
      </c>
      <c r="H51" s="74">
        <v>11.2</v>
      </c>
      <c r="I51" s="74">
        <v>11.2</v>
      </c>
      <c r="J51" s="74">
        <v>11.2</v>
      </c>
      <c r="K51" s="74">
        <v>11.2</v>
      </c>
      <c r="L51" s="74">
        <v>11.2</v>
      </c>
      <c r="M51" s="74">
        <v>11.2</v>
      </c>
      <c r="N51" s="74">
        <v>11.2</v>
      </c>
      <c r="O51" s="74">
        <v>11.2</v>
      </c>
      <c r="P51" s="74">
        <v>10.199999999999999</v>
      </c>
      <c r="Q51" s="74">
        <v>10.199999999999999</v>
      </c>
      <c r="R51" s="74">
        <v>10.199999999999999</v>
      </c>
      <c r="S51" s="74">
        <v>9.1999999999999993</v>
      </c>
      <c r="T51" s="74">
        <v>9.1999999999999993</v>
      </c>
      <c r="U51" s="74">
        <v>9.1999999999999993</v>
      </c>
      <c r="V51" s="74">
        <v>9.1999999999999993</v>
      </c>
      <c r="W51" s="74">
        <v>9.1999999999999993</v>
      </c>
      <c r="X51" s="74">
        <v>9.1999999999999993</v>
      </c>
      <c r="Y51" s="74">
        <v>9.1999999999999993</v>
      </c>
      <c r="Z51" s="74">
        <v>9.1999999999999993</v>
      </c>
      <c r="AA51" s="74">
        <v>9.1999999999999993</v>
      </c>
      <c r="AB51" s="74">
        <v>9.1999999999999993</v>
      </c>
      <c r="AC51" s="74">
        <v>9.1999999999999993</v>
      </c>
      <c r="AD51" s="74">
        <v>9.1999999999999993</v>
      </c>
      <c r="AE51" s="74">
        <v>9.1999999999999993</v>
      </c>
      <c r="AF51" s="74">
        <v>9.1999999999999993</v>
      </c>
      <c r="AG51" s="75">
        <v>22.1</v>
      </c>
      <c r="AH51" s="52">
        <f t="shared" si="2"/>
        <v>11.3</v>
      </c>
      <c r="AI51" s="53">
        <f t="shared" si="3"/>
        <v>9.1999999999999993</v>
      </c>
      <c r="AK51" s="54"/>
    </row>
    <row r="52" spans="1:41" ht="15.75" thickBot="1" x14ac:dyDescent="0.3">
      <c r="A52" s="76" t="s">
        <v>56</v>
      </c>
      <c r="B52" s="67">
        <f t="shared" ref="B52" si="8">SUM(B49:B51)</f>
        <v>76.3</v>
      </c>
      <c r="C52" s="67">
        <f t="shared" ref="C52:AG52" si="9">SUM(C49:C51)</f>
        <v>81.3</v>
      </c>
      <c r="D52" s="67">
        <f t="shared" si="9"/>
        <v>81.3</v>
      </c>
      <c r="E52" s="67">
        <f t="shared" si="9"/>
        <v>56.2</v>
      </c>
      <c r="F52" s="67">
        <f t="shared" si="9"/>
        <v>36.200000000000003</v>
      </c>
      <c r="G52" s="67">
        <f t="shared" si="9"/>
        <v>61.2</v>
      </c>
      <c r="H52" s="67">
        <f t="shared" si="9"/>
        <v>86.2</v>
      </c>
      <c r="I52" s="67">
        <f t="shared" si="9"/>
        <v>86.2</v>
      </c>
      <c r="J52" s="67">
        <f t="shared" si="9"/>
        <v>101.2</v>
      </c>
      <c r="K52" s="67">
        <f t="shared" si="9"/>
        <v>117.2</v>
      </c>
      <c r="L52" s="67">
        <f t="shared" si="9"/>
        <v>117.2</v>
      </c>
      <c r="M52" s="67">
        <f t="shared" si="9"/>
        <v>117.2</v>
      </c>
      <c r="N52" s="67">
        <f t="shared" ref="N52:O52" si="10">SUM(N49:N51)</f>
        <v>116.2</v>
      </c>
      <c r="O52" s="67">
        <f t="shared" si="10"/>
        <v>106.2</v>
      </c>
      <c r="P52" s="67">
        <f t="shared" si="9"/>
        <v>115.2</v>
      </c>
      <c r="Q52" s="67">
        <f t="shared" ref="Q52" si="11">SUM(Q49:Q51)</f>
        <v>115.2</v>
      </c>
      <c r="R52" s="67">
        <f t="shared" si="9"/>
        <v>65.2</v>
      </c>
      <c r="S52" s="67">
        <f t="shared" si="9"/>
        <v>84.2</v>
      </c>
      <c r="T52" s="67">
        <f t="shared" si="9"/>
        <v>84.2</v>
      </c>
      <c r="U52" s="67">
        <f t="shared" si="9"/>
        <v>84.2</v>
      </c>
      <c r="V52" s="67">
        <f t="shared" si="9"/>
        <v>84.2</v>
      </c>
      <c r="W52" s="67">
        <f t="shared" si="9"/>
        <v>84.2</v>
      </c>
      <c r="X52" s="67">
        <f t="shared" si="9"/>
        <v>114.2</v>
      </c>
      <c r="Y52" s="67">
        <f t="shared" si="9"/>
        <v>194.2</v>
      </c>
      <c r="Z52" s="67">
        <f t="shared" si="9"/>
        <v>164.2</v>
      </c>
      <c r="AA52" s="67">
        <f t="shared" si="9"/>
        <v>144.19999999999999</v>
      </c>
      <c r="AB52" s="67">
        <f t="shared" si="9"/>
        <v>179.2</v>
      </c>
      <c r="AC52" s="67">
        <f t="shared" si="9"/>
        <v>179.2</v>
      </c>
      <c r="AD52" s="67">
        <f t="shared" si="9"/>
        <v>114.2</v>
      </c>
      <c r="AE52" s="67">
        <f t="shared" si="9"/>
        <v>114.2</v>
      </c>
      <c r="AF52" s="67">
        <f t="shared" si="9"/>
        <v>101.2</v>
      </c>
      <c r="AG52" s="68">
        <f t="shared" si="9"/>
        <v>538.1</v>
      </c>
      <c r="AH52" s="52">
        <f t="shared" si="2"/>
        <v>194.2</v>
      </c>
      <c r="AI52" s="53">
        <f t="shared" si="3"/>
        <v>36.200000000000003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22.4</v>
      </c>
      <c r="I53" s="50">
        <v>48.6</v>
      </c>
      <c r="J53" s="50">
        <v>90.6</v>
      </c>
      <c r="K53" s="50">
        <v>91</v>
      </c>
      <c r="L53" s="50">
        <v>60.8</v>
      </c>
      <c r="M53" s="50">
        <v>60.1</v>
      </c>
      <c r="N53" s="50">
        <v>50.9</v>
      </c>
      <c r="O53" s="50">
        <v>60.9</v>
      </c>
      <c r="P53" s="50">
        <v>74.7</v>
      </c>
      <c r="Q53" s="50">
        <v>74.7</v>
      </c>
      <c r="R53" s="50">
        <v>76</v>
      </c>
      <c r="S53" s="50">
        <v>124.1</v>
      </c>
      <c r="T53" s="50">
        <v>141.80000000000001</v>
      </c>
      <c r="U53" s="50">
        <v>141.80000000000001</v>
      </c>
      <c r="V53" s="50">
        <v>141.80000000000001</v>
      </c>
      <c r="W53" s="50">
        <v>99.5</v>
      </c>
      <c r="X53" s="50">
        <v>120</v>
      </c>
      <c r="Y53" s="50">
        <v>140</v>
      </c>
      <c r="Z53" s="50">
        <v>139</v>
      </c>
      <c r="AA53" s="50">
        <v>122</v>
      </c>
      <c r="AB53" s="50">
        <v>61.6</v>
      </c>
      <c r="AC53" s="50">
        <v>61.6</v>
      </c>
      <c r="AD53" s="50">
        <v>61.6</v>
      </c>
      <c r="AE53" s="50">
        <v>0</v>
      </c>
      <c r="AF53" s="50">
        <v>0</v>
      </c>
      <c r="AG53" s="56">
        <v>144</v>
      </c>
      <c r="AH53" s="52">
        <f t="shared" si="2"/>
        <v>141.80000000000001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33.700000000000003</v>
      </c>
      <c r="I55" s="72">
        <v>45</v>
      </c>
      <c r="J55" s="72">
        <v>45</v>
      </c>
      <c r="K55" s="72">
        <v>45.1</v>
      </c>
      <c r="L55" s="72">
        <v>65.7</v>
      </c>
      <c r="M55" s="72">
        <v>53.1</v>
      </c>
      <c r="N55" s="72">
        <v>33.4</v>
      </c>
      <c r="O55" s="72">
        <v>44.5</v>
      </c>
      <c r="P55" s="72">
        <v>44.4</v>
      </c>
      <c r="Q55" s="72">
        <v>44.4</v>
      </c>
      <c r="R55" s="50">
        <v>45.7</v>
      </c>
      <c r="S55" s="50">
        <v>45.6</v>
      </c>
      <c r="T55" s="50">
        <v>35</v>
      </c>
      <c r="U55" s="50">
        <v>45</v>
      </c>
      <c r="V55" s="50">
        <v>52.6</v>
      </c>
      <c r="W55" s="50">
        <v>52.2</v>
      </c>
      <c r="X55" s="50">
        <v>69.900000000000006</v>
      </c>
      <c r="Y55" s="50">
        <v>69.099999999999994</v>
      </c>
      <c r="Z55" s="50">
        <v>69.8</v>
      </c>
      <c r="AA55" s="50">
        <v>69</v>
      </c>
      <c r="AB55" s="72">
        <v>54.2</v>
      </c>
      <c r="AC55" s="72">
        <v>33</v>
      </c>
      <c r="AD55" s="72">
        <v>33</v>
      </c>
      <c r="AE55" s="72">
        <v>0</v>
      </c>
      <c r="AF55" s="72">
        <v>0</v>
      </c>
      <c r="AG55" s="61">
        <v>69</v>
      </c>
      <c r="AH55" s="52">
        <f t="shared" si="2"/>
        <v>69.900000000000006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38.5</v>
      </c>
      <c r="C56" s="72">
        <v>38.5</v>
      </c>
      <c r="D56" s="72">
        <v>38.5</v>
      </c>
      <c r="E56" s="72">
        <v>38.5</v>
      </c>
      <c r="F56" s="72">
        <v>40</v>
      </c>
      <c r="G56" s="72">
        <v>40</v>
      </c>
      <c r="H56" s="63">
        <v>40</v>
      </c>
      <c r="I56" s="63">
        <v>38</v>
      </c>
      <c r="J56" s="63">
        <v>38.299999999999997</v>
      </c>
      <c r="K56" s="63">
        <v>38.299999999999997</v>
      </c>
      <c r="L56" s="63">
        <v>40.299999999999997</v>
      </c>
      <c r="M56" s="63">
        <v>40.299999999999997</v>
      </c>
      <c r="N56" s="63">
        <v>39.299999999999997</v>
      </c>
      <c r="O56" s="63">
        <v>39.299999999999997</v>
      </c>
      <c r="P56" s="72">
        <v>37.299999999999997</v>
      </c>
      <c r="Q56" s="72">
        <v>37.299999999999997</v>
      </c>
      <c r="R56" s="72">
        <v>37.299999999999997</v>
      </c>
      <c r="S56" s="50">
        <v>37.299999999999997</v>
      </c>
      <c r="T56" s="50">
        <v>37.299999999999997</v>
      </c>
      <c r="U56" s="50">
        <v>37.299999999999997</v>
      </c>
      <c r="V56" s="50">
        <v>37.299999999999997</v>
      </c>
      <c r="W56" s="50">
        <v>37.299999999999997</v>
      </c>
      <c r="X56" s="50">
        <v>37.299999999999997</v>
      </c>
      <c r="Y56" s="50">
        <v>37.299999999999997</v>
      </c>
      <c r="Z56" s="50">
        <v>37.299999999999997</v>
      </c>
      <c r="AA56" s="50">
        <v>37.299999999999997</v>
      </c>
      <c r="AB56" s="50">
        <v>37.299999999999997</v>
      </c>
      <c r="AC56" s="50">
        <v>35</v>
      </c>
      <c r="AD56" s="50">
        <v>35</v>
      </c>
      <c r="AE56" s="50">
        <v>35</v>
      </c>
      <c r="AF56" s="50">
        <v>35</v>
      </c>
      <c r="AG56" s="61">
        <v>60</v>
      </c>
      <c r="AH56" s="52">
        <f t="shared" si="2"/>
        <v>40.299999999999997</v>
      </c>
      <c r="AI56" s="53">
        <f t="shared" si="3"/>
        <v>35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63">
        <v>14.9</v>
      </c>
      <c r="I57" s="63">
        <v>10</v>
      </c>
      <c r="J57" s="63">
        <v>10</v>
      </c>
      <c r="K57" s="63">
        <v>20</v>
      </c>
      <c r="L57" s="63">
        <v>25</v>
      </c>
      <c r="M57" s="63">
        <v>18</v>
      </c>
      <c r="N57" s="63">
        <v>19.5</v>
      </c>
      <c r="O57" s="63">
        <v>17.3</v>
      </c>
      <c r="P57" s="72">
        <v>20</v>
      </c>
      <c r="Q57" s="72">
        <v>20</v>
      </c>
      <c r="R57" s="72">
        <v>20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14.7</v>
      </c>
      <c r="AA57" s="50">
        <v>14.7</v>
      </c>
      <c r="AB57" s="50">
        <v>25.8</v>
      </c>
      <c r="AC57" s="50">
        <v>25.5</v>
      </c>
      <c r="AD57" s="50">
        <v>25.5</v>
      </c>
      <c r="AE57" s="50">
        <v>0</v>
      </c>
      <c r="AF57" s="50">
        <v>0</v>
      </c>
      <c r="AG57" s="61">
        <v>30</v>
      </c>
      <c r="AH57" s="52">
        <f t="shared" si="2"/>
        <v>25.8</v>
      </c>
      <c r="AI57" s="53">
        <f t="shared" si="3"/>
        <v>0</v>
      </c>
      <c r="AK57" s="54"/>
    </row>
    <row r="58" spans="1:41" x14ac:dyDescent="0.25">
      <c r="A58" s="60" t="s">
        <v>62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72">
        <v>0</v>
      </c>
      <c r="Q58" s="72">
        <v>0</v>
      </c>
      <c r="R58" s="72">
        <v>0</v>
      </c>
      <c r="S58" s="50">
        <v>4</v>
      </c>
      <c r="T58" s="50">
        <v>4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4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9</v>
      </c>
      <c r="C59" s="72">
        <v>9</v>
      </c>
      <c r="D59" s="72">
        <v>9</v>
      </c>
      <c r="E59" s="72">
        <v>9</v>
      </c>
      <c r="F59" s="72">
        <v>9</v>
      </c>
      <c r="G59" s="72">
        <v>9</v>
      </c>
      <c r="H59" s="72">
        <v>9</v>
      </c>
      <c r="I59" s="72">
        <v>9</v>
      </c>
      <c r="J59" s="72">
        <v>17</v>
      </c>
      <c r="K59" s="72">
        <v>17</v>
      </c>
      <c r="L59" s="72">
        <v>17</v>
      </c>
      <c r="M59" s="72">
        <v>17</v>
      </c>
      <c r="N59" s="72">
        <v>17</v>
      </c>
      <c r="O59" s="72">
        <v>17</v>
      </c>
      <c r="P59" s="72">
        <v>17</v>
      </c>
      <c r="Q59" s="72">
        <v>17</v>
      </c>
      <c r="R59" s="72">
        <v>17</v>
      </c>
      <c r="S59" s="72">
        <v>17</v>
      </c>
      <c r="T59" s="72">
        <v>17</v>
      </c>
      <c r="U59" s="72">
        <v>17</v>
      </c>
      <c r="V59" s="72">
        <v>17</v>
      </c>
      <c r="W59" s="72">
        <v>17</v>
      </c>
      <c r="X59" s="72">
        <v>17</v>
      </c>
      <c r="Y59" s="72">
        <v>17</v>
      </c>
      <c r="Z59" s="72">
        <v>17</v>
      </c>
      <c r="AA59" s="72">
        <v>17</v>
      </c>
      <c r="AB59" s="72">
        <v>17</v>
      </c>
      <c r="AC59" s="72">
        <v>17</v>
      </c>
      <c r="AD59" s="72">
        <v>17</v>
      </c>
      <c r="AE59" s="72">
        <v>17</v>
      </c>
      <c r="AF59" s="72">
        <v>17</v>
      </c>
      <c r="AG59" s="61">
        <v>24</v>
      </c>
      <c r="AH59" s="52">
        <f t="shared" si="2"/>
        <v>17</v>
      </c>
      <c r="AI59" s="53">
        <f t="shared" si="3"/>
        <v>9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7.8</v>
      </c>
      <c r="C61" s="72">
        <v>7.8</v>
      </c>
      <c r="D61" s="72">
        <v>7.8</v>
      </c>
      <c r="E61" s="72">
        <v>7.8</v>
      </c>
      <c r="F61" s="72">
        <v>7.8</v>
      </c>
      <c r="G61" s="72">
        <v>7.8</v>
      </c>
      <c r="H61" s="72">
        <v>7.8</v>
      </c>
      <c r="I61" s="72">
        <v>7.8</v>
      </c>
      <c r="J61" s="72">
        <v>10.8</v>
      </c>
      <c r="K61" s="72">
        <v>10.8</v>
      </c>
      <c r="L61" s="72">
        <v>10.8</v>
      </c>
      <c r="M61" s="72">
        <v>10.8</v>
      </c>
      <c r="N61" s="72">
        <v>10.8</v>
      </c>
      <c r="O61" s="72">
        <v>10.8</v>
      </c>
      <c r="P61" s="72">
        <v>13.2</v>
      </c>
      <c r="Q61" s="72">
        <v>13.2</v>
      </c>
      <c r="R61" s="72">
        <v>13.2</v>
      </c>
      <c r="S61" s="72">
        <v>13.2</v>
      </c>
      <c r="T61" s="72">
        <v>13.2</v>
      </c>
      <c r="U61" s="72">
        <v>13.2</v>
      </c>
      <c r="V61" s="72">
        <v>13.2</v>
      </c>
      <c r="W61" s="72">
        <v>13.2</v>
      </c>
      <c r="X61" s="72">
        <v>13.2</v>
      </c>
      <c r="Y61" s="72">
        <v>13.2</v>
      </c>
      <c r="Z61" s="72">
        <v>13.2</v>
      </c>
      <c r="AA61" s="72">
        <v>13.2</v>
      </c>
      <c r="AB61" s="72">
        <v>13.2</v>
      </c>
      <c r="AC61" s="72">
        <v>13.2</v>
      </c>
      <c r="AD61" s="72">
        <v>13.2</v>
      </c>
      <c r="AE61" s="72">
        <v>0</v>
      </c>
      <c r="AF61" s="72">
        <v>10</v>
      </c>
      <c r="AG61" s="61">
        <v>14.1</v>
      </c>
      <c r="AH61" s="52">
        <f t="shared" si="2"/>
        <v>13.2</v>
      </c>
      <c r="AI61" s="53">
        <f t="shared" si="3"/>
        <v>0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4.8</v>
      </c>
      <c r="C62" s="72">
        <v>4.8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4.8</v>
      </c>
      <c r="N62" s="72">
        <v>4.8</v>
      </c>
      <c r="O62" s="72">
        <v>4.8</v>
      </c>
      <c r="P62" s="72">
        <v>4.9000000000000004</v>
      </c>
      <c r="Q62" s="72">
        <v>4.9000000000000004</v>
      </c>
      <c r="R62" s="72">
        <v>4.9000000000000004</v>
      </c>
      <c r="S62" s="72">
        <v>4.9000000000000004</v>
      </c>
      <c r="T62" s="72">
        <v>4.9000000000000004</v>
      </c>
      <c r="U62" s="72">
        <v>4.9000000000000004</v>
      </c>
      <c r="V62" s="72">
        <v>4.9000000000000004</v>
      </c>
      <c r="W62" s="72">
        <v>4.9000000000000004</v>
      </c>
      <c r="X62" s="72">
        <v>4.9000000000000004</v>
      </c>
      <c r="Y62" s="72">
        <v>4.9000000000000004</v>
      </c>
      <c r="Z62" s="72">
        <v>4.9000000000000004</v>
      </c>
      <c r="AA62" s="72">
        <v>4.9000000000000004</v>
      </c>
      <c r="AB62" s="72">
        <v>4.9000000000000004</v>
      </c>
      <c r="AC62" s="72">
        <v>4.9000000000000004</v>
      </c>
      <c r="AD62" s="72">
        <v>4.9000000000000004</v>
      </c>
      <c r="AE62" s="72">
        <v>4.9000000000000004</v>
      </c>
      <c r="AF62" s="72">
        <v>4.9000000000000004</v>
      </c>
      <c r="AG62" s="61">
        <v>14</v>
      </c>
      <c r="AH62" s="52">
        <f t="shared" si="2"/>
        <v>4.9000000000000004</v>
      </c>
      <c r="AI62" s="53">
        <f t="shared" si="3"/>
        <v>4.8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" si="12">SUM(B53:B65)</f>
        <v>72.64</v>
      </c>
      <c r="C66" s="67">
        <f t="shared" ref="C66:AG66" si="13">SUM(C53:C65)</f>
        <v>72.64</v>
      </c>
      <c r="D66" s="67">
        <f t="shared" si="13"/>
        <v>72.64</v>
      </c>
      <c r="E66" s="67">
        <f t="shared" si="13"/>
        <v>72.64</v>
      </c>
      <c r="F66" s="67">
        <f t="shared" si="13"/>
        <v>74.14</v>
      </c>
      <c r="G66" s="67">
        <f t="shared" si="13"/>
        <v>74.14</v>
      </c>
      <c r="H66" s="67">
        <f t="shared" si="13"/>
        <v>145.14000000000001</v>
      </c>
      <c r="I66" s="67">
        <f t="shared" si="13"/>
        <v>175.74</v>
      </c>
      <c r="J66" s="67">
        <f t="shared" si="13"/>
        <v>229.04</v>
      </c>
      <c r="K66" s="67">
        <f t="shared" si="13"/>
        <v>239.54</v>
      </c>
      <c r="L66" s="67">
        <f t="shared" si="13"/>
        <v>236.94000000000003</v>
      </c>
      <c r="M66" s="67">
        <f t="shared" si="13"/>
        <v>216.64000000000001</v>
      </c>
      <c r="N66" s="67">
        <f t="shared" ref="N66:O66" si="14">SUM(N53:N65)</f>
        <v>188.24</v>
      </c>
      <c r="O66" s="67">
        <f t="shared" si="14"/>
        <v>207.14000000000001</v>
      </c>
      <c r="P66" s="67">
        <f t="shared" si="13"/>
        <v>224.03999999999996</v>
      </c>
      <c r="Q66" s="67">
        <f t="shared" si="13"/>
        <v>224.03999999999996</v>
      </c>
      <c r="R66" s="67">
        <f t="shared" si="13"/>
        <v>226.64</v>
      </c>
      <c r="S66" s="67">
        <f t="shared" si="13"/>
        <v>258.64</v>
      </c>
      <c r="T66" s="67">
        <f t="shared" si="13"/>
        <v>265.74000000000007</v>
      </c>
      <c r="U66" s="67">
        <f t="shared" si="13"/>
        <v>271.74000000000007</v>
      </c>
      <c r="V66" s="67">
        <f t="shared" si="13"/>
        <v>279.34000000000003</v>
      </c>
      <c r="W66" s="67">
        <f t="shared" si="13"/>
        <v>236.64</v>
      </c>
      <c r="X66" s="67">
        <f t="shared" si="13"/>
        <v>274.84000000000003</v>
      </c>
      <c r="Y66" s="67">
        <f t="shared" si="13"/>
        <v>294.03999999999996</v>
      </c>
      <c r="Z66" s="67">
        <f t="shared" si="13"/>
        <v>308.44</v>
      </c>
      <c r="AA66" s="67">
        <f t="shared" si="13"/>
        <v>290.64</v>
      </c>
      <c r="AB66" s="67">
        <f t="shared" si="13"/>
        <v>226.54000000000002</v>
      </c>
      <c r="AC66" s="67">
        <f t="shared" si="13"/>
        <v>202.73999999999998</v>
      </c>
      <c r="AD66" s="67">
        <f t="shared" si="13"/>
        <v>202.73999999999998</v>
      </c>
      <c r="AE66" s="67">
        <f t="shared" si="13"/>
        <v>69.44</v>
      </c>
      <c r="AF66" s="67">
        <f t="shared" si="13"/>
        <v>79.440000000000012</v>
      </c>
      <c r="AG66" s="68">
        <f t="shared" si="13"/>
        <v>489.91</v>
      </c>
      <c r="AH66" s="52">
        <f t="shared" si="2"/>
        <v>308.44</v>
      </c>
      <c r="AI66" s="53">
        <f t="shared" si="3"/>
        <v>69.44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30</v>
      </c>
      <c r="Z67" s="50">
        <v>25</v>
      </c>
      <c r="AA67" s="50">
        <v>14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30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50">
        <v>0</v>
      </c>
      <c r="R68" s="50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10.6</v>
      </c>
      <c r="Z68" s="72">
        <v>10.9</v>
      </c>
      <c r="AA68" s="72">
        <v>7.8</v>
      </c>
      <c r="AB68" s="72">
        <v>3.9</v>
      </c>
      <c r="AC68" s="50">
        <v>0</v>
      </c>
      <c r="AD68" s="50">
        <v>0</v>
      </c>
      <c r="AE68" s="50">
        <v>0</v>
      </c>
      <c r="AF68" s="50">
        <v>0</v>
      </c>
      <c r="AG68" s="61">
        <v>32</v>
      </c>
      <c r="AH68" s="52">
        <f t="shared" si="2"/>
        <v>10.9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50">
        <v>0</v>
      </c>
      <c r="R69" s="50">
        <v>0</v>
      </c>
      <c r="S69" s="74">
        <v>0</v>
      </c>
      <c r="T69" s="74">
        <v>0</v>
      </c>
      <c r="U69" s="74">
        <v>0</v>
      </c>
      <c r="V69" s="74">
        <v>0</v>
      </c>
      <c r="W69" s="74">
        <v>0</v>
      </c>
      <c r="X69" s="74">
        <v>0</v>
      </c>
      <c r="Y69" s="74">
        <v>3.9</v>
      </c>
      <c r="Z69" s="74">
        <v>4</v>
      </c>
      <c r="AA69" s="74">
        <v>4</v>
      </c>
      <c r="AB69" s="74">
        <v>1.4</v>
      </c>
      <c r="AC69" s="50">
        <v>0</v>
      </c>
      <c r="AD69" s="50">
        <v>0</v>
      </c>
      <c r="AE69" s="50">
        <v>0</v>
      </c>
      <c r="AF69" s="50">
        <v>0</v>
      </c>
      <c r="AG69" s="75">
        <v>14</v>
      </c>
      <c r="AH69" s="52">
        <f t="shared" si="2"/>
        <v>4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5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6">M67+M68+M69</f>
        <v>0</v>
      </c>
      <c r="N70" s="67">
        <f t="shared" ref="N70:O70" si="17">N67+N68+N69</f>
        <v>0</v>
      </c>
      <c r="O70" s="67">
        <f t="shared" si="17"/>
        <v>0</v>
      </c>
      <c r="P70" s="67">
        <f t="shared" si="16"/>
        <v>0</v>
      </c>
      <c r="Q70" s="67">
        <f t="shared" si="16"/>
        <v>0</v>
      </c>
      <c r="R70" s="67">
        <f t="shared" si="16"/>
        <v>0</v>
      </c>
      <c r="S70" s="67">
        <f t="shared" si="16"/>
        <v>0</v>
      </c>
      <c r="T70" s="67">
        <f t="shared" si="16"/>
        <v>0</v>
      </c>
      <c r="U70" s="67">
        <f t="shared" si="16"/>
        <v>0</v>
      </c>
      <c r="V70" s="67">
        <f t="shared" si="16"/>
        <v>0</v>
      </c>
      <c r="W70" s="67">
        <f t="shared" si="16"/>
        <v>0</v>
      </c>
      <c r="X70" s="67">
        <f t="shared" si="16"/>
        <v>0</v>
      </c>
      <c r="Y70" s="67">
        <f t="shared" si="16"/>
        <v>44.5</v>
      </c>
      <c r="Z70" s="67">
        <f t="shared" si="16"/>
        <v>39.9</v>
      </c>
      <c r="AA70" s="67">
        <f t="shared" si="16"/>
        <v>25.8</v>
      </c>
      <c r="AB70" s="67">
        <f t="shared" si="16"/>
        <v>5.3</v>
      </c>
      <c r="AC70" s="67">
        <f t="shared" si="16"/>
        <v>0</v>
      </c>
      <c r="AD70" s="67">
        <f t="shared" si="16"/>
        <v>0</v>
      </c>
      <c r="AE70" s="67">
        <f t="shared" si="16"/>
        <v>0</v>
      </c>
      <c r="AF70" s="67">
        <f t="shared" si="16"/>
        <v>0</v>
      </c>
      <c r="AG70" s="68">
        <f>SUM(AG67:AG69)</f>
        <v>106</v>
      </c>
      <c r="AH70" s="52">
        <f t="shared" si="2"/>
        <v>44.5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55</v>
      </c>
      <c r="C71" s="50">
        <v>42</v>
      </c>
      <c r="D71" s="50">
        <v>42.2</v>
      </c>
      <c r="E71" s="50">
        <v>42.2</v>
      </c>
      <c r="F71" s="50">
        <v>42.2</v>
      </c>
      <c r="G71" s="50">
        <v>56</v>
      </c>
      <c r="H71" s="50">
        <v>61.2</v>
      </c>
      <c r="I71" s="50">
        <v>57</v>
      </c>
      <c r="J71" s="50">
        <v>64</v>
      </c>
      <c r="K71" s="50">
        <v>67.7</v>
      </c>
      <c r="L71" s="50">
        <v>58</v>
      </c>
      <c r="M71" s="50">
        <v>58</v>
      </c>
      <c r="N71" s="50">
        <v>58</v>
      </c>
      <c r="O71" s="50">
        <v>71.8</v>
      </c>
      <c r="P71" s="50">
        <v>67</v>
      </c>
      <c r="Q71" s="50">
        <v>63</v>
      </c>
      <c r="R71" s="50">
        <v>63</v>
      </c>
      <c r="S71" s="50">
        <v>74.099999999999994</v>
      </c>
      <c r="T71" s="50">
        <v>74.3</v>
      </c>
      <c r="U71" s="50">
        <v>69.5</v>
      </c>
      <c r="V71" s="50">
        <v>69.2</v>
      </c>
      <c r="W71" s="50">
        <v>59.8</v>
      </c>
      <c r="X71" s="50">
        <v>59.3</v>
      </c>
      <c r="Y71" s="50">
        <v>62.9</v>
      </c>
      <c r="Z71" s="50">
        <v>76.5</v>
      </c>
      <c r="AA71" s="50">
        <v>60</v>
      </c>
      <c r="AB71" s="50">
        <v>61</v>
      </c>
      <c r="AC71" s="50">
        <v>57.3</v>
      </c>
      <c r="AD71" s="50">
        <v>67</v>
      </c>
      <c r="AE71" s="50">
        <v>52</v>
      </c>
      <c r="AF71" s="50">
        <v>71</v>
      </c>
      <c r="AG71" s="56"/>
      <c r="AH71" s="52">
        <f t="shared" si="2"/>
        <v>76.5</v>
      </c>
      <c r="AI71" s="53">
        <f t="shared" si="3"/>
        <v>42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275</v>
      </c>
      <c r="C73" s="72">
        <v>296</v>
      </c>
      <c r="D73" s="72">
        <v>296</v>
      </c>
      <c r="E73" s="72">
        <v>220</v>
      </c>
      <c r="F73" s="72">
        <v>275.7</v>
      </c>
      <c r="G73" s="72">
        <v>242</v>
      </c>
      <c r="H73" s="72">
        <v>218.3</v>
      </c>
      <c r="I73" s="72">
        <v>227.6</v>
      </c>
      <c r="J73" s="72">
        <v>233.58</v>
      </c>
      <c r="K73" s="72">
        <v>250.8</v>
      </c>
      <c r="L73" s="72">
        <v>269</v>
      </c>
      <c r="M73" s="72">
        <v>285</v>
      </c>
      <c r="N73" s="72">
        <v>308</v>
      </c>
      <c r="O73" s="72">
        <v>323</v>
      </c>
      <c r="P73" s="72">
        <v>334</v>
      </c>
      <c r="Q73" s="72">
        <v>338</v>
      </c>
      <c r="R73" s="72">
        <v>325</v>
      </c>
      <c r="S73" s="72">
        <v>304.3</v>
      </c>
      <c r="T73" s="72">
        <v>330.3</v>
      </c>
      <c r="U73" s="72">
        <v>328</v>
      </c>
      <c r="V73" s="72">
        <v>304.10000000000002</v>
      </c>
      <c r="W73" s="72">
        <v>328.9</v>
      </c>
      <c r="X73" s="72">
        <v>316.60000000000002</v>
      </c>
      <c r="Y73" s="72">
        <v>313</v>
      </c>
      <c r="Z73" s="72">
        <v>298.8</v>
      </c>
      <c r="AA73" s="72">
        <v>309.2</v>
      </c>
      <c r="AB73" s="72">
        <v>308.89999999999998</v>
      </c>
      <c r="AC73" s="72">
        <v>292</v>
      </c>
      <c r="AD73" s="72">
        <v>318</v>
      </c>
      <c r="AE73" s="72">
        <v>285</v>
      </c>
      <c r="AF73" s="72">
        <v>319</v>
      </c>
      <c r="AG73" s="82"/>
      <c r="AH73" s="52">
        <f t="shared" si="2"/>
        <v>338</v>
      </c>
      <c r="AI73" s="53">
        <f t="shared" si="3"/>
        <v>218.3</v>
      </c>
      <c r="AK73" s="54"/>
    </row>
    <row r="74" spans="1:40" x14ac:dyDescent="0.25">
      <c r="A74" s="60" t="s">
        <v>78</v>
      </c>
      <c r="B74" s="72">
        <v>28.6</v>
      </c>
      <c r="C74" s="72">
        <v>27.2</v>
      </c>
      <c r="D74" s="72">
        <v>26.9</v>
      </c>
      <c r="E74" s="83">
        <v>26</v>
      </c>
      <c r="F74" s="83">
        <v>0</v>
      </c>
      <c r="G74" s="83">
        <v>0</v>
      </c>
      <c r="H74" s="83">
        <v>0</v>
      </c>
      <c r="I74" s="83">
        <v>25.9</v>
      </c>
      <c r="J74" s="83">
        <v>46.4</v>
      </c>
      <c r="K74" s="83">
        <v>61.3</v>
      </c>
      <c r="L74" s="83">
        <v>61.5</v>
      </c>
      <c r="M74" s="83">
        <v>61.5</v>
      </c>
      <c r="N74" s="83">
        <v>66.099999999999994</v>
      </c>
      <c r="O74" s="83">
        <v>72.400000000000006</v>
      </c>
      <c r="P74" s="83">
        <v>72.599999999999994</v>
      </c>
      <c r="Q74" s="83">
        <v>41.8</v>
      </c>
      <c r="R74" s="83">
        <v>0</v>
      </c>
      <c r="S74" s="83">
        <v>5</v>
      </c>
      <c r="T74" s="83">
        <v>5</v>
      </c>
      <c r="U74" s="83">
        <v>5</v>
      </c>
      <c r="V74" s="83">
        <v>5</v>
      </c>
      <c r="W74" s="83">
        <v>54.1</v>
      </c>
      <c r="X74" s="83">
        <v>56</v>
      </c>
      <c r="Y74" s="72">
        <v>61.9</v>
      </c>
      <c r="Z74" s="72">
        <v>64</v>
      </c>
      <c r="AA74" s="72">
        <v>62.6</v>
      </c>
      <c r="AB74" s="72">
        <v>59.1</v>
      </c>
      <c r="AC74" s="72">
        <v>55.6</v>
      </c>
      <c r="AD74" s="72">
        <v>55.6</v>
      </c>
      <c r="AE74" s="72">
        <v>55.6</v>
      </c>
      <c r="AF74" s="72">
        <v>38</v>
      </c>
      <c r="AG74" s="82"/>
      <c r="AH74" s="52">
        <f t="shared" si="2"/>
        <v>72.599999999999994</v>
      </c>
      <c r="AI74" s="53">
        <f t="shared" si="3"/>
        <v>0</v>
      </c>
      <c r="AK74" s="54"/>
    </row>
    <row r="75" spans="1:40" x14ac:dyDescent="0.25">
      <c r="A75" s="60" t="s">
        <v>79</v>
      </c>
      <c r="B75" s="50">
        <v>71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57.2</v>
      </c>
      <c r="M75" s="50">
        <v>57.2</v>
      </c>
      <c r="N75" s="50">
        <v>79.099999999999994</v>
      </c>
      <c r="O75" s="50">
        <v>70.8</v>
      </c>
      <c r="P75" s="50">
        <v>75.3</v>
      </c>
      <c r="Q75" s="50">
        <v>71.099999999999994</v>
      </c>
      <c r="R75" s="50">
        <v>83.5</v>
      </c>
      <c r="S75" s="50">
        <v>82.1</v>
      </c>
      <c r="T75" s="50">
        <v>92.8</v>
      </c>
      <c r="U75" s="50">
        <v>92</v>
      </c>
      <c r="V75" s="50">
        <v>67.7</v>
      </c>
      <c r="W75" s="50">
        <v>79</v>
      </c>
      <c r="X75" s="50">
        <v>88.5</v>
      </c>
      <c r="Y75" s="50">
        <v>81.3</v>
      </c>
      <c r="Z75" s="50">
        <v>78.099999999999994</v>
      </c>
      <c r="AA75" s="50">
        <v>80.8</v>
      </c>
      <c r="AB75" s="50">
        <v>82</v>
      </c>
      <c r="AC75" s="50">
        <v>81.599999999999994</v>
      </c>
      <c r="AD75" s="50">
        <v>87</v>
      </c>
      <c r="AE75" s="50">
        <v>90</v>
      </c>
      <c r="AF75" s="50">
        <v>23</v>
      </c>
      <c r="AG75" s="82"/>
      <c r="AH75" s="52">
        <f t="shared" ref="AH75:AH117" si="18">MAX(B75:AF75)</f>
        <v>92.8</v>
      </c>
      <c r="AI75" s="53">
        <f t="shared" ref="AI75:AI117" si="19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8"/>
        <v>5</v>
      </c>
      <c r="AI76" s="53">
        <f t="shared" si="19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8"/>
        <v>0</v>
      </c>
      <c r="AI77" s="53">
        <f t="shared" si="19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8"/>
        <v>0</v>
      </c>
      <c r="AI78" s="53">
        <f t="shared" si="19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8"/>
        <v>0</v>
      </c>
      <c r="AI79" s="53">
        <f t="shared" si="19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8"/>
        <v>0</v>
      </c>
      <c r="AI80" s="53">
        <f t="shared" si="19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8"/>
        <v>0</v>
      </c>
      <c r="AI81" s="53">
        <f t="shared" si="19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20">SUMIF(B71:B81,"&gt;0")</f>
        <v>429.6</v>
      </c>
      <c r="C82" s="67">
        <f t="shared" ref="C82:AF82" si="21">SUMIF(C71:C81,"&gt;0")</f>
        <v>365.2</v>
      </c>
      <c r="D82" s="67">
        <f t="shared" si="21"/>
        <v>365.09999999999997</v>
      </c>
      <c r="E82" s="67">
        <f t="shared" si="21"/>
        <v>288.2</v>
      </c>
      <c r="F82" s="67">
        <f t="shared" si="21"/>
        <v>317.89999999999998</v>
      </c>
      <c r="G82" s="67">
        <f t="shared" si="21"/>
        <v>298</v>
      </c>
      <c r="H82" s="67">
        <f t="shared" si="21"/>
        <v>279.5</v>
      </c>
      <c r="I82" s="67">
        <f t="shared" si="21"/>
        <v>310.5</v>
      </c>
      <c r="J82" s="67">
        <f t="shared" si="21"/>
        <v>343.98</v>
      </c>
      <c r="K82" s="67">
        <f t="shared" si="21"/>
        <v>379.8</v>
      </c>
      <c r="L82" s="67">
        <f t="shared" si="21"/>
        <v>445.7</v>
      </c>
      <c r="M82" s="67">
        <f t="shared" si="21"/>
        <v>461.7</v>
      </c>
      <c r="N82" s="67">
        <f t="shared" ref="N82:O82" si="22">SUMIF(N71:N81,"&gt;0")</f>
        <v>511.20000000000005</v>
      </c>
      <c r="O82" s="67">
        <f t="shared" si="22"/>
        <v>538</v>
      </c>
      <c r="P82" s="67">
        <f t="shared" si="21"/>
        <v>548.9</v>
      </c>
      <c r="Q82" s="67">
        <f t="shared" si="21"/>
        <v>513.9</v>
      </c>
      <c r="R82" s="67">
        <f t="shared" si="21"/>
        <v>471.5</v>
      </c>
      <c r="S82" s="67">
        <f t="shared" si="21"/>
        <v>465.5</v>
      </c>
      <c r="T82" s="67">
        <f t="shared" si="21"/>
        <v>502.40000000000003</v>
      </c>
      <c r="U82" s="67">
        <f t="shared" si="21"/>
        <v>499.5</v>
      </c>
      <c r="V82" s="67">
        <f t="shared" si="21"/>
        <v>451</v>
      </c>
      <c r="W82" s="67">
        <f t="shared" si="21"/>
        <v>526.79999999999995</v>
      </c>
      <c r="X82" s="67">
        <f t="shared" si="21"/>
        <v>525.40000000000009</v>
      </c>
      <c r="Y82" s="67">
        <f t="shared" si="21"/>
        <v>524.09999999999991</v>
      </c>
      <c r="Z82" s="67">
        <f t="shared" si="21"/>
        <v>522.4</v>
      </c>
      <c r="AA82" s="67">
        <f t="shared" si="21"/>
        <v>517.6</v>
      </c>
      <c r="AB82" s="67">
        <f t="shared" si="21"/>
        <v>516</v>
      </c>
      <c r="AC82" s="67">
        <f t="shared" si="21"/>
        <v>491.5</v>
      </c>
      <c r="AD82" s="67">
        <f t="shared" si="21"/>
        <v>532.6</v>
      </c>
      <c r="AE82" s="67">
        <f t="shared" si="21"/>
        <v>487.6</v>
      </c>
      <c r="AF82" s="67">
        <f t="shared" si="21"/>
        <v>456</v>
      </c>
      <c r="AG82" s="95">
        <f>SUM(AG71:AG81)</f>
        <v>0</v>
      </c>
      <c r="AH82" s="52">
        <f t="shared" si="18"/>
        <v>548.9</v>
      </c>
      <c r="AI82" s="53">
        <f t="shared" si="19"/>
        <v>279.5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8"/>
        <v>0</v>
      </c>
      <c r="AI83" s="53">
        <f t="shared" si="19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8"/>
        <v>0</v>
      </c>
      <c r="AI84" s="53">
        <f t="shared" si="19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8"/>
        <v>0</v>
      </c>
      <c r="AI85" s="53">
        <f t="shared" si="19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8"/>
        <v>0</v>
      </c>
      <c r="AI86" s="53">
        <f t="shared" si="19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23">B48+B52+B70+B66+B82+B86</f>
        <v>933.1400000000001</v>
      </c>
      <c r="C87" s="102">
        <f t="shared" ref="C87:AG87" si="24">C48+C52+C70+C66+C82+C86</f>
        <v>873.74</v>
      </c>
      <c r="D87" s="102">
        <f t="shared" si="24"/>
        <v>873.64</v>
      </c>
      <c r="E87" s="102">
        <f t="shared" si="24"/>
        <v>771.64</v>
      </c>
      <c r="F87" s="102">
        <f t="shared" si="24"/>
        <v>782.83999999999992</v>
      </c>
      <c r="G87" s="102">
        <f t="shared" si="24"/>
        <v>788.04</v>
      </c>
      <c r="H87" s="102">
        <f t="shared" si="24"/>
        <v>865.54</v>
      </c>
      <c r="I87" s="102">
        <f t="shared" si="24"/>
        <v>927.14</v>
      </c>
      <c r="J87" s="102">
        <f t="shared" si="24"/>
        <v>1028.92</v>
      </c>
      <c r="K87" s="102">
        <f t="shared" si="24"/>
        <v>1091.24</v>
      </c>
      <c r="L87" s="102">
        <f t="shared" si="24"/>
        <v>1154.54</v>
      </c>
      <c r="M87" s="102">
        <f t="shared" si="24"/>
        <v>1150.24</v>
      </c>
      <c r="N87" s="102">
        <f t="shared" ref="N87:O87" si="25">N48+N52+N70+N66+N82+N86</f>
        <v>1166.8400000000001</v>
      </c>
      <c r="O87" s="102">
        <f t="shared" si="25"/>
        <v>1195.54</v>
      </c>
      <c r="P87" s="102">
        <f t="shared" si="24"/>
        <v>1231.8399999999999</v>
      </c>
      <c r="Q87" s="102">
        <f t="shared" si="24"/>
        <v>1183.7399999999998</v>
      </c>
      <c r="R87" s="102">
        <f t="shared" si="24"/>
        <v>1108.44</v>
      </c>
      <c r="S87" s="102">
        <f t="shared" si="24"/>
        <v>1151.3399999999999</v>
      </c>
      <c r="T87" s="102">
        <f t="shared" si="24"/>
        <v>1195.3400000000001</v>
      </c>
      <c r="U87" s="102">
        <f t="shared" si="24"/>
        <v>1198.44</v>
      </c>
      <c r="V87" s="102">
        <f t="shared" si="24"/>
        <v>1157.54</v>
      </c>
      <c r="W87" s="102">
        <f t="shared" si="24"/>
        <v>1190.6399999999999</v>
      </c>
      <c r="X87" s="102">
        <f t="shared" si="24"/>
        <v>1257.44</v>
      </c>
      <c r="Y87" s="102">
        <f t="shared" si="24"/>
        <v>1399.84</v>
      </c>
      <c r="Z87" s="102">
        <f t="shared" si="24"/>
        <v>1377.7399999999998</v>
      </c>
      <c r="AA87" s="102">
        <f t="shared" si="24"/>
        <v>1321.04</v>
      </c>
      <c r="AB87" s="102">
        <f t="shared" si="24"/>
        <v>1269.8399999999999</v>
      </c>
      <c r="AC87" s="102">
        <f t="shared" si="24"/>
        <v>1216.24</v>
      </c>
      <c r="AD87" s="102">
        <f t="shared" si="24"/>
        <v>1192.3400000000001</v>
      </c>
      <c r="AE87" s="102">
        <f t="shared" si="24"/>
        <v>1014.0400000000001</v>
      </c>
      <c r="AF87" s="102">
        <f t="shared" si="24"/>
        <v>979.44</v>
      </c>
      <c r="AG87" s="68">
        <f t="shared" si="24"/>
        <v>2065.09</v>
      </c>
      <c r="AH87" s="52">
        <f>MAX(B87:AF87)</f>
        <v>1399.84</v>
      </c>
      <c r="AI87" s="53">
        <f>MIN(B87:AF87)</f>
        <v>771.64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>
        <v>100</v>
      </c>
      <c r="M88" s="104">
        <v>70</v>
      </c>
      <c r="N88" s="104">
        <v>50</v>
      </c>
      <c r="O88" s="104">
        <v>50</v>
      </c>
      <c r="P88" s="104">
        <v>50</v>
      </c>
      <c r="Q88" s="104">
        <v>50</v>
      </c>
      <c r="R88" s="104">
        <v>50</v>
      </c>
      <c r="S88" s="104">
        <v>50</v>
      </c>
      <c r="T88" s="104">
        <v>50</v>
      </c>
      <c r="U88" s="104">
        <v>50</v>
      </c>
      <c r="V88" s="104">
        <v>50</v>
      </c>
      <c r="W88" s="104">
        <v>110</v>
      </c>
      <c r="X88" s="104">
        <v>120</v>
      </c>
      <c r="Y88" s="104">
        <v>130</v>
      </c>
      <c r="Z88" s="104">
        <v>130</v>
      </c>
      <c r="AA88" s="104">
        <v>120</v>
      </c>
      <c r="AB88" s="104">
        <v>120</v>
      </c>
      <c r="AC88" s="104">
        <v>120</v>
      </c>
      <c r="AD88" s="104"/>
      <c r="AE88" s="104"/>
      <c r="AF88" s="104"/>
      <c r="AG88" s="95"/>
      <c r="AH88" s="52">
        <f t="shared" si="18"/>
        <v>130</v>
      </c>
      <c r="AI88" s="53">
        <f t="shared" si="19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26">B87+B88</f>
        <v>933.1400000000001</v>
      </c>
      <c r="C89" s="102">
        <f t="shared" ref="C89:AF89" si="27">C87+C88</f>
        <v>873.74</v>
      </c>
      <c r="D89" s="102">
        <f t="shared" si="27"/>
        <v>873.64</v>
      </c>
      <c r="E89" s="102">
        <f t="shared" si="27"/>
        <v>771.64</v>
      </c>
      <c r="F89" s="102">
        <f t="shared" si="27"/>
        <v>782.83999999999992</v>
      </c>
      <c r="G89" s="102">
        <f t="shared" si="27"/>
        <v>788.04</v>
      </c>
      <c r="H89" s="102">
        <f t="shared" si="27"/>
        <v>865.54</v>
      </c>
      <c r="I89" s="102">
        <f t="shared" si="27"/>
        <v>927.14</v>
      </c>
      <c r="J89" s="102">
        <f t="shared" si="27"/>
        <v>1028.92</v>
      </c>
      <c r="K89" s="102">
        <f t="shared" si="27"/>
        <v>1091.24</v>
      </c>
      <c r="L89" s="102">
        <f t="shared" si="27"/>
        <v>1254.54</v>
      </c>
      <c r="M89" s="102">
        <f t="shared" si="27"/>
        <v>1220.24</v>
      </c>
      <c r="N89" s="102">
        <f t="shared" ref="N89:O89" si="28">N87+N88</f>
        <v>1216.8400000000001</v>
      </c>
      <c r="O89" s="102">
        <f t="shared" si="28"/>
        <v>1245.54</v>
      </c>
      <c r="P89" s="102">
        <f t="shared" si="27"/>
        <v>1281.8399999999999</v>
      </c>
      <c r="Q89" s="102">
        <f t="shared" si="27"/>
        <v>1233.7399999999998</v>
      </c>
      <c r="R89" s="102">
        <f t="shared" si="27"/>
        <v>1158.44</v>
      </c>
      <c r="S89" s="102">
        <f t="shared" si="27"/>
        <v>1201.3399999999999</v>
      </c>
      <c r="T89" s="102">
        <f t="shared" si="27"/>
        <v>1245.3400000000001</v>
      </c>
      <c r="U89" s="102">
        <f t="shared" si="27"/>
        <v>1248.44</v>
      </c>
      <c r="V89" s="102">
        <f t="shared" si="27"/>
        <v>1207.54</v>
      </c>
      <c r="W89" s="102">
        <f t="shared" si="27"/>
        <v>1300.6399999999999</v>
      </c>
      <c r="X89" s="102">
        <f t="shared" si="27"/>
        <v>1377.44</v>
      </c>
      <c r="Y89" s="102">
        <f t="shared" si="27"/>
        <v>1529.84</v>
      </c>
      <c r="Z89" s="102">
        <f t="shared" si="27"/>
        <v>1507.7399999999998</v>
      </c>
      <c r="AA89" s="102">
        <f t="shared" si="27"/>
        <v>1441.04</v>
      </c>
      <c r="AB89" s="102">
        <f t="shared" si="27"/>
        <v>1389.84</v>
      </c>
      <c r="AC89" s="102">
        <f t="shared" si="27"/>
        <v>1336.24</v>
      </c>
      <c r="AD89" s="102">
        <f t="shared" si="27"/>
        <v>1192.3400000000001</v>
      </c>
      <c r="AE89" s="102">
        <f t="shared" si="27"/>
        <v>1014.0400000000001</v>
      </c>
      <c r="AF89" s="102">
        <f t="shared" si="27"/>
        <v>979.44</v>
      </c>
      <c r="AG89" s="95">
        <f>AG86+AG82+AG70+AG66+AG48+AG88</f>
        <v>1526.99</v>
      </c>
      <c r="AH89" s="52">
        <f t="shared" si="18"/>
        <v>1529.84</v>
      </c>
      <c r="AI89" s="53">
        <f t="shared" si="19"/>
        <v>771.64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29">B89-B97</f>
        <v>933.1400000000001</v>
      </c>
      <c r="C90" s="102">
        <f t="shared" ref="C90:AF90" si="30">C89-C97</f>
        <v>873.74</v>
      </c>
      <c r="D90" s="102">
        <f t="shared" si="30"/>
        <v>873.64</v>
      </c>
      <c r="E90" s="102">
        <f t="shared" si="30"/>
        <v>771.64</v>
      </c>
      <c r="F90" s="102">
        <f t="shared" si="30"/>
        <v>782.83999999999992</v>
      </c>
      <c r="G90" s="102">
        <f t="shared" si="30"/>
        <v>788.04</v>
      </c>
      <c r="H90" s="102">
        <f t="shared" si="30"/>
        <v>865.54</v>
      </c>
      <c r="I90" s="102">
        <f t="shared" si="30"/>
        <v>927.14</v>
      </c>
      <c r="J90" s="102">
        <f t="shared" si="30"/>
        <v>1028.92</v>
      </c>
      <c r="K90" s="102">
        <f t="shared" si="30"/>
        <v>1091.24</v>
      </c>
      <c r="L90" s="102">
        <f t="shared" si="30"/>
        <v>1254.54</v>
      </c>
      <c r="M90" s="102">
        <f t="shared" si="30"/>
        <v>1220.24</v>
      </c>
      <c r="N90" s="102">
        <f t="shared" ref="N90:O90" si="31">N89-N97</f>
        <v>1216.8400000000001</v>
      </c>
      <c r="O90" s="102">
        <f t="shared" si="31"/>
        <v>1245.54</v>
      </c>
      <c r="P90" s="102">
        <f t="shared" si="30"/>
        <v>1281.8399999999999</v>
      </c>
      <c r="Q90" s="102">
        <f t="shared" si="30"/>
        <v>1233.7399999999998</v>
      </c>
      <c r="R90" s="102">
        <f t="shared" si="30"/>
        <v>1158.44</v>
      </c>
      <c r="S90" s="102">
        <f t="shared" si="30"/>
        <v>1201.3399999999999</v>
      </c>
      <c r="T90" s="102">
        <f t="shared" si="30"/>
        <v>1245.3400000000001</v>
      </c>
      <c r="U90" s="102">
        <f t="shared" si="30"/>
        <v>1248.44</v>
      </c>
      <c r="V90" s="102">
        <f t="shared" si="30"/>
        <v>1207.54</v>
      </c>
      <c r="W90" s="102">
        <f t="shared" si="30"/>
        <v>1300.6399999999999</v>
      </c>
      <c r="X90" s="102">
        <f t="shared" si="30"/>
        <v>1377.44</v>
      </c>
      <c r="Y90" s="102">
        <f t="shared" si="30"/>
        <v>1529.84</v>
      </c>
      <c r="Z90" s="102">
        <f t="shared" si="30"/>
        <v>1507.7399999999998</v>
      </c>
      <c r="AA90" s="102">
        <f t="shared" si="30"/>
        <v>1441.04</v>
      </c>
      <c r="AB90" s="102">
        <f t="shared" si="30"/>
        <v>1389.84</v>
      </c>
      <c r="AC90" s="102">
        <f t="shared" si="30"/>
        <v>1336.24</v>
      </c>
      <c r="AD90" s="102">
        <f t="shared" si="30"/>
        <v>1192.3400000000001</v>
      </c>
      <c r="AE90" s="102">
        <f t="shared" si="30"/>
        <v>1014.0400000000001</v>
      </c>
      <c r="AF90" s="102">
        <f t="shared" si="30"/>
        <v>979.44</v>
      </c>
      <c r="AG90" s="95"/>
      <c r="AH90" s="52">
        <f t="shared" si="18"/>
        <v>1529.84</v>
      </c>
      <c r="AI90" s="53">
        <f t="shared" si="19"/>
        <v>771.64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8"/>
        <v>0</v>
      </c>
      <c r="AI91" s="53">
        <f t="shared" si="19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8"/>
        <v>0</v>
      </c>
      <c r="AI92" s="53">
        <f t="shared" si="19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8"/>
        <v>0</v>
      </c>
      <c r="AI93" s="53">
        <f t="shared" si="19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8"/>
        <v>0</v>
      </c>
      <c r="AI94" s="53">
        <f t="shared" si="19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8"/>
        <v>0</v>
      </c>
      <c r="AI95" s="53">
        <f t="shared" si="19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8"/>
        <v>0</v>
      </c>
      <c r="AI96" s="53">
        <f t="shared" si="19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8"/>
        <v>0</v>
      </c>
      <c r="AI97" s="53">
        <f t="shared" si="19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" si="32">B82-B97</f>
        <v>429.6</v>
      </c>
      <c r="C98" s="67">
        <f t="shared" ref="C98:AF98" si="33">C82-C97</f>
        <v>365.2</v>
      </c>
      <c r="D98" s="67">
        <f t="shared" si="33"/>
        <v>365.09999999999997</v>
      </c>
      <c r="E98" s="67">
        <f t="shared" si="33"/>
        <v>288.2</v>
      </c>
      <c r="F98" s="67">
        <f t="shared" si="33"/>
        <v>317.89999999999998</v>
      </c>
      <c r="G98" s="67">
        <f t="shared" si="33"/>
        <v>298</v>
      </c>
      <c r="H98" s="67">
        <f t="shared" si="33"/>
        <v>279.5</v>
      </c>
      <c r="I98" s="67">
        <f t="shared" si="33"/>
        <v>310.5</v>
      </c>
      <c r="J98" s="67">
        <f t="shared" si="33"/>
        <v>343.98</v>
      </c>
      <c r="K98" s="67">
        <f t="shared" si="33"/>
        <v>379.8</v>
      </c>
      <c r="L98" s="67">
        <f t="shared" si="33"/>
        <v>445.7</v>
      </c>
      <c r="M98" s="67">
        <f t="shared" si="33"/>
        <v>461.7</v>
      </c>
      <c r="N98" s="67">
        <f t="shared" ref="N98:O98" si="34">N82-N97</f>
        <v>511.20000000000005</v>
      </c>
      <c r="O98" s="67">
        <f t="shared" si="34"/>
        <v>538</v>
      </c>
      <c r="P98" s="67">
        <f t="shared" si="33"/>
        <v>548.9</v>
      </c>
      <c r="Q98" s="67">
        <f t="shared" si="33"/>
        <v>513.9</v>
      </c>
      <c r="R98" s="67">
        <f t="shared" si="33"/>
        <v>471.5</v>
      </c>
      <c r="S98" s="67">
        <f t="shared" si="33"/>
        <v>465.5</v>
      </c>
      <c r="T98" s="67">
        <f t="shared" si="33"/>
        <v>502.40000000000003</v>
      </c>
      <c r="U98" s="67">
        <f t="shared" si="33"/>
        <v>499.5</v>
      </c>
      <c r="V98" s="67">
        <f t="shared" si="33"/>
        <v>451</v>
      </c>
      <c r="W98" s="67">
        <f t="shared" si="33"/>
        <v>526.79999999999995</v>
      </c>
      <c r="X98" s="67">
        <f t="shared" si="33"/>
        <v>525.40000000000009</v>
      </c>
      <c r="Y98" s="67">
        <f t="shared" si="33"/>
        <v>524.09999999999991</v>
      </c>
      <c r="Z98" s="67">
        <f t="shared" si="33"/>
        <v>522.4</v>
      </c>
      <c r="AA98" s="67">
        <f t="shared" si="33"/>
        <v>517.6</v>
      </c>
      <c r="AB98" s="67">
        <f t="shared" si="33"/>
        <v>516</v>
      </c>
      <c r="AC98" s="67">
        <f t="shared" si="33"/>
        <v>491.5</v>
      </c>
      <c r="AD98" s="67">
        <f t="shared" si="33"/>
        <v>532.6</v>
      </c>
      <c r="AE98" s="67">
        <f t="shared" si="33"/>
        <v>487.6</v>
      </c>
      <c r="AF98" s="67">
        <f t="shared" si="33"/>
        <v>456</v>
      </c>
      <c r="AG98" s="95"/>
      <c r="AH98" s="52">
        <f t="shared" si="18"/>
        <v>548.9</v>
      </c>
      <c r="AI98" s="53">
        <f t="shared" si="19"/>
        <v>279.5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50.082999999999998</v>
      </c>
      <c r="C99" s="108">
        <v>49.945999999999998</v>
      </c>
      <c r="D99" s="108">
        <v>49.993000000000002</v>
      </c>
      <c r="E99" s="108">
        <v>50</v>
      </c>
      <c r="F99" s="108">
        <v>50.033999999999999</v>
      </c>
      <c r="G99" s="108">
        <v>50.061</v>
      </c>
      <c r="H99" s="108">
        <v>50</v>
      </c>
      <c r="I99" s="108">
        <v>50.09</v>
      </c>
      <c r="J99" s="108">
        <v>50.055</v>
      </c>
      <c r="K99" s="108">
        <v>50</v>
      </c>
      <c r="L99" s="108">
        <v>49.981999999999999</v>
      </c>
      <c r="M99" s="108">
        <v>50.18</v>
      </c>
      <c r="N99" s="108">
        <v>50.23</v>
      </c>
      <c r="O99" s="108">
        <v>50.22</v>
      </c>
      <c r="P99" s="108">
        <v>50.04</v>
      </c>
      <c r="Q99" s="108">
        <v>49.89</v>
      </c>
      <c r="R99" s="108">
        <v>50.06</v>
      </c>
      <c r="S99" s="108">
        <v>50.195</v>
      </c>
      <c r="T99" s="108">
        <v>50.012</v>
      </c>
      <c r="U99" s="108">
        <v>50.048000000000002</v>
      </c>
      <c r="V99" s="108">
        <v>50.048000000000002</v>
      </c>
      <c r="W99" s="108">
        <v>50.033999999999999</v>
      </c>
      <c r="X99" s="108">
        <v>50.017000000000003</v>
      </c>
      <c r="Y99" s="108">
        <v>50.030999999999999</v>
      </c>
      <c r="Z99" s="108">
        <v>49.968000000000004</v>
      </c>
      <c r="AA99" s="108">
        <v>50.02</v>
      </c>
      <c r="AB99" s="108">
        <v>49.987000000000002</v>
      </c>
      <c r="AC99" s="108">
        <v>50.003999999999998</v>
      </c>
      <c r="AD99" s="108">
        <v>50.003999999999998</v>
      </c>
      <c r="AE99" s="108">
        <v>50</v>
      </c>
      <c r="AF99" s="108">
        <v>49.959000000000003</v>
      </c>
      <c r="AG99" s="109"/>
      <c r="AH99" s="52">
        <f t="shared" si="18"/>
        <v>50.23</v>
      </c>
      <c r="AI99" s="53">
        <f t="shared" si="19"/>
        <v>49.89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130.19999999999999</v>
      </c>
      <c r="C100" s="72">
        <v>129.69999999999999</v>
      </c>
      <c r="D100" s="72">
        <v>130.19999999999999</v>
      </c>
      <c r="E100" s="72">
        <v>130.19999999999999</v>
      </c>
      <c r="F100" s="72">
        <v>130.19999999999999</v>
      </c>
      <c r="G100" s="72">
        <v>130.19999999999999</v>
      </c>
      <c r="H100" s="72">
        <v>130.19999999999999</v>
      </c>
      <c r="I100" s="72">
        <v>128</v>
      </c>
      <c r="J100" s="72">
        <v>126.3</v>
      </c>
      <c r="K100" s="72">
        <v>125.8</v>
      </c>
      <c r="L100" s="72">
        <v>128</v>
      </c>
      <c r="M100" s="72">
        <v>126.6</v>
      </c>
      <c r="N100" s="72">
        <v>127</v>
      </c>
      <c r="O100" s="72">
        <v>124.9</v>
      </c>
      <c r="P100" s="72">
        <v>127.7</v>
      </c>
      <c r="Q100" s="72">
        <v>127.2</v>
      </c>
      <c r="R100" s="72">
        <v>126.1</v>
      </c>
      <c r="S100" s="72">
        <v>127.4</v>
      </c>
      <c r="T100" s="72">
        <v>126.8</v>
      </c>
      <c r="U100" s="72">
        <v>127</v>
      </c>
      <c r="V100" s="72">
        <v>127</v>
      </c>
      <c r="W100" s="72">
        <v>128</v>
      </c>
      <c r="X100" s="72">
        <v>128</v>
      </c>
      <c r="Y100" s="72">
        <v>127.9</v>
      </c>
      <c r="Z100" s="72">
        <v>128.6</v>
      </c>
      <c r="AA100" s="72">
        <v>128.69999999999999</v>
      </c>
      <c r="AB100" s="72">
        <v>129.5</v>
      </c>
      <c r="AC100" s="72">
        <v>129.80000000000001</v>
      </c>
      <c r="AD100" s="72">
        <v>129.80000000000001</v>
      </c>
      <c r="AE100" s="72">
        <v>130.19999999999999</v>
      </c>
      <c r="AF100" s="72">
        <v>126</v>
      </c>
      <c r="AG100" s="111"/>
      <c r="AH100" s="52">
        <f t="shared" si="18"/>
        <v>130.19999999999999</v>
      </c>
      <c r="AI100" s="53">
        <f t="shared" si="19"/>
        <v>124.9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133</v>
      </c>
      <c r="C101" s="72">
        <v>133</v>
      </c>
      <c r="D101" s="72">
        <v>133</v>
      </c>
      <c r="E101" s="72">
        <v>133</v>
      </c>
      <c r="F101" s="72">
        <v>133</v>
      </c>
      <c r="G101" s="72">
        <v>133</v>
      </c>
      <c r="H101" s="72">
        <v>133</v>
      </c>
      <c r="I101" s="72">
        <v>131</v>
      </c>
      <c r="J101" s="72">
        <v>129.41</v>
      </c>
      <c r="K101" s="72">
        <v>128.4</v>
      </c>
      <c r="L101" s="72">
        <v>129.80000000000001</v>
      </c>
      <c r="M101" s="72">
        <v>128.80000000000001</v>
      </c>
      <c r="N101" s="72">
        <v>129.6</v>
      </c>
      <c r="O101" s="72">
        <v>127.9</v>
      </c>
      <c r="P101" s="72">
        <v>129.4</v>
      </c>
      <c r="Q101" s="72">
        <v>129.69999999999999</v>
      </c>
      <c r="R101" s="72">
        <v>128.69999999999999</v>
      </c>
      <c r="S101" s="72">
        <v>129.5</v>
      </c>
      <c r="T101" s="72">
        <v>130</v>
      </c>
      <c r="U101" s="72">
        <v>129.80000000000001</v>
      </c>
      <c r="V101" s="72">
        <v>129.80000000000001</v>
      </c>
      <c r="W101" s="72">
        <v>130.1</v>
      </c>
      <c r="X101" s="72">
        <v>129.9</v>
      </c>
      <c r="Y101" s="72">
        <v>129.6</v>
      </c>
      <c r="Z101" s="72">
        <v>129.9</v>
      </c>
      <c r="AA101" s="72">
        <v>130.30000000000001</v>
      </c>
      <c r="AB101" s="72">
        <v>131.69999999999999</v>
      </c>
      <c r="AC101" s="72">
        <v>132</v>
      </c>
      <c r="AD101" s="72">
        <v>132</v>
      </c>
      <c r="AE101" s="72">
        <v>132.69999999999999</v>
      </c>
      <c r="AF101" s="72">
        <v>129.6</v>
      </c>
      <c r="AG101" s="111"/>
      <c r="AH101" s="52">
        <f t="shared" si="18"/>
        <v>133</v>
      </c>
      <c r="AI101" s="53">
        <f t="shared" si="19"/>
        <v>127.9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130.19999999999999</v>
      </c>
      <c r="C102" s="72">
        <v>129</v>
      </c>
      <c r="D102" s="72">
        <v>130.19999999999999</v>
      </c>
      <c r="E102" s="72">
        <v>130.19999999999999</v>
      </c>
      <c r="F102" s="72">
        <v>130.19999999999999</v>
      </c>
      <c r="G102" s="72">
        <v>130.19999999999999</v>
      </c>
      <c r="H102" s="72">
        <v>130.19999999999999</v>
      </c>
      <c r="I102" s="72">
        <v>136</v>
      </c>
      <c r="J102" s="72">
        <v>134</v>
      </c>
      <c r="K102" s="72">
        <v>131.9</v>
      </c>
      <c r="L102" s="72">
        <v>129</v>
      </c>
      <c r="M102" s="72">
        <v>128.69999999999999</v>
      </c>
      <c r="N102" s="72">
        <v>129.19999999999999</v>
      </c>
      <c r="O102" s="72">
        <v>129.4</v>
      </c>
      <c r="P102" s="72">
        <v>129.5</v>
      </c>
      <c r="Q102" s="72">
        <v>129.19999999999999</v>
      </c>
      <c r="R102" s="72">
        <v>130</v>
      </c>
      <c r="S102" s="72">
        <v>128</v>
      </c>
      <c r="T102" s="72">
        <v>128</v>
      </c>
      <c r="U102" s="72">
        <v>131</v>
      </c>
      <c r="V102" s="72">
        <v>131</v>
      </c>
      <c r="W102" s="72">
        <v>130.80000000000001</v>
      </c>
      <c r="X102" s="72">
        <v>128.80000000000001</v>
      </c>
      <c r="Y102" s="72">
        <v>127.8</v>
      </c>
      <c r="Z102" s="72">
        <v>129.5</v>
      </c>
      <c r="AA102" s="72">
        <v>129</v>
      </c>
      <c r="AB102" s="72">
        <v>130.19999999999999</v>
      </c>
      <c r="AC102" s="72">
        <v>130.80000000000001</v>
      </c>
      <c r="AD102" s="72">
        <v>130.80000000000001</v>
      </c>
      <c r="AE102" s="72">
        <v>130.5</v>
      </c>
      <c r="AF102" s="72">
        <v>131.1</v>
      </c>
      <c r="AG102" s="111"/>
      <c r="AH102" s="52">
        <f t="shared" si="18"/>
        <v>136</v>
      </c>
      <c r="AI102" s="53">
        <f t="shared" si="19"/>
        <v>127.8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8"/>
        <v>0</v>
      </c>
      <c r="AI103" s="53">
        <f t="shared" si="19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131.69999999999999</v>
      </c>
      <c r="C104" s="113">
        <v>133.80000000000001</v>
      </c>
      <c r="D104" s="113">
        <v>131.69999999999999</v>
      </c>
      <c r="E104" s="113">
        <v>131.69999999999999</v>
      </c>
      <c r="F104" s="113">
        <v>131.69999999999999</v>
      </c>
      <c r="G104" s="113">
        <v>131.69999999999999</v>
      </c>
      <c r="H104" s="113">
        <v>131.69999999999999</v>
      </c>
      <c r="I104" s="113">
        <v>135.6</v>
      </c>
      <c r="J104" s="113">
        <v>136</v>
      </c>
      <c r="K104" s="113">
        <v>133.9</v>
      </c>
      <c r="L104" s="113">
        <v>133</v>
      </c>
      <c r="M104" s="113">
        <v>132.19999999999999</v>
      </c>
      <c r="N104" s="113">
        <v>131.4</v>
      </c>
      <c r="O104" s="113">
        <v>131</v>
      </c>
      <c r="P104" s="113">
        <v>131.80000000000001</v>
      </c>
      <c r="Q104" s="113">
        <v>133.6</v>
      </c>
      <c r="R104" s="113">
        <v>131</v>
      </c>
      <c r="S104" s="113">
        <v>137</v>
      </c>
      <c r="T104" s="113">
        <v>133</v>
      </c>
      <c r="U104" s="113">
        <v>132.9</v>
      </c>
      <c r="V104" s="113">
        <v>132.9</v>
      </c>
      <c r="W104" s="113">
        <v>133.1</v>
      </c>
      <c r="X104" s="113">
        <v>133.5</v>
      </c>
      <c r="Y104" s="113">
        <v>133.5</v>
      </c>
      <c r="Z104" s="113">
        <v>135.80000000000001</v>
      </c>
      <c r="AA104" s="113">
        <v>132.9</v>
      </c>
      <c r="AB104" s="113">
        <v>134.6</v>
      </c>
      <c r="AC104" s="113">
        <v>134.1</v>
      </c>
      <c r="AD104" s="113">
        <v>134.1</v>
      </c>
      <c r="AE104" s="113">
        <v>136.4</v>
      </c>
      <c r="AF104" s="113">
        <v>130</v>
      </c>
      <c r="AG104" s="114"/>
      <c r="AH104" s="52">
        <f t="shared" si="18"/>
        <v>137</v>
      </c>
      <c r="AI104" s="53">
        <f t="shared" si="19"/>
        <v>130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138.6</v>
      </c>
      <c r="C105" s="72">
        <v>138.69999999999999</v>
      </c>
      <c r="D105" s="72">
        <v>138.6</v>
      </c>
      <c r="E105" s="72">
        <v>138.6</v>
      </c>
      <c r="F105" s="72">
        <v>138.6</v>
      </c>
      <c r="G105" s="72">
        <v>138.6</v>
      </c>
      <c r="H105" s="72">
        <v>138.6</v>
      </c>
      <c r="I105" s="72">
        <v>134.6</v>
      </c>
      <c r="J105" s="72">
        <v>131</v>
      </c>
      <c r="K105" s="72">
        <v>130.6</v>
      </c>
      <c r="L105" s="72">
        <v>130.9</v>
      </c>
      <c r="M105" s="72"/>
      <c r="N105" s="72"/>
      <c r="O105" s="72"/>
      <c r="P105" s="72">
        <v>133.80000000000001</v>
      </c>
      <c r="Q105" s="72">
        <v>133.9</v>
      </c>
      <c r="R105" s="72">
        <v>130.4</v>
      </c>
      <c r="S105" s="72">
        <v>127.3</v>
      </c>
      <c r="T105" s="72">
        <v>127.3</v>
      </c>
      <c r="U105" s="72">
        <v>134.9</v>
      </c>
      <c r="V105" s="72">
        <v>134.9</v>
      </c>
      <c r="W105" s="72">
        <v>130.30000000000001</v>
      </c>
      <c r="X105" s="72">
        <v>133.19999999999999</v>
      </c>
      <c r="Y105" s="72">
        <v>132.1</v>
      </c>
      <c r="Z105" s="72">
        <v>130.69999999999999</v>
      </c>
      <c r="AA105" s="72">
        <v>132.9</v>
      </c>
      <c r="AB105" s="72">
        <v>133.5</v>
      </c>
      <c r="AC105" s="72">
        <v>131.9</v>
      </c>
      <c r="AD105" s="72">
        <v>131.9</v>
      </c>
      <c r="AE105" s="72">
        <v>137.6</v>
      </c>
      <c r="AF105" s="72">
        <v>129.80000000000001</v>
      </c>
      <c r="AG105" s="111"/>
      <c r="AH105" s="52">
        <f t="shared" si="18"/>
        <v>138.69999999999999</v>
      </c>
      <c r="AI105" s="53">
        <f t="shared" si="19"/>
        <v>127.3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66.8</v>
      </c>
      <c r="C106" s="99">
        <v>66.7</v>
      </c>
      <c r="D106" s="99">
        <v>66.8</v>
      </c>
      <c r="E106" s="99">
        <v>66.8</v>
      </c>
      <c r="F106" s="99">
        <v>66.8</v>
      </c>
      <c r="G106" s="99">
        <v>66.8</v>
      </c>
      <c r="H106" s="99">
        <v>66.8</v>
      </c>
      <c r="I106" s="99">
        <v>65.400000000000006</v>
      </c>
      <c r="J106" s="99">
        <v>65.2</v>
      </c>
      <c r="K106" s="99">
        <v>64.3</v>
      </c>
      <c r="L106" s="99">
        <v>65</v>
      </c>
      <c r="M106" s="99">
        <v>64.400000000000006</v>
      </c>
      <c r="N106" s="99">
        <v>64.900000000000006</v>
      </c>
      <c r="O106" s="99">
        <v>64.2</v>
      </c>
      <c r="P106" s="99">
        <v>65.099999999999994</v>
      </c>
      <c r="Q106" s="99">
        <v>65.099999999999994</v>
      </c>
      <c r="R106" s="99">
        <v>64.599999999999994</v>
      </c>
      <c r="S106" s="99">
        <v>64.7</v>
      </c>
      <c r="T106" s="99">
        <v>64.7</v>
      </c>
      <c r="U106" s="99">
        <v>64.8</v>
      </c>
      <c r="V106" s="99">
        <v>64.8</v>
      </c>
      <c r="W106" s="99">
        <v>65.099999999999994</v>
      </c>
      <c r="X106" s="99">
        <v>64.3</v>
      </c>
      <c r="Y106" s="99">
        <v>64.900000000000006</v>
      </c>
      <c r="Z106" s="99">
        <v>65</v>
      </c>
      <c r="AA106" s="99">
        <v>65.2</v>
      </c>
      <c r="AB106" s="99">
        <v>66</v>
      </c>
      <c r="AC106" s="99">
        <v>66</v>
      </c>
      <c r="AD106" s="99">
        <v>66</v>
      </c>
      <c r="AE106" s="99">
        <v>66.400000000000006</v>
      </c>
      <c r="AF106" s="99">
        <v>65.099999999999994</v>
      </c>
      <c r="AG106" s="115"/>
      <c r="AH106" s="52">
        <f t="shared" si="18"/>
        <v>66.8</v>
      </c>
      <c r="AI106" s="53">
        <f t="shared" si="19"/>
        <v>64.2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8"/>
        <v>0</v>
      </c>
      <c r="AI107" s="53">
        <f t="shared" si="19"/>
        <v>0</v>
      </c>
    </row>
    <row r="108" spans="1:88" ht="15.75" thickBot="1" x14ac:dyDescent="0.3">
      <c r="A108" s="117" t="s">
        <v>112</v>
      </c>
      <c r="B108" s="118">
        <f t="shared" ref="B108" si="35">SUM(B18,B24,B27:B28,B56,B58:B59,B61,B63,B109:B113,B135,B141,B147,B156,B158,B170,B177,B180:B181,B188,B190,B192,B196:B198,B200:B202,B207,B213:B214,B216:B218,B226,B231)</f>
        <v>134.80000000000001</v>
      </c>
      <c r="C108" s="118">
        <f t="shared" ref="C108:AF108" si="36">SUM(C18,C24,C27:C28,C56,C58:C59,C61,C63,C109:C113,C135,C141,C147,C156,C158,C170,C177,C180:C181,C188,C190,C192,C196:C198,C200:C202,C207,C213:C214,C216:C218,C226,C231)</f>
        <v>113.53999999999999</v>
      </c>
      <c r="D108" s="118">
        <f t="shared" si="36"/>
        <v>103.24</v>
      </c>
      <c r="E108" s="118">
        <f t="shared" si="36"/>
        <v>103.24</v>
      </c>
      <c r="F108" s="118">
        <f t="shared" si="36"/>
        <v>107.14</v>
      </c>
      <c r="G108" s="118">
        <f t="shared" si="36"/>
        <v>135.24</v>
      </c>
      <c r="H108" s="118">
        <f t="shared" si="36"/>
        <v>166.84</v>
      </c>
      <c r="I108" s="118">
        <f t="shared" si="36"/>
        <v>191.04</v>
      </c>
      <c r="J108" s="118">
        <f t="shared" si="36"/>
        <v>245.07999999999998</v>
      </c>
      <c r="K108" s="118">
        <f t="shared" si="36"/>
        <v>290.44</v>
      </c>
      <c r="L108" s="118">
        <f t="shared" si="36"/>
        <v>324.83999999999997</v>
      </c>
      <c r="M108" s="118">
        <f t="shared" si="36"/>
        <v>324.83999999999997</v>
      </c>
      <c r="N108" s="118">
        <f t="shared" ref="N108:O108" si="37">SUM(N18,N24,N27:N28,N56,N58:N59,N61,N63,N109:N113,N135,N141,N147,N156,N158,N170,N177,N180:N181,N188,N190,N192,N196:N198,N200:N202,N207,N213:N214,N216:N218,N226,N231)</f>
        <v>303.44</v>
      </c>
      <c r="O108" s="118">
        <f t="shared" si="37"/>
        <v>296.14000000000004</v>
      </c>
      <c r="P108" s="118">
        <v>42</v>
      </c>
      <c r="Q108" s="118">
        <f t="shared" si="36"/>
        <v>257</v>
      </c>
      <c r="R108" s="118">
        <f t="shared" si="36"/>
        <v>250.20000000000002</v>
      </c>
      <c r="S108" s="118">
        <f t="shared" si="36"/>
        <v>258.10000000000002</v>
      </c>
      <c r="T108" s="118">
        <f t="shared" si="36"/>
        <v>271.7</v>
      </c>
      <c r="U108" s="118">
        <f t="shared" si="36"/>
        <v>274</v>
      </c>
      <c r="V108" s="118">
        <f t="shared" si="36"/>
        <v>274</v>
      </c>
      <c r="W108" s="118">
        <f t="shared" si="36"/>
        <v>287</v>
      </c>
      <c r="X108" s="118">
        <f t="shared" si="36"/>
        <v>314.5</v>
      </c>
      <c r="Y108" s="118">
        <f t="shared" si="36"/>
        <v>355.1</v>
      </c>
      <c r="Z108" s="118">
        <f t="shared" si="36"/>
        <v>358.5</v>
      </c>
      <c r="AA108" s="118">
        <f t="shared" si="36"/>
        <v>340.90000000000003</v>
      </c>
      <c r="AB108" s="118">
        <f t="shared" si="36"/>
        <v>314.19999999999993</v>
      </c>
      <c r="AC108" s="118">
        <f t="shared" si="36"/>
        <v>292.20000000000005</v>
      </c>
      <c r="AD108" s="118">
        <f t="shared" si="36"/>
        <v>292.20000000000005</v>
      </c>
      <c r="AE108" s="118">
        <f t="shared" si="36"/>
        <v>158</v>
      </c>
      <c r="AF108" s="118">
        <f t="shared" si="36"/>
        <v>141.10000000000002</v>
      </c>
      <c r="AG108" s="119"/>
      <c r="AH108" s="52">
        <f t="shared" si="18"/>
        <v>358.5</v>
      </c>
      <c r="AI108" s="53">
        <f t="shared" si="19"/>
        <v>42</v>
      </c>
    </row>
    <row r="109" spans="1:88" x14ac:dyDescent="0.25">
      <c r="A109" s="107" t="s">
        <v>113</v>
      </c>
      <c r="B109" s="120">
        <v>-22.2</v>
      </c>
      <c r="C109" s="120">
        <v>-31.7</v>
      </c>
      <c r="D109" s="120">
        <v>-26.5</v>
      </c>
      <c r="E109" s="120">
        <v>-26.5</v>
      </c>
      <c r="F109" s="120">
        <v>-32.5</v>
      </c>
      <c r="G109" s="120">
        <v>-26.3</v>
      </c>
      <c r="H109" s="120">
        <v>-16.399999999999999</v>
      </c>
      <c r="I109" s="120">
        <v>-5.7</v>
      </c>
      <c r="J109" s="120">
        <v>8.3000000000000007</v>
      </c>
      <c r="K109" s="120">
        <v>13.1</v>
      </c>
      <c r="L109" s="120">
        <v>14.5</v>
      </c>
      <c r="M109" s="120">
        <v>10.5</v>
      </c>
      <c r="N109" s="120">
        <v>6.5</v>
      </c>
      <c r="O109" s="120">
        <v>14.1</v>
      </c>
      <c r="P109" s="120">
        <v>11.9</v>
      </c>
      <c r="Q109" s="120">
        <v>14.3</v>
      </c>
      <c r="R109" s="120">
        <v>-2</v>
      </c>
      <c r="S109" s="120">
        <v>10.199999999999999</v>
      </c>
      <c r="T109" s="120">
        <v>15</v>
      </c>
      <c r="U109" s="120">
        <v>20</v>
      </c>
      <c r="V109" s="120">
        <v>20</v>
      </c>
      <c r="W109" s="120">
        <v>16</v>
      </c>
      <c r="X109" s="120">
        <v>30.8</v>
      </c>
      <c r="Y109" s="120">
        <v>27.6</v>
      </c>
      <c r="Z109" s="120">
        <v>31.7</v>
      </c>
      <c r="AA109" s="120">
        <v>31</v>
      </c>
      <c r="AB109" s="120">
        <v>18.399999999999999</v>
      </c>
      <c r="AC109" s="120">
        <v>15.7</v>
      </c>
      <c r="AD109" s="120">
        <v>15.7</v>
      </c>
      <c r="AE109" s="120">
        <v>-11.9</v>
      </c>
      <c r="AF109" s="120">
        <v>-20.399999999999999</v>
      </c>
      <c r="AG109" s="121">
        <v>75</v>
      </c>
      <c r="AH109" s="52">
        <f t="shared" si="18"/>
        <v>31.7</v>
      </c>
      <c r="AI109" s="53">
        <f t="shared" si="19"/>
        <v>-32.5</v>
      </c>
    </row>
    <row r="110" spans="1:88" x14ac:dyDescent="0.25">
      <c r="A110" s="110" t="s">
        <v>114</v>
      </c>
      <c r="B110" s="122">
        <v>-27.6</v>
      </c>
      <c r="C110" s="122">
        <v>-42.5</v>
      </c>
      <c r="D110" s="122">
        <v>-34</v>
      </c>
      <c r="E110" s="122">
        <v>-34</v>
      </c>
      <c r="F110" s="122">
        <v>-40.799999999999997</v>
      </c>
      <c r="G110" s="122">
        <v>-34.4</v>
      </c>
      <c r="H110" s="122">
        <v>-18</v>
      </c>
      <c r="I110" s="122">
        <v>-10.4</v>
      </c>
      <c r="J110" s="122">
        <v>9.1999999999999993</v>
      </c>
      <c r="K110" s="122">
        <v>10.6</v>
      </c>
      <c r="L110" s="122">
        <v>9.8000000000000007</v>
      </c>
      <c r="M110" s="122">
        <v>4.2</v>
      </c>
      <c r="N110" s="122">
        <v>0</v>
      </c>
      <c r="O110" s="122">
        <v>11.9</v>
      </c>
      <c r="P110" s="122">
        <v>14.1</v>
      </c>
      <c r="Q110" s="122">
        <v>18.2</v>
      </c>
      <c r="R110" s="122">
        <v>-5.3</v>
      </c>
      <c r="S110" s="122">
        <v>11.8</v>
      </c>
      <c r="T110" s="122">
        <v>16</v>
      </c>
      <c r="U110" s="122">
        <v>20.9</v>
      </c>
      <c r="V110" s="122">
        <v>20.9</v>
      </c>
      <c r="W110" s="122">
        <v>16.100000000000001</v>
      </c>
      <c r="X110" s="122">
        <v>33.299999999999997</v>
      </c>
      <c r="Y110" s="122">
        <v>29</v>
      </c>
      <c r="Z110" s="122">
        <v>34.200000000000003</v>
      </c>
      <c r="AA110" s="122">
        <v>34.1</v>
      </c>
      <c r="AB110" s="122">
        <v>16.3</v>
      </c>
      <c r="AC110" s="122">
        <v>13.4</v>
      </c>
      <c r="AD110" s="122">
        <v>13.4</v>
      </c>
      <c r="AE110" s="122">
        <v>-20</v>
      </c>
      <c r="AF110" s="122">
        <v>-26.3</v>
      </c>
      <c r="AG110" s="121">
        <v>240</v>
      </c>
      <c r="AH110" s="52">
        <f t="shared" si="18"/>
        <v>34.200000000000003</v>
      </c>
      <c r="AI110" s="53">
        <f t="shared" si="19"/>
        <v>-42.5</v>
      </c>
    </row>
    <row r="111" spans="1:88" x14ac:dyDescent="0.25">
      <c r="A111" s="110" t="s">
        <v>115</v>
      </c>
      <c r="B111" s="122">
        <v>0</v>
      </c>
      <c r="C111" s="122">
        <v>-5</v>
      </c>
      <c r="D111" s="122">
        <v>-11.5</v>
      </c>
      <c r="E111" s="122">
        <v>-11.5</v>
      </c>
      <c r="F111" s="122">
        <v>-6</v>
      </c>
      <c r="G111" s="122">
        <v>-0.9</v>
      </c>
      <c r="H111" s="122">
        <v>2</v>
      </c>
      <c r="I111" s="122">
        <v>6</v>
      </c>
      <c r="J111" s="122">
        <v>11.5</v>
      </c>
      <c r="K111" s="122">
        <v>33.5</v>
      </c>
      <c r="L111" s="122">
        <v>62</v>
      </c>
      <c r="M111" s="122">
        <f>34.4+36.8</f>
        <v>71.199999999999989</v>
      </c>
      <c r="N111" s="122">
        <f>30.7+33</f>
        <v>63.7</v>
      </c>
      <c r="O111" s="122">
        <f>26+28.2</f>
        <v>54.2</v>
      </c>
      <c r="P111" s="122">
        <f>15.7+16.8</f>
        <v>32.5</v>
      </c>
      <c r="Q111" s="122">
        <v>23.6</v>
      </c>
      <c r="R111" s="122">
        <f>18.5+20.2</f>
        <v>38.700000000000003</v>
      </c>
      <c r="S111" s="122">
        <v>29.1</v>
      </c>
      <c r="T111" s="122">
        <v>31</v>
      </c>
      <c r="U111" s="122">
        <v>34</v>
      </c>
      <c r="V111" s="122">
        <v>34</v>
      </c>
      <c r="W111" s="122">
        <v>46</v>
      </c>
      <c r="X111" s="122">
        <v>52</v>
      </c>
      <c r="Y111" s="122">
        <v>44</v>
      </c>
      <c r="Z111" s="122">
        <v>51</v>
      </c>
      <c r="AA111" s="122">
        <v>47</v>
      </c>
      <c r="AB111" s="122">
        <v>61</v>
      </c>
      <c r="AC111" s="122">
        <f>28.6+31.3</f>
        <v>59.900000000000006</v>
      </c>
      <c r="AD111" s="122">
        <f>28.6+31.3</f>
        <v>59.900000000000006</v>
      </c>
      <c r="AE111" s="122">
        <v>3</v>
      </c>
      <c r="AF111" s="122">
        <v>-12</v>
      </c>
      <c r="AG111" s="121">
        <v>240</v>
      </c>
      <c r="AH111" s="52">
        <f t="shared" si="18"/>
        <v>71.199999999999989</v>
      </c>
      <c r="AI111" s="53">
        <f t="shared" si="19"/>
        <v>-12</v>
      </c>
    </row>
    <row r="112" spans="1:88" x14ac:dyDescent="0.25">
      <c r="A112" s="110" t="s">
        <v>116</v>
      </c>
      <c r="B112" s="122">
        <v>-4.4000000000000004</v>
      </c>
      <c r="C112" s="122">
        <v>2.6</v>
      </c>
      <c r="D112" s="122">
        <v>-0.9</v>
      </c>
      <c r="E112" s="122">
        <v>-0.9</v>
      </c>
      <c r="F112" s="122">
        <v>3</v>
      </c>
      <c r="G112" s="122">
        <v>4.5999999999999996</v>
      </c>
      <c r="H112" s="122">
        <v>3</v>
      </c>
      <c r="I112" s="122">
        <v>7.5</v>
      </c>
      <c r="J112" s="122">
        <v>12.8</v>
      </c>
      <c r="K112" s="122">
        <v>18.399999999999999</v>
      </c>
      <c r="L112" s="122">
        <v>24.4</v>
      </c>
      <c r="M112" s="122">
        <v>25.6</v>
      </c>
      <c r="N112" s="122">
        <v>21.3</v>
      </c>
      <c r="O112" s="122">
        <v>16</v>
      </c>
      <c r="P112" s="122">
        <v>14.6</v>
      </c>
      <c r="Q112" s="122">
        <v>11</v>
      </c>
      <c r="R112" s="122">
        <v>13.1</v>
      </c>
      <c r="S112" s="122">
        <v>9</v>
      </c>
      <c r="T112" s="122">
        <v>9</v>
      </c>
      <c r="U112" s="122">
        <v>8.6999999999999993</v>
      </c>
      <c r="V112" s="122">
        <v>8.6999999999999993</v>
      </c>
      <c r="W112" s="122">
        <v>10.199999999999999</v>
      </c>
      <c r="X112" s="122">
        <v>10.7</v>
      </c>
      <c r="Y112" s="122">
        <v>38.700000000000003</v>
      </c>
      <c r="Z112" s="122">
        <v>36.299999999999997</v>
      </c>
      <c r="AA112" s="122">
        <v>25.8</v>
      </c>
      <c r="AB112" s="122">
        <v>12.2</v>
      </c>
      <c r="AC112" s="122">
        <v>12.4</v>
      </c>
      <c r="AD112" s="122">
        <v>12.4</v>
      </c>
      <c r="AE112" s="122">
        <v>13</v>
      </c>
      <c r="AF112" s="122">
        <v>12.6</v>
      </c>
      <c r="AG112" s="121">
        <v>60</v>
      </c>
      <c r="AH112" s="52">
        <f t="shared" si="18"/>
        <v>38.700000000000003</v>
      </c>
      <c r="AI112" s="53">
        <f t="shared" si="19"/>
        <v>-4.4000000000000004</v>
      </c>
    </row>
    <row r="113" spans="1:37" x14ac:dyDescent="0.25">
      <c r="A113" s="123" t="s">
        <v>117</v>
      </c>
      <c r="B113" s="124">
        <v>102.2</v>
      </c>
      <c r="C113" s="124">
        <v>102.4</v>
      </c>
      <c r="D113" s="124">
        <v>88.4</v>
      </c>
      <c r="E113" s="124">
        <v>88.4</v>
      </c>
      <c r="F113" s="124">
        <v>94.2</v>
      </c>
      <c r="G113" s="124">
        <v>103</v>
      </c>
      <c r="H113" s="124">
        <v>107</v>
      </c>
      <c r="I113" s="124">
        <v>106.4</v>
      </c>
      <c r="J113" s="124">
        <v>104.74</v>
      </c>
      <c r="K113" s="124">
        <v>116.3</v>
      </c>
      <c r="L113" s="124">
        <v>113.6</v>
      </c>
      <c r="M113" s="124">
        <v>112.8</v>
      </c>
      <c r="N113" s="124">
        <v>112.4</v>
      </c>
      <c r="O113" s="124">
        <v>100.4</v>
      </c>
      <c r="P113" s="124">
        <v>106.2</v>
      </c>
      <c r="Q113" s="124">
        <v>98.2</v>
      </c>
      <c r="R113" s="124">
        <v>114</v>
      </c>
      <c r="S113" s="124">
        <v>102.3</v>
      </c>
      <c r="T113" s="124">
        <v>105</v>
      </c>
      <c r="U113" s="124">
        <v>98.7</v>
      </c>
      <c r="V113" s="124">
        <v>98.7</v>
      </c>
      <c r="W113" s="124">
        <v>107</v>
      </c>
      <c r="X113" s="124">
        <v>96</v>
      </c>
      <c r="Y113" s="124">
        <v>124.1</v>
      </c>
      <c r="Z113" s="124">
        <v>113.6</v>
      </c>
      <c r="AA113" s="124">
        <v>111.3</v>
      </c>
      <c r="AB113" s="124">
        <v>114.6</v>
      </c>
      <c r="AC113" s="124">
        <v>101.4</v>
      </c>
      <c r="AD113" s="124">
        <v>101.4</v>
      </c>
      <c r="AE113" s="124">
        <v>97.7</v>
      </c>
      <c r="AF113" s="124">
        <v>101</v>
      </c>
      <c r="AG113" s="125">
        <v>120</v>
      </c>
      <c r="AH113" s="52">
        <f t="shared" si="18"/>
        <v>124.1</v>
      </c>
      <c r="AI113" s="53">
        <f t="shared" si="19"/>
        <v>88.4</v>
      </c>
    </row>
    <row r="114" spans="1:37" x14ac:dyDescent="0.25">
      <c r="A114" s="123" t="s">
        <v>118</v>
      </c>
      <c r="B114" s="124">
        <v>78.8</v>
      </c>
      <c r="C114" s="124">
        <v>93.4</v>
      </c>
      <c r="D114" s="124">
        <v>88.4</v>
      </c>
      <c r="E114" s="124">
        <v>88.4</v>
      </c>
      <c r="F114" s="124">
        <v>91.6</v>
      </c>
      <c r="G114" s="124">
        <v>101</v>
      </c>
      <c r="H114" s="124">
        <v>99.5</v>
      </c>
      <c r="I114" s="124">
        <v>101</v>
      </c>
      <c r="J114" s="124">
        <v>94.7</v>
      </c>
      <c r="K114" s="124">
        <v>95.8</v>
      </c>
      <c r="L114" s="124">
        <v>90.6</v>
      </c>
      <c r="M114" s="124">
        <v>99.1</v>
      </c>
      <c r="N114" s="124">
        <v>100.1</v>
      </c>
      <c r="O114" s="124">
        <v>106.9</v>
      </c>
      <c r="P114" s="124">
        <v>95.2</v>
      </c>
      <c r="Q114" s="124">
        <v>77</v>
      </c>
      <c r="R114" s="124">
        <v>330</v>
      </c>
      <c r="S114" s="124">
        <v>80.599999999999994</v>
      </c>
      <c r="T114" s="124">
        <v>87</v>
      </c>
      <c r="U114" s="124">
        <v>89.6</v>
      </c>
      <c r="V114" s="124">
        <v>89.6</v>
      </c>
      <c r="W114" s="124">
        <v>87</v>
      </c>
      <c r="X114" s="124">
        <v>86</v>
      </c>
      <c r="Y114" s="124">
        <v>89</v>
      </c>
      <c r="Z114" s="124">
        <v>84</v>
      </c>
      <c r="AA114" s="124">
        <v>75</v>
      </c>
      <c r="AB114" s="124">
        <v>90.8</v>
      </c>
      <c r="AC114" s="124">
        <v>86.1</v>
      </c>
      <c r="AD114" s="124">
        <v>86.1</v>
      </c>
      <c r="AE114" s="124">
        <v>83.2</v>
      </c>
      <c r="AF114" s="124">
        <v>100.5</v>
      </c>
      <c r="AG114" s="125"/>
      <c r="AH114" s="52">
        <f t="shared" si="18"/>
        <v>330</v>
      </c>
      <c r="AI114" s="53">
        <f t="shared" si="19"/>
        <v>75</v>
      </c>
    </row>
    <row r="115" spans="1:37" x14ac:dyDescent="0.25">
      <c r="A115" s="123" t="s">
        <v>119</v>
      </c>
      <c r="B115" s="124">
        <v>44.9</v>
      </c>
      <c r="C115" s="124"/>
      <c r="D115" s="124">
        <v>51.1</v>
      </c>
      <c r="E115" s="124">
        <v>51.1</v>
      </c>
      <c r="F115" s="124">
        <v>54.5</v>
      </c>
      <c r="G115" s="124">
        <v>56.8</v>
      </c>
      <c r="H115" s="124">
        <v>58</v>
      </c>
      <c r="I115" s="124">
        <v>38.1</v>
      </c>
      <c r="J115" s="124">
        <v>13.8</v>
      </c>
      <c r="K115" s="124">
        <v>11.5</v>
      </c>
      <c r="L115" s="124">
        <v>18.600000000000001</v>
      </c>
      <c r="M115" s="124">
        <v>19.100000000000001</v>
      </c>
      <c r="N115" s="124">
        <v>21.5</v>
      </c>
      <c r="O115" s="124">
        <v>20.100000000000001</v>
      </c>
      <c r="P115" s="124"/>
      <c r="Q115" s="124">
        <v>15.8</v>
      </c>
      <c r="R115" s="124"/>
      <c r="S115" s="124">
        <v>21.4</v>
      </c>
      <c r="T115" s="124">
        <v>17</v>
      </c>
      <c r="U115" s="124">
        <v>12</v>
      </c>
      <c r="V115" s="124">
        <v>12</v>
      </c>
      <c r="W115" s="124">
        <v>9.4</v>
      </c>
      <c r="X115" s="124">
        <v>20.100000000000001</v>
      </c>
      <c r="Y115" s="124">
        <v>1.6</v>
      </c>
      <c r="Z115" s="124">
        <v>-1</v>
      </c>
      <c r="AA115" s="124">
        <v>-0.3</v>
      </c>
      <c r="AB115" s="124">
        <v>16.2</v>
      </c>
      <c r="AC115" s="124">
        <v>10.8</v>
      </c>
      <c r="AD115" s="124">
        <v>10.8</v>
      </c>
      <c r="AE115" s="124"/>
      <c r="AF115" s="124">
        <v>34.799999999999997</v>
      </c>
      <c r="AG115" s="126"/>
      <c r="AH115" s="52">
        <f t="shared" si="18"/>
        <v>58</v>
      </c>
      <c r="AI115" s="53">
        <f t="shared" si="19"/>
        <v>-1</v>
      </c>
    </row>
    <row r="116" spans="1:37" x14ac:dyDescent="0.25">
      <c r="A116" s="127" t="s">
        <v>120</v>
      </c>
      <c r="B116" s="113">
        <v>17</v>
      </c>
      <c r="C116" s="113">
        <v>22</v>
      </c>
      <c r="D116" s="113">
        <v>25</v>
      </c>
      <c r="E116" s="113">
        <v>26</v>
      </c>
      <c r="F116" s="113">
        <v>27</v>
      </c>
      <c r="G116" s="113">
        <v>31</v>
      </c>
      <c r="H116" s="113">
        <v>33</v>
      </c>
      <c r="I116" s="113">
        <v>34</v>
      </c>
      <c r="J116" s="113">
        <v>28</v>
      </c>
      <c r="K116" s="113">
        <v>28</v>
      </c>
      <c r="L116" s="113">
        <v>19</v>
      </c>
      <c r="M116" s="113">
        <v>-30</v>
      </c>
      <c r="N116" s="113">
        <v>-20.100000000000001</v>
      </c>
      <c r="O116" s="113">
        <v>-27.9</v>
      </c>
      <c r="P116" s="113">
        <v>34.9</v>
      </c>
      <c r="Q116" s="113">
        <v>-50</v>
      </c>
      <c r="R116" s="113">
        <v>-52</v>
      </c>
      <c r="S116" s="113">
        <v>33.1</v>
      </c>
      <c r="T116" s="113">
        <v>15</v>
      </c>
      <c r="U116" s="113">
        <v>5.8</v>
      </c>
      <c r="V116" s="113">
        <v>5.8</v>
      </c>
      <c r="W116" s="113">
        <v>0</v>
      </c>
      <c r="X116" s="113">
        <v>-10.3</v>
      </c>
      <c r="Y116" s="113">
        <v>-24.1</v>
      </c>
      <c r="Z116" s="113">
        <v>-14.6</v>
      </c>
      <c r="AA116" s="113">
        <v>-1.8</v>
      </c>
      <c r="AB116" s="113">
        <v>6.1</v>
      </c>
      <c r="AC116" s="113">
        <v>16.3</v>
      </c>
      <c r="AD116" s="113">
        <v>16.3</v>
      </c>
      <c r="AE116" s="113">
        <v>45.5</v>
      </c>
      <c r="AF116" s="113">
        <v>48.6</v>
      </c>
      <c r="AG116" s="126"/>
      <c r="AH116" s="52">
        <f t="shared" si="18"/>
        <v>48.6</v>
      </c>
      <c r="AI116" s="53">
        <f t="shared" si="19"/>
        <v>-52</v>
      </c>
    </row>
    <row r="117" spans="1:37" ht="15.75" thickBot="1" x14ac:dyDescent="0.3">
      <c r="A117" s="127" t="s">
        <v>121</v>
      </c>
      <c r="B117" s="113">
        <v>54.4</v>
      </c>
      <c r="C117" s="113">
        <v>43</v>
      </c>
      <c r="D117" s="113">
        <v>37.700000000000003</v>
      </c>
      <c r="E117" s="113">
        <v>37.700000000000003</v>
      </c>
      <c r="F117" s="113">
        <v>27</v>
      </c>
      <c r="G117" s="113">
        <v>6.1</v>
      </c>
      <c r="H117" s="113">
        <v>7</v>
      </c>
      <c r="I117" s="113">
        <v>37.700000000000003</v>
      </c>
      <c r="J117" s="113">
        <v>21.8</v>
      </c>
      <c r="K117" s="113">
        <v>37.299999999999997</v>
      </c>
      <c r="L117" s="113">
        <v>41.1</v>
      </c>
      <c r="M117" s="113">
        <v>43.5</v>
      </c>
      <c r="N117" s="113">
        <v>51.6</v>
      </c>
      <c r="O117" s="113">
        <v>67.599999999999994</v>
      </c>
      <c r="P117" s="113">
        <v>65.400000000000006</v>
      </c>
      <c r="Q117" s="113">
        <v>69.2</v>
      </c>
      <c r="R117" s="113">
        <v>80.599999999999994</v>
      </c>
      <c r="S117" s="113">
        <v>61.7</v>
      </c>
      <c r="T117" s="113">
        <v>60</v>
      </c>
      <c r="U117" s="113">
        <v>62.4</v>
      </c>
      <c r="V117" s="113">
        <v>62.4</v>
      </c>
      <c r="W117" s="113">
        <v>67.099999999999994</v>
      </c>
      <c r="X117" s="113">
        <v>80.2</v>
      </c>
      <c r="Y117" s="113">
        <v>96.8</v>
      </c>
      <c r="Z117" s="113">
        <v>88.8</v>
      </c>
      <c r="AA117" s="113">
        <v>87.6</v>
      </c>
      <c r="AB117" s="113">
        <v>83.3</v>
      </c>
      <c r="AC117" s="113">
        <v>76.400000000000006</v>
      </c>
      <c r="AD117" s="113">
        <v>76.400000000000006</v>
      </c>
      <c r="AE117" s="113">
        <v>58.6</v>
      </c>
      <c r="AF117" s="113">
        <v>51.2</v>
      </c>
      <c r="AG117" s="126"/>
      <c r="AH117" s="52">
        <f t="shared" si="18"/>
        <v>96.8</v>
      </c>
      <c r="AI117" s="53">
        <f t="shared" si="19"/>
        <v>6.1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38">SUM(B119:B223)</f>
        <v>0</v>
      </c>
      <c r="C224" s="144">
        <f t="shared" si="38"/>
        <v>0</v>
      </c>
      <c r="D224" s="144">
        <f t="shared" si="38"/>
        <v>0</v>
      </c>
      <c r="E224" s="144">
        <f t="shared" si="38"/>
        <v>0</v>
      </c>
      <c r="F224" s="144">
        <f t="shared" si="38"/>
        <v>0</v>
      </c>
      <c r="G224" s="144">
        <f t="shared" si="38"/>
        <v>0</v>
      </c>
      <c r="H224" s="144">
        <f t="shared" si="38"/>
        <v>0</v>
      </c>
      <c r="I224" s="144">
        <f t="shared" si="38"/>
        <v>0</v>
      </c>
      <c r="J224" s="144">
        <f t="shared" si="38"/>
        <v>0</v>
      </c>
      <c r="K224" s="144">
        <f t="shared" si="38"/>
        <v>0</v>
      </c>
      <c r="L224" s="144">
        <f t="shared" si="38"/>
        <v>0</v>
      </c>
      <c r="M224" s="144">
        <f t="shared" si="38"/>
        <v>0</v>
      </c>
      <c r="N224" s="144">
        <f t="shared" si="38"/>
        <v>0</v>
      </c>
      <c r="O224" s="144">
        <f t="shared" si="38"/>
        <v>0</v>
      </c>
      <c r="P224" s="144">
        <f t="shared" si="38"/>
        <v>0</v>
      </c>
      <c r="Q224" s="144">
        <f t="shared" si="38"/>
        <v>0</v>
      </c>
      <c r="R224" s="144">
        <f t="shared" si="38"/>
        <v>0</v>
      </c>
      <c r="S224" s="144">
        <f t="shared" si="38"/>
        <v>0</v>
      </c>
      <c r="T224" s="144">
        <f t="shared" si="38"/>
        <v>0</v>
      </c>
      <c r="U224" s="144">
        <f t="shared" si="38"/>
        <v>0</v>
      </c>
      <c r="V224" s="144">
        <f t="shared" si="38"/>
        <v>0</v>
      </c>
      <c r="W224" s="144">
        <f t="shared" si="38"/>
        <v>0</v>
      </c>
      <c r="X224" s="144">
        <f t="shared" si="38"/>
        <v>0</v>
      </c>
      <c r="Y224" s="144">
        <f t="shared" si="38"/>
        <v>0</v>
      </c>
      <c r="Z224" s="144">
        <f t="shared" si="38"/>
        <v>0</v>
      </c>
      <c r="AA224" s="144">
        <f t="shared" si="38"/>
        <v>0</v>
      </c>
      <c r="AB224" s="144">
        <f t="shared" si="38"/>
        <v>0</v>
      </c>
      <c r="AC224" s="144">
        <f t="shared" si="38"/>
        <v>0</v>
      </c>
      <c r="AD224" s="144">
        <f t="shared" si="38"/>
        <v>0</v>
      </c>
      <c r="AE224" s="144">
        <f t="shared" si="38"/>
        <v>0</v>
      </c>
      <c r="AF224" s="145">
        <f t="shared" si="38"/>
        <v>0</v>
      </c>
      <c r="AG224" s="146">
        <f t="shared" si="38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39">AF226</f>
        <v>0</v>
      </c>
      <c r="C226" s="149">
        <v>0.3</v>
      </c>
      <c r="D226" s="149">
        <f t="shared" ref="D226:P231" si="40">C226</f>
        <v>0.3</v>
      </c>
      <c r="E226" s="149">
        <f t="shared" si="40"/>
        <v>0.3</v>
      </c>
      <c r="F226" s="149">
        <f t="shared" si="40"/>
        <v>0.3</v>
      </c>
      <c r="G226" s="149">
        <f t="shared" si="40"/>
        <v>0.3</v>
      </c>
      <c r="H226" s="149">
        <f t="shared" si="40"/>
        <v>0.3</v>
      </c>
      <c r="I226" s="149">
        <f t="shared" si="40"/>
        <v>0.3</v>
      </c>
      <c r="J226" s="149">
        <f t="shared" si="40"/>
        <v>0.3</v>
      </c>
      <c r="K226" s="149">
        <f t="shared" si="40"/>
        <v>0.3</v>
      </c>
      <c r="L226" s="149">
        <f t="shared" si="40"/>
        <v>0.3</v>
      </c>
      <c r="M226" s="149">
        <f t="shared" si="40"/>
        <v>0.3</v>
      </c>
      <c r="N226" s="149">
        <f t="shared" si="40"/>
        <v>0.3</v>
      </c>
      <c r="O226" s="149">
        <f t="shared" si="40"/>
        <v>0.3</v>
      </c>
      <c r="P226" s="149">
        <f t="shared" si="40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39"/>
        <v>0</v>
      </c>
      <c r="C227" s="136">
        <v>0.4</v>
      </c>
      <c r="D227" s="136">
        <f t="shared" si="40"/>
        <v>0.4</v>
      </c>
      <c r="E227" s="136">
        <f t="shared" si="40"/>
        <v>0.4</v>
      </c>
      <c r="F227" s="136">
        <f t="shared" si="40"/>
        <v>0.4</v>
      </c>
      <c r="G227" s="136">
        <f t="shared" si="40"/>
        <v>0.4</v>
      </c>
      <c r="H227" s="136">
        <f t="shared" si="40"/>
        <v>0.4</v>
      </c>
      <c r="I227" s="136">
        <f t="shared" si="40"/>
        <v>0.4</v>
      </c>
      <c r="J227" s="136">
        <f t="shared" si="40"/>
        <v>0.4</v>
      </c>
      <c r="K227" s="136">
        <f t="shared" si="40"/>
        <v>0.4</v>
      </c>
      <c r="L227" s="136">
        <f t="shared" si="40"/>
        <v>0.4</v>
      </c>
      <c r="M227" s="136">
        <f t="shared" si="40"/>
        <v>0.4</v>
      </c>
      <c r="N227" s="136">
        <f t="shared" si="40"/>
        <v>0.4</v>
      </c>
      <c r="O227" s="136">
        <f t="shared" si="40"/>
        <v>0.4</v>
      </c>
      <c r="P227" s="136">
        <f t="shared" si="40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39"/>
        <v>0</v>
      </c>
      <c r="C228" s="136">
        <v>1.5</v>
      </c>
      <c r="D228" s="136">
        <f t="shared" si="40"/>
        <v>1.5</v>
      </c>
      <c r="E228" s="136">
        <f t="shared" si="40"/>
        <v>1.5</v>
      </c>
      <c r="F228" s="136">
        <f t="shared" si="40"/>
        <v>1.5</v>
      </c>
      <c r="G228" s="136">
        <f t="shared" si="40"/>
        <v>1.5</v>
      </c>
      <c r="H228" s="136">
        <f t="shared" si="40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0"/>
        <v>1.5</v>
      </c>
      <c r="K228" s="136">
        <f t="shared" ca="1" si="40"/>
        <v>1.5</v>
      </c>
      <c r="L228" s="136">
        <f t="shared" ca="1" si="40"/>
        <v>1.5</v>
      </c>
      <c r="M228" s="136">
        <f t="shared" ca="1" si="40"/>
        <v>1.5</v>
      </c>
      <c r="N228" s="136">
        <f t="shared" ca="1" si="40"/>
        <v>1.5</v>
      </c>
      <c r="O228" s="136">
        <f t="shared" ca="1" si="40"/>
        <v>1.5</v>
      </c>
      <c r="P228" s="136">
        <f t="shared" ca="1" si="40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39"/>
        <v>0</v>
      </c>
      <c r="C229" s="136">
        <v>0.3</v>
      </c>
      <c r="D229" s="136">
        <f t="shared" si="40"/>
        <v>0.3</v>
      </c>
      <c r="E229" s="136">
        <f t="shared" si="40"/>
        <v>0.3</v>
      </c>
      <c r="F229" s="136">
        <f t="shared" si="40"/>
        <v>0.3</v>
      </c>
      <c r="G229" s="136">
        <f t="shared" si="40"/>
        <v>0.3</v>
      </c>
      <c r="H229" s="136">
        <f t="shared" si="40"/>
        <v>0.3</v>
      </c>
      <c r="I229" s="136">
        <f t="shared" si="40"/>
        <v>0.3</v>
      </c>
      <c r="J229" s="136">
        <f t="shared" si="40"/>
        <v>0.3</v>
      </c>
      <c r="K229" s="136">
        <f t="shared" si="40"/>
        <v>0.3</v>
      </c>
      <c r="L229" s="136">
        <f t="shared" si="40"/>
        <v>0.3</v>
      </c>
      <c r="M229" s="136">
        <f t="shared" si="40"/>
        <v>0.3</v>
      </c>
      <c r="N229" s="136">
        <f t="shared" si="40"/>
        <v>0.3</v>
      </c>
      <c r="O229" s="136">
        <f t="shared" si="40"/>
        <v>0.3</v>
      </c>
      <c r="P229" s="136">
        <f t="shared" si="40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39"/>
        <v>0</v>
      </c>
      <c r="C230" s="136">
        <v>0.4</v>
      </c>
      <c r="D230" s="136">
        <f t="shared" si="40"/>
        <v>0.4</v>
      </c>
      <c r="E230" s="136">
        <f t="shared" si="40"/>
        <v>0.4</v>
      </c>
      <c r="F230" s="136">
        <f t="shared" si="40"/>
        <v>0.4</v>
      </c>
      <c r="G230" s="136">
        <f t="shared" si="40"/>
        <v>0.4</v>
      </c>
      <c r="H230" s="136">
        <f t="shared" si="40"/>
        <v>0.4</v>
      </c>
      <c r="I230" s="136">
        <f t="shared" si="40"/>
        <v>0.4</v>
      </c>
      <c r="J230" s="136">
        <f t="shared" si="40"/>
        <v>0.4</v>
      </c>
      <c r="K230" s="136">
        <f t="shared" si="40"/>
        <v>0.4</v>
      </c>
      <c r="L230" s="136">
        <f t="shared" si="40"/>
        <v>0.4</v>
      </c>
      <c r="M230" s="136">
        <f t="shared" si="40"/>
        <v>0.4</v>
      </c>
      <c r="N230" s="136">
        <f t="shared" si="40"/>
        <v>0.4</v>
      </c>
      <c r="O230" s="136">
        <f t="shared" si="40"/>
        <v>0.4</v>
      </c>
      <c r="P230" s="136">
        <f t="shared" si="40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39"/>
        <v>0</v>
      </c>
      <c r="C231" s="140">
        <v>0.64</v>
      </c>
      <c r="D231" s="140">
        <f t="shared" si="40"/>
        <v>0.64</v>
      </c>
      <c r="E231" s="140">
        <f t="shared" si="40"/>
        <v>0.64</v>
      </c>
      <c r="F231" s="140">
        <f t="shared" si="40"/>
        <v>0.64</v>
      </c>
      <c r="G231" s="140">
        <f t="shared" si="40"/>
        <v>0.64</v>
      </c>
      <c r="H231" s="140">
        <f t="shared" si="40"/>
        <v>0.64</v>
      </c>
      <c r="I231" s="140">
        <f t="shared" si="40"/>
        <v>0.64</v>
      </c>
      <c r="J231" s="140">
        <f t="shared" si="40"/>
        <v>0.64</v>
      </c>
      <c r="K231" s="140">
        <f t="shared" si="40"/>
        <v>0.64</v>
      </c>
      <c r="L231" s="140">
        <f t="shared" si="40"/>
        <v>0.64</v>
      </c>
      <c r="M231" s="140">
        <f t="shared" si="40"/>
        <v>0.64</v>
      </c>
      <c r="N231" s="140">
        <f t="shared" si="40"/>
        <v>0.64</v>
      </c>
      <c r="O231" s="140">
        <f t="shared" si="40"/>
        <v>0.64</v>
      </c>
      <c r="P231" s="140">
        <f t="shared" si="40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41">SUM(B226:B231)</f>
        <v>0</v>
      </c>
      <c r="C232" s="144">
        <f t="shared" si="41"/>
        <v>3.54</v>
      </c>
      <c r="D232" s="144">
        <f t="shared" si="41"/>
        <v>3.54</v>
      </c>
      <c r="E232" s="144">
        <f t="shared" si="41"/>
        <v>3.54</v>
      </c>
      <c r="F232" s="144">
        <f t="shared" si="41"/>
        <v>3.54</v>
      </c>
      <c r="G232" s="144">
        <f t="shared" si="41"/>
        <v>3.54</v>
      </c>
      <c r="H232" s="144">
        <f t="shared" si="41"/>
        <v>3.54</v>
      </c>
      <c r="I232" s="144">
        <f t="shared" ca="1" si="41"/>
        <v>3.54</v>
      </c>
      <c r="J232" s="144">
        <f t="shared" ca="1" si="41"/>
        <v>3.54</v>
      </c>
      <c r="K232" s="144">
        <f t="shared" ca="1" si="41"/>
        <v>3.54</v>
      </c>
      <c r="L232" s="144">
        <f t="shared" ca="1" si="41"/>
        <v>3.54</v>
      </c>
      <c r="M232" s="144">
        <f t="shared" ca="1" si="41"/>
        <v>3.54</v>
      </c>
      <c r="N232" s="144">
        <f t="shared" ca="1" si="41"/>
        <v>3.54</v>
      </c>
      <c r="O232" s="144">
        <f t="shared" ca="1" si="41"/>
        <v>3.54</v>
      </c>
      <c r="P232" s="144">
        <f t="shared" ca="1" si="41"/>
        <v>3.54</v>
      </c>
      <c r="Q232" s="144">
        <f t="shared" si="41"/>
        <v>0</v>
      </c>
      <c r="R232" s="144">
        <f t="shared" si="41"/>
        <v>0</v>
      </c>
      <c r="S232" s="144">
        <f t="shared" si="41"/>
        <v>0</v>
      </c>
      <c r="T232" s="144">
        <f t="shared" si="41"/>
        <v>0</v>
      </c>
      <c r="U232" s="144">
        <f t="shared" si="41"/>
        <v>0</v>
      </c>
      <c r="V232" s="144">
        <f t="shared" si="41"/>
        <v>0</v>
      </c>
      <c r="W232" s="144">
        <f t="shared" si="41"/>
        <v>0</v>
      </c>
      <c r="X232" s="144">
        <f t="shared" si="41"/>
        <v>0</v>
      </c>
      <c r="Y232" s="144">
        <f t="shared" si="41"/>
        <v>0</v>
      </c>
      <c r="Z232" s="144">
        <f t="shared" si="41"/>
        <v>0</v>
      </c>
      <c r="AA232" s="144">
        <f t="shared" si="41"/>
        <v>0</v>
      </c>
      <c r="AB232" s="144">
        <f t="shared" si="41"/>
        <v>0</v>
      </c>
      <c r="AC232" s="144">
        <f t="shared" si="41"/>
        <v>0</v>
      </c>
      <c r="AD232" s="144">
        <f t="shared" si="41"/>
        <v>0</v>
      </c>
      <c r="AE232" s="144">
        <f t="shared" si="41"/>
        <v>0</v>
      </c>
      <c r="AF232" s="144">
        <f t="shared" si="41"/>
        <v>0</v>
      </c>
      <c r="AG232" s="154">
        <f t="shared" si="41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1254.54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05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2079/12/5)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2079/12/5)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42">B89</f>
        <v>933.1400000000001</v>
      </c>
      <c r="U246" s="180">
        <f t="shared" si="42"/>
        <v>873.74</v>
      </c>
      <c r="V246" s="180">
        <f t="shared" si="42"/>
        <v>873.64</v>
      </c>
      <c r="W246" s="180">
        <f t="shared" si="42"/>
        <v>771.64</v>
      </c>
      <c r="X246" s="180">
        <f t="shared" si="42"/>
        <v>782.83999999999992</v>
      </c>
      <c r="Y246" s="180">
        <f t="shared" si="42"/>
        <v>788.04</v>
      </c>
      <c r="Z246" s="180">
        <f t="shared" si="42"/>
        <v>865.54</v>
      </c>
      <c r="AA246" s="180">
        <f t="shared" si="42"/>
        <v>927.14</v>
      </c>
      <c r="AB246" s="180">
        <f t="shared" si="42"/>
        <v>1028.92</v>
      </c>
      <c r="AC246" s="180">
        <f t="shared" si="42"/>
        <v>1091.24</v>
      </c>
      <c r="AD246" s="180">
        <f t="shared" si="42"/>
        <v>1254.54</v>
      </c>
      <c r="AE246" s="180">
        <f t="shared" si="42"/>
        <v>1220.24</v>
      </c>
      <c r="AF246" s="180">
        <f t="shared" si="42"/>
        <v>1216.8400000000001</v>
      </c>
      <c r="AG246" s="180">
        <f t="shared" si="42"/>
        <v>1245.54</v>
      </c>
      <c r="AH246" s="180">
        <f t="shared" si="42"/>
        <v>1281.8399999999999</v>
      </c>
      <c r="AI246" s="180">
        <f t="shared" si="42"/>
        <v>1233.7399999999998</v>
      </c>
      <c r="AJ246" s="180">
        <f t="shared" si="42"/>
        <v>1158.44</v>
      </c>
      <c r="AK246" s="180">
        <f t="shared" si="42"/>
        <v>1201.3399999999999</v>
      </c>
      <c r="AL246" s="180">
        <f t="shared" si="42"/>
        <v>1245.3400000000001</v>
      </c>
      <c r="AM246" s="180">
        <f t="shared" si="42"/>
        <v>1248.44</v>
      </c>
      <c r="AN246" s="180">
        <f t="shared" si="42"/>
        <v>1207.54</v>
      </c>
      <c r="AO246" s="180">
        <f t="shared" si="42"/>
        <v>1300.6399999999999</v>
      </c>
      <c r="AP246" s="180">
        <f t="shared" si="42"/>
        <v>1377.44</v>
      </c>
      <c r="AQ246" s="180">
        <f t="shared" si="42"/>
        <v>1529.84</v>
      </c>
      <c r="AR246" s="180">
        <f t="shared" si="42"/>
        <v>1507.7399999999998</v>
      </c>
      <c r="AS246" s="180">
        <f t="shared" si="42"/>
        <v>1441.04</v>
      </c>
      <c r="AT246" s="180">
        <f t="shared" si="42"/>
        <v>1389.84</v>
      </c>
      <c r="AU246" s="180">
        <f t="shared" si="42"/>
        <v>1336.24</v>
      </c>
      <c r="AV246" s="180">
        <f t="shared" si="42"/>
        <v>1192.3400000000001</v>
      </c>
      <c r="AW246" s="180">
        <f t="shared" si="42"/>
        <v>1014.0400000000001</v>
      </c>
      <c r="AX246" s="180">
        <f t="shared" si="42"/>
        <v>979.44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43">C231</f>
        <v>0.64</v>
      </c>
      <c r="C267" s="183">
        <f t="shared" si="43"/>
        <v>0.64</v>
      </c>
      <c r="D267" s="183">
        <f t="shared" si="43"/>
        <v>0.64</v>
      </c>
      <c r="E267" s="183">
        <f t="shared" si="43"/>
        <v>0.64</v>
      </c>
      <c r="F267" s="183">
        <f t="shared" si="43"/>
        <v>0.64</v>
      </c>
      <c r="G267" s="183">
        <f t="shared" si="43"/>
        <v>0.64</v>
      </c>
      <c r="H267" s="183">
        <f t="shared" si="43"/>
        <v>0.64</v>
      </c>
      <c r="I267" s="183">
        <f t="shared" si="43"/>
        <v>0.64</v>
      </c>
      <c r="J267" s="183">
        <f t="shared" si="43"/>
        <v>0.64</v>
      </c>
      <c r="K267" s="183">
        <f t="shared" si="43"/>
        <v>0.64</v>
      </c>
      <c r="L267" s="183">
        <f t="shared" si="43"/>
        <v>0.64</v>
      </c>
      <c r="M267" s="183">
        <f t="shared" si="43"/>
        <v>0.64</v>
      </c>
      <c r="N267" s="183">
        <f t="shared" si="43"/>
        <v>0.64</v>
      </c>
      <c r="O267" s="183">
        <f t="shared" si="43"/>
        <v>0.64</v>
      </c>
      <c r="P267" s="183">
        <f t="shared" si="43"/>
        <v>0</v>
      </c>
      <c r="Q267" s="183">
        <f t="shared" si="43"/>
        <v>0</v>
      </c>
      <c r="R267" s="183">
        <f t="shared" si="43"/>
        <v>0</v>
      </c>
      <c r="S267" s="183">
        <f t="shared" si="43"/>
        <v>0</v>
      </c>
      <c r="T267" s="183">
        <f t="shared" si="43"/>
        <v>0</v>
      </c>
      <c r="U267" s="183">
        <f t="shared" si="43"/>
        <v>0</v>
      </c>
      <c r="V267" s="183">
        <f t="shared" si="43"/>
        <v>0</v>
      </c>
      <c r="W267" s="183">
        <f t="shared" si="43"/>
        <v>0</v>
      </c>
      <c r="X267" s="183">
        <f t="shared" si="43"/>
        <v>0</v>
      </c>
      <c r="Y267" s="183">
        <f t="shared" si="43"/>
        <v>0</v>
      </c>
      <c r="Z267" s="183">
        <f t="shared" si="43"/>
        <v>0</v>
      </c>
      <c r="AA267" s="183">
        <f t="shared" si="43"/>
        <v>0</v>
      </c>
      <c r="AB267" s="183">
        <f t="shared" si="43"/>
        <v>0</v>
      </c>
      <c r="AC267" s="183">
        <f t="shared" si="43"/>
        <v>0</v>
      </c>
      <c r="AD267" s="183">
        <f t="shared" si="43"/>
        <v>0</v>
      </c>
      <c r="AE267" s="183">
        <f t="shared" si="43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4">IF(B235&lt;100,"",B235-520)</f>
        <v/>
      </c>
      <c r="C268" s="184" t="str">
        <f t="shared" si="44"/>
        <v/>
      </c>
      <c r="D268" s="184" t="str">
        <f t="shared" si="44"/>
        <v/>
      </c>
      <c r="E268" s="184" t="str">
        <f t="shared" si="44"/>
        <v/>
      </c>
      <c r="F268" s="184" t="str">
        <f t="shared" si="44"/>
        <v/>
      </c>
      <c r="G268" s="184" t="str">
        <f t="shared" si="44"/>
        <v/>
      </c>
      <c r="H268" s="184" t="str">
        <f t="shared" si="44"/>
        <v/>
      </c>
      <c r="I268" s="184" t="str">
        <f t="shared" si="44"/>
        <v/>
      </c>
      <c r="J268" s="184" t="str">
        <f t="shared" si="44"/>
        <v/>
      </c>
      <c r="K268" s="184" t="str">
        <f t="shared" si="44"/>
        <v/>
      </c>
      <c r="L268" s="184" t="str">
        <f t="shared" si="44"/>
        <v/>
      </c>
      <c r="M268" s="184" t="str">
        <f t="shared" si="44"/>
        <v/>
      </c>
      <c r="N268" s="184" t="str">
        <f t="shared" si="44"/>
        <v/>
      </c>
      <c r="O268" s="184" t="str">
        <f t="shared" si="44"/>
        <v/>
      </c>
      <c r="P268" s="184" t="str">
        <f t="shared" si="44"/>
        <v/>
      </c>
      <c r="Q268" s="184" t="str">
        <f t="shared" si="44"/>
        <v/>
      </c>
      <c r="R268" s="184" t="str">
        <f t="shared" si="44"/>
        <v/>
      </c>
      <c r="S268" s="184" t="str">
        <f t="shared" si="44"/>
        <v/>
      </c>
      <c r="T268" s="184" t="str">
        <f t="shared" si="44"/>
        <v/>
      </c>
      <c r="U268" s="184" t="str">
        <f t="shared" si="44"/>
        <v/>
      </c>
      <c r="V268" s="184" t="str">
        <f t="shared" si="44"/>
        <v/>
      </c>
      <c r="W268" s="184" t="str">
        <f t="shared" si="44"/>
        <v/>
      </c>
      <c r="X268" s="184" t="str">
        <f t="shared" si="44"/>
        <v/>
      </c>
      <c r="Y268" s="184" t="str">
        <f t="shared" si="44"/>
        <v/>
      </c>
      <c r="Z268" s="184" t="str">
        <f t="shared" si="44"/>
        <v/>
      </c>
      <c r="AA268" s="184" t="str">
        <f t="shared" si="44"/>
        <v/>
      </c>
      <c r="AB268" s="184" t="str">
        <f t="shared" si="44"/>
        <v/>
      </c>
      <c r="AC268" s="184" t="str">
        <f t="shared" si="44"/>
        <v/>
      </c>
      <c r="AD268" s="184" t="str">
        <f t="shared" si="44"/>
        <v/>
      </c>
      <c r="AE268" s="184" t="str">
        <f t="shared" si="44"/>
        <v/>
      </c>
      <c r="AF268" s="184" t="str">
        <f t="shared" si="44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5">IF(B236&lt;100,"",B236-620)</f>
        <v/>
      </c>
      <c r="C269" s="184" t="str">
        <f t="shared" si="45"/>
        <v/>
      </c>
      <c r="D269" s="184" t="str">
        <f t="shared" si="45"/>
        <v/>
      </c>
      <c r="E269" s="184" t="str">
        <f t="shared" si="45"/>
        <v/>
      </c>
      <c r="F269" s="184" t="str">
        <f t="shared" si="45"/>
        <v/>
      </c>
      <c r="G269" s="184" t="str">
        <f t="shared" si="45"/>
        <v/>
      </c>
      <c r="H269" s="184" t="str">
        <f t="shared" si="45"/>
        <v/>
      </c>
      <c r="I269" s="184" t="str">
        <f t="shared" si="45"/>
        <v/>
      </c>
      <c r="J269" s="184" t="str">
        <f t="shared" si="45"/>
        <v/>
      </c>
      <c r="K269" s="184" t="str">
        <f t="shared" si="45"/>
        <v/>
      </c>
      <c r="L269" s="184" t="str">
        <f t="shared" si="45"/>
        <v/>
      </c>
      <c r="M269" s="184" t="str">
        <f t="shared" si="45"/>
        <v/>
      </c>
      <c r="N269" s="184" t="str">
        <f t="shared" si="45"/>
        <v/>
      </c>
      <c r="O269" s="184" t="str">
        <f t="shared" si="45"/>
        <v/>
      </c>
      <c r="P269" s="184" t="str">
        <f t="shared" si="45"/>
        <v/>
      </c>
      <c r="Q269" s="184" t="str">
        <f t="shared" si="45"/>
        <v/>
      </c>
      <c r="R269" s="184" t="str">
        <f t="shared" si="45"/>
        <v/>
      </c>
      <c r="S269" s="184" t="str">
        <f t="shared" si="45"/>
        <v/>
      </c>
      <c r="T269" s="184" t="str">
        <f t="shared" si="45"/>
        <v/>
      </c>
      <c r="U269" s="184" t="str">
        <f t="shared" si="45"/>
        <v/>
      </c>
      <c r="V269" s="184" t="str">
        <f t="shared" si="45"/>
        <v/>
      </c>
      <c r="W269" s="184" t="str">
        <f t="shared" si="45"/>
        <v/>
      </c>
      <c r="X269" s="184" t="str">
        <f t="shared" si="45"/>
        <v/>
      </c>
      <c r="Y269" s="184" t="str">
        <f t="shared" si="45"/>
        <v/>
      </c>
      <c r="Z269" s="184" t="str">
        <f t="shared" si="45"/>
        <v/>
      </c>
      <c r="AA269" s="184" t="str">
        <f t="shared" si="45"/>
        <v/>
      </c>
      <c r="AB269" s="184" t="str">
        <f t="shared" si="45"/>
        <v/>
      </c>
      <c r="AC269" s="184" t="str">
        <f t="shared" si="45"/>
        <v/>
      </c>
      <c r="AD269" s="184" t="str">
        <f t="shared" si="45"/>
        <v/>
      </c>
      <c r="AE269" s="184" t="str">
        <f t="shared" si="45"/>
        <v/>
      </c>
      <c r="AF269" s="184" t="str">
        <f t="shared" si="45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6">IF(B237&lt;100,"",B237-330)</f>
        <v/>
      </c>
      <c r="C270" s="184" t="str">
        <f t="shared" si="46"/>
        <v/>
      </c>
      <c r="D270" s="184" t="str">
        <f t="shared" si="46"/>
        <v/>
      </c>
      <c r="E270" s="184" t="str">
        <f t="shared" si="46"/>
        <v/>
      </c>
      <c r="F270" s="184" t="str">
        <f t="shared" si="46"/>
        <v/>
      </c>
      <c r="G270" s="184" t="str">
        <f t="shared" si="46"/>
        <v/>
      </c>
      <c r="H270" s="184" t="str">
        <f t="shared" si="46"/>
        <v/>
      </c>
      <c r="I270" s="184" t="str">
        <f t="shared" si="46"/>
        <v/>
      </c>
      <c r="J270" s="184" t="str">
        <f t="shared" si="46"/>
        <v/>
      </c>
      <c r="K270" s="184" t="str">
        <f t="shared" si="46"/>
        <v/>
      </c>
      <c r="L270" s="184" t="str">
        <f t="shared" si="46"/>
        <v/>
      </c>
      <c r="M270" s="184" t="str">
        <f t="shared" si="46"/>
        <v/>
      </c>
      <c r="N270" s="184" t="str">
        <f t="shared" si="46"/>
        <v/>
      </c>
      <c r="O270" s="184" t="str">
        <f t="shared" si="46"/>
        <v/>
      </c>
      <c r="P270" s="184" t="str">
        <f t="shared" si="46"/>
        <v/>
      </c>
      <c r="Q270" s="184" t="str">
        <f t="shared" si="46"/>
        <v/>
      </c>
      <c r="R270" s="184" t="str">
        <f t="shared" si="46"/>
        <v/>
      </c>
      <c r="S270" s="184" t="str">
        <f t="shared" si="46"/>
        <v/>
      </c>
      <c r="T270" s="184" t="str">
        <f t="shared" si="46"/>
        <v/>
      </c>
      <c r="U270" s="184" t="str">
        <f t="shared" si="46"/>
        <v/>
      </c>
      <c r="V270" s="184" t="str">
        <f t="shared" si="46"/>
        <v/>
      </c>
      <c r="W270" s="184" t="str">
        <f t="shared" si="46"/>
        <v/>
      </c>
      <c r="X270" s="184" t="str">
        <f t="shared" si="46"/>
        <v/>
      </c>
      <c r="Y270" s="184" t="str">
        <f t="shared" si="46"/>
        <v/>
      </c>
      <c r="Z270" s="184" t="str">
        <f t="shared" si="46"/>
        <v/>
      </c>
      <c r="AA270" s="184" t="str">
        <f t="shared" si="46"/>
        <v/>
      </c>
      <c r="AB270" s="184" t="str">
        <f t="shared" si="46"/>
        <v/>
      </c>
      <c r="AC270" s="184" t="str">
        <f t="shared" si="46"/>
        <v/>
      </c>
      <c r="AD270" s="184" t="str">
        <f t="shared" si="46"/>
        <v/>
      </c>
      <c r="AE270" s="184" t="str">
        <f t="shared" si="46"/>
        <v/>
      </c>
      <c r="AF270" s="184" t="str">
        <f t="shared" si="46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7">IF(B238&lt;100,"",B238-1500)</f>
        <v/>
      </c>
      <c r="C271" s="184" t="str">
        <f t="shared" si="47"/>
        <v/>
      </c>
      <c r="D271" s="184" t="str">
        <f t="shared" si="47"/>
        <v/>
      </c>
      <c r="E271" s="184" t="str">
        <f t="shared" si="47"/>
        <v/>
      </c>
      <c r="F271" s="184" t="str">
        <f t="shared" si="47"/>
        <v/>
      </c>
      <c r="G271" s="184" t="str">
        <f t="shared" si="47"/>
        <v/>
      </c>
      <c r="H271" s="184" t="str">
        <f t="shared" si="47"/>
        <v/>
      </c>
      <c r="I271" s="184" t="str">
        <f t="shared" si="47"/>
        <v/>
      </c>
      <c r="J271" s="184" t="str">
        <f t="shared" si="47"/>
        <v/>
      </c>
      <c r="K271" s="184" t="str">
        <f t="shared" si="47"/>
        <v/>
      </c>
      <c r="L271" s="184" t="str">
        <f t="shared" si="47"/>
        <v/>
      </c>
      <c r="M271" s="184" t="str">
        <f t="shared" si="47"/>
        <v/>
      </c>
      <c r="N271" s="184" t="str">
        <f t="shared" si="47"/>
        <v/>
      </c>
      <c r="O271" s="184" t="str">
        <f t="shared" si="47"/>
        <v/>
      </c>
      <c r="P271" s="184" t="str">
        <f t="shared" si="47"/>
        <v/>
      </c>
      <c r="Q271" s="184" t="str">
        <f t="shared" si="47"/>
        <v/>
      </c>
      <c r="R271" s="184" t="str">
        <f t="shared" si="47"/>
        <v/>
      </c>
      <c r="S271" s="184" t="str">
        <f t="shared" si="47"/>
        <v/>
      </c>
      <c r="T271" s="184" t="str">
        <f t="shared" si="47"/>
        <v/>
      </c>
      <c r="U271" s="184" t="str">
        <f t="shared" si="47"/>
        <v/>
      </c>
      <c r="V271" s="184" t="str">
        <f t="shared" si="47"/>
        <v/>
      </c>
      <c r="W271" s="184" t="str">
        <f t="shared" si="47"/>
        <v/>
      </c>
      <c r="X271" s="184" t="str">
        <f t="shared" si="47"/>
        <v/>
      </c>
      <c r="Y271" s="184" t="str">
        <f t="shared" si="47"/>
        <v/>
      </c>
      <c r="Z271" s="184" t="str">
        <f t="shared" si="47"/>
        <v/>
      </c>
      <c r="AA271" s="184" t="str">
        <f t="shared" si="47"/>
        <v/>
      </c>
      <c r="AB271" s="184" t="str">
        <f t="shared" si="47"/>
        <v/>
      </c>
      <c r="AC271" s="184" t="str">
        <f t="shared" si="47"/>
        <v/>
      </c>
      <c r="AD271" s="184" t="str">
        <f t="shared" si="47"/>
        <v/>
      </c>
      <c r="AE271" s="184" t="str">
        <f t="shared" si="47"/>
        <v/>
      </c>
      <c r="AF271" s="184" t="str">
        <f t="shared" si="47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7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1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0453" priority="467">
      <formula>B$9&gt;=20/24</formula>
    </cfRule>
    <cfRule type="expression" dxfId="10452" priority="468">
      <formula>AND(B$9&gt;=14/24,B$9&lt;20/24)</formula>
    </cfRule>
    <cfRule type="expression" dxfId="10451" priority="469">
      <formula>AND(B$9&gt;=8/24,B$9&lt;14/24)</formula>
    </cfRule>
    <cfRule type="expression" dxfId="10450" priority="470">
      <formula>B$9&lt;8/24</formula>
    </cfRule>
  </conditionalFormatting>
  <conditionalFormatting sqref="AL4:AL6">
    <cfRule type="iconSet" priority="466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0449" priority="465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0448" priority="464">
      <formula>$AH12=0</formula>
    </cfRule>
  </conditionalFormatting>
  <conditionalFormatting sqref="A114">
    <cfRule type="expression" dxfId="10447" priority="463">
      <formula>$AH114=0</formula>
    </cfRule>
  </conditionalFormatting>
  <conditionalFormatting sqref="AL42">
    <cfRule type="iconSet" priority="462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0446" priority="461">
      <formula>$AH45=0</formula>
    </cfRule>
  </conditionalFormatting>
  <conditionalFormatting sqref="A98">
    <cfRule type="expression" dxfId="10445" priority="460">
      <formula>$AH98=0</formula>
    </cfRule>
  </conditionalFormatting>
  <conditionalFormatting sqref="A18">
    <cfRule type="expression" dxfId="10444" priority="459">
      <formula>$AH18=0</formula>
    </cfRule>
  </conditionalFormatting>
  <conditionalFormatting sqref="A196:A201">
    <cfRule type="expression" dxfId="10443" priority="458">
      <formula>$AH196=0</formula>
    </cfRule>
  </conditionalFormatting>
  <conditionalFormatting sqref="A190:A195">
    <cfRule type="expression" dxfId="10442" priority="457">
      <formula>$AH190=0</formula>
    </cfRule>
  </conditionalFormatting>
  <conditionalFormatting sqref="A58">
    <cfRule type="expression" dxfId="10441" priority="456">
      <formula>$AH58=0</formula>
    </cfRule>
  </conditionalFormatting>
  <conditionalFormatting sqref="A94">
    <cfRule type="expression" dxfId="10440" priority="455">
      <formula>$AH94=0</formula>
    </cfRule>
  </conditionalFormatting>
  <conditionalFormatting sqref="E99:X99 AE99:AF99">
    <cfRule type="expression" dxfId="10439" priority="451">
      <formula>E$9&gt;=20/24</formula>
    </cfRule>
    <cfRule type="expression" dxfId="10438" priority="452">
      <formula>AND(E$9&gt;=14/24,E$9&lt;20/24)</formula>
    </cfRule>
    <cfRule type="expression" dxfId="10437" priority="453">
      <formula>AND(E$9&gt;=8/24,E$9&lt;14/24)</formula>
    </cfRule>
    <cfRule type="expression" dxfId="10436" priority="454">
      <formula>E$9&lt;8/24</formula>
    </cfRule>
  </conditionalFormatting>
  <conditionalFormatting sqref="AL43">
    <cfRule type="iconSet" priority="45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435" priority="473">
      <formula>C$9&gt;=20/24</formula>
    </cfRule>
    <cfRule type="expression" dxfId="10434" priority="474">
      <formula>AND(C$9&gt;=14/24,C$9&lt;20/24)</formula>
    </cfRule>
    <cfRule type="expression" dxfId="10433" priority="475">
      <formula>AND(C$9&gt;=8/24,C$9&lt;14/24)</formula>
    </cfRule>
    <cfRule type="expression" dxfId="10432" priority="476">
      <formula>C$9&lt;8/24</formula>
    </cfRule>
  </conditionalFormatting>
  <conditionalFormatting sqref="A233">
    <cfRule type="expression" dxfId="10431" priority="477">
      <formula>$AH233=0</formula>
    </cfRule>
  </conditionalFormatting>
  <conditionalFormatting sqref="AG245">
    <cfRule type="expression" dxfId="10430" priority="478">
      <formula>B$9&gt;=20/24</formula>
    </cfRule>
    <cfRule type="expression" dxfId="10429" priority="479">
      <formula>AND(B$9&gt;=14/24,B$9&lt;20/24)</formula>
    </cfRule>
    <cfRule type="expression" dxfId="10428" priority="480">
      <formula>AND(B$9&gt;=8/24,B$9&lt;14/24)</formula>
    </cfRule>
    <cfRule type="expression" dxfId="10427" priority="481">
      <formula>B$9&lt;8/24</formula>
    </cfRule>
  </conditionalFormatting>
  <conditionalFormatting sqref="S8">
    <cfRule type="expression" dxfId="10426" priority="446">
      <formula>U$9&gt;=20/24</formula>
    </cfRule>
    <cfRule type="expression" dxfId="10425" priority="447">
      <formula>AND(U$9&gt;=14/24,U$9&lt;20/24)</formula>
    </cfRule>
    <cfRule type="expression" dxfId="10424" priority="448">
      <formula>AND(U$9&gt;=8/24,U$9&lt;14/24)</formula>
    </cfRule>
    <cfRule type="expression" dxfId="10423" priority="449">
      <formula>U$9&lt;8/24</formula>
    </cfRule>
  </conditionalFormatting>
  <conditionalFormatting sqref="AB8">
    <cfRule type="expression" dxfId="10422" priority="442">
      <formula>AD$9&gt;=20/24</formula>
    </cfRule>
    <cfRule type="expression" dxfId="10421" priority="443">
      <formula>AND(AD$9&gt;=14/24,AD$9&lt;20/24)</formula>
    </cfRule>
    <cfRule type="expression" dxfId="10420" priority="444">
      <formula>AND(AD$9&gt;=8/24,AD$9&lt;14/24)</formula>
    </cfRule>
    <cfRule type="expression" dxfId="10419" priority="445">
      <formula>AD$9&lt;8/24</formula>
    </cfRule>
  </conditionalFormatting>
  <conditionalFormatting sqref="AH245:AX245">
    <cfRule type="expression" dxfId="10418" priority="482">
      <formula>AG$9&gt;=20/24</formula>
    </cfRule>
    <cfRule type="expression" dxfId="10417" priority="483">
      <formula>AND(AG$9&gt;=14/24,AG$9&lt;20/24)</formula>
    </cfRule>
    <cfRule type="expression" dxfId="10416" priority="484">
      <formula>AND(AG$9&gt;=8/24,AG$9&lt;14/24)</formula>
    </cfRule>
    <cfRule type="expression" dxfId="10415" priority="485">
      <formula>AG$9&lt;8/24</formula>
    </cfRule>
  </conditionalFormatting>
  <conditionalFormatting sqref="T245">
    <cfRule type="expression" dxfId="10414" priority="486">
      <formula>AX$9&gt;=20/24</formula>
    </cfRule>
    <cfRule type="expression" dxfId="10413" priority="487">
      <formula>AND(AX$9&gt;=14/24,AX$9&lt;20/24)</formula>
    </cfRule>
    <cfRule type="expression" dxfId="10412" priority="488">
      <formula>AND(AX$9&gt;=8/24,AX$9&lt;14/24)</formula>
    </cfRule>
    <cfRule type="expression" dxfId="10411" priority="489">
      <formula>AX$9&lt;8/24</formula>
    </cfRule>
  </conditionalFormatting>
  <conditionalFormatting sqref="A115:A116">
    <cfRule type="expression" dxfId="10410" priority="441">
      <formula>$AH115=0</formula>
    </cfRule>
  </conditionalFormatting>
  <conditionalFormatting sqref="P54:Q58 R56:R58 G71:AF71 AB54:AF55">
    <cfRule type="expression" dxfId="10409" priority="437">
      <formula>G$9&gt;=20/24</formula>
    </cfRule>
    <cfRule type="expression" dxfId="10408" priority="438">
      <formula>AND(G$9&gt;=14/24,G$9&lt;20/24)</formula>
    </cfRule>
    <cfRule type="expression" dxfId="10407" priority="439">
      <formula>AND(G$9&gt;=8/24,G$9&lt;14/24)</formula>
    </cfRule>
    <cfRule type="expression" dxfId="10406" priority="440">
      <formula>G$9&lt;8/24</formula>
    </cfRule>
  </conditionalFormatting>
  <conditionalFormatting sqref="P53:Q53 AB53:AF53">
    <cfRule type="expression" dxfId="10405" priority="433">
      <formula>P$9&gt;=20/24</formula>
    </cfRule>
    <cfRule type="expression" dxfId="10404" priority="434">
      <formula>AND(P$9&gt;=14/24,P$9&lt;20/24)</formula>
    </cfRule>
    <cfRule type="expression" dxfId="10403" priority="435">
      <formula>AND(P$9&gt;=8/24,P$9&lt;14/24)</formula>
    </cfRule>
    <cfRule type="expression" dxfId="10402" priority="436">
      <formula>P$9&lt;8/24</formula>
    </cfRule>
  </conditionalFormatting>
  <conditionalFormatting sqref="P53:Q58 R56:R58 AB53:AF55">
    <cfRule type="expression" dxfId="10401" priority="432">
      <formula>P53&gt;$AG53</formula>
    </cfRule>
  </conditionalFormatting>
  <conditionalFormatting sqref="X96:AF96 E73:L73 X47:AF47 G72:L72 D86:AF86 M72:X73 M100:X106 Y67:AF69 Y72:AF74 AE100:AF106">
    <cfRule type="expression" dxfId="10400" priority="428">
      <formula>D$9&gt;=20/24</formula>
    </cfRule>
    <cfRule type="expression" dxfId="10399" priority="429">
      <formula>AND(D$9&gt;=14/24,D$9&lt;20/24)</formula>
    </cfRule>
    <cfRule type="expression" dxfId="10398" priority="430">
      <formula>AND(D$9&gt;=8/24,D$9&lt;14/24)</formula>
    </cfRule>
    <cfRule type="expression" dxfId="10397" priority="431">
      <formula>D$9&lt;8/24</formula>
    </cfRule>
  </conditionalFormatting>
  <conditionalFormatting sqref="X47:AF47 Y67:AF69">
    <cfRule type="expression" dxfId="10396" priority="427">
      <formula>X47&gt;$AG47</formula>
    </cfRule>
  </conditionalFormatting>
  <conditionalFormatting sqref="R53:AA55 S56:AF58">
    <cfRule type="expression" dxfId="10395" priority="423">
      <formula>R$9&gt;=20/24</formula>
    </cfRule>
    <cfRule type="expression" dxfId="10394" priority="424">
      <formula>AND(R$9&gt;=14/24,R$9&lt;20/24)</formula>
    </cfRule>
    <cfRule type="expression" dxfId="10393" priority="425">
      <formula>AND(R$9&gt;=8/24,R$9&lt;14/24)</formula>
    </cfRule>
    <cfRule type="expression" dxfId="10392" priority="426">
      <formula>R$9&lt;8/24</formula>
    </cfRule>
  </conditionalFormatting>
  <conditionalFormatting sqref="R53:AA55 S56:AF58">
    <cfRule type="expression" dxfId="10391" priority="422">
      <formula>R53&gt;$AG53</formula>
    </cfRule>
  </conditionalFormatting>
  <conditionalFormatting sqref="C97:AF97 D88:AF88">
    <cfRule type="expression" dxfId="10390" priority="418">
      <formula>C$9&gt;=20/24</formula>
    </cfRule>
    <cfRule type="expression" dxfId="10389" priority="419">
      <formula>AND(C$9&gt;=14/24,C$9&lt;20/24)</formula>
    </cfRule>
    <cfRule type="expression" dxfId="10388" priority="420">
      <formula>AND(C$9&gt;=8/24,C$9&lt;14/24)</formula>
    </cfRule>
    <cfRule type="expression" dxfId="10387" priority="421">
      <formula>C$9&lt;8/24</formula>
    </cfRule>
  </conditionalFormatting>
  <conditionalFormatting sqref="T47:W47">
    <cfRule type="expression" dxfId="10386" priority="414">
      <formula>T$9&gt;=20/24</formula>
    </cfRule>
    <cfRule type="expression" dxfId="10385" priority="415">
      <formula>AND(T$9&gt;=14/24,T$9&lt;20/24)</formula>
    </cfRule>
    <cfRule type="expression" dxfId="10384" priority="416">
      <formula>AND(T$9&gt;=8/24,T$9&lt;14/24)</formula>
    </cfRule>
    <cfRule type="expression" dxfId="10383" priority="417">
      <formula>T$9&lt;8/24</formula>
    </cfRule>
  </conditionalFormatting>
  <conditionalFormatting sqref="T47:W47">
    <cfRule type="expression" dxfId="10382" priority="413">
      <formula>T47&gt;$AG47</formula>
    </cfRule>
  </conditionalFormatting>
  <conditionalFormatting sqref="H54:O55">
    <cfRule type="expression" dxfId="10381" priority="409">
      <formula>H$9&gt;=20/24</formula>
    </cfRule>
    <cfRule type="expression" dxfId="10380" priority="410">
      <formula>AND(H$9&gt;=14/24,H$9&lt;20/24)</formula>
    </cfRule>
    <cfRule type="expression" dxfId="10379" priority="411">
      <formula>AND(H$9&gt;=8/24,H$9&lt;14/24)</formula>
    </cfRule>
    <cfRule type="expression" dxfId="10378" priority="412">
      <formula>H$9&lt;8/24</formula>
    </cfRule>
  </conditionalFormatting>
  <conditionalFormatting sqref="H53:O53">
    <cfRule type="expression" dxfId="10377" priority="405">
      <formula>H$9&gt;=20/24</formula>
    </cfRule>
    <cfRule type="expression" dxfId="10376" priority="406">
      <formula>AND(H$9&gt;=14/24,H$9&lt;20/24)</formula>
    </cfRule>
    <cfRule type="expression" dxfId="10375" priority="407">
      <formula>AND(H$9&gt;=8/24,H$9&lt;14/24)</formula>
    </cfRule>
    <cfRule type="expression" dxfId="10374" priority="408">
      <formula>H$9&lt;8/24</formula>
    </cfRule>
  </conditionalFormatting>
  <conditionalFormatting sqref="H53:O55">
    <cfRule type="expression" dxfId="10373" priority="404">
      <formula>H53&gt;$AG53</formula>
    </cfRule>
  </conditionalFormatting>
  <conditionalFormatting sqref="AG70 AG87 I100:L106 Q67:X69">
    <cfRule type="expression" dxfId="10372" priority="400">
      <formula>I$9&gt;=20/24</formula>
    </cfRule>
    <cfRule type="expression" dxfId="10371" priority="401">
      <formula>AND(I$9&gt;=14/24,I$9&lt;20/24)</formula>
    </cfRule>
    <cfRule type="expression" dxfId="10370" priority="402">
      <formula>AND(I$9&gt;=8/24,I$9&lt;14/24)</formula>
    </cfRule>
    <cfRule type="expression" dxfId="10369" priority="403">
      <formula>I$9&lt;8/24</formula>
    </cfRule>
  </conditionalFormatting>
  <conditionalFormatting sqref="AG48 AG66 AG70 Q67:X69">
    <cfRule type="expression" dxfId="10368" priority="399">
      <formula>Q48&gt;$AG48</formula>
    </cfRule>
  </conditionalFormatting>
  <conditionalFormatting sqref="A43">
    <cfRule type="expression" dxfId="10367" priority="393">
      <formula>$AH43=0</formula>
    </cfRule>
  </conditionalFormatting>
  <conditionalFormatting sqref="X91:AF95">
    <cfRule type="expression" dxfId="10366" priority="389">
      <formula>X$9&gt;=20/24</formula>
    </cfRule>
    <cfRule type="expression" dxfId="10365" priority="390">
      <formula>AND(X$9&gt;=14/24,X$9&lt;20/24)</formula>
    </cfRule>
    <cfRule type="expression" dxfId="10364" priority="391">
      <formula>AND(X$9&gt;=8/24,X$9&lt;14/24)</formula>
    </cfRule>
    <cfRule type="expression" dxfId="10363" priority="392">
      <formula>X$9&lt;8/24</formula>
    </cfRule>
  </conditionalFormatting>
  <conditionalFormatting sqref="AL45 AL41 AL22:AL32 AL38:AL39 AL7:AL15 AL17:AL20 AL34:AL36">
    <cfRule type="iconSet" priority="490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0362" priority="385">
      <formula>E$9&gt;=20/24</formula>
    </cfRule>
    <cfRule type="expression" dxfId="10361" priority="386">
      <formula>AND(E$9&gt;=14/24,E$9&lt;20/24)</formula>
    </cfRule>
    <cfRule type="expression" dxfId="10360" priority="387">
      <formula>AND(E$9&gt;=8/24,E$9&lt;14/24)</formula>
    </cfRule>
    <cfRule type="expression" dxfId="10359" priority="388">
      <formula>E$9&lt;8/24</formula>
    </cfRule>
  </conditionalFormatting>
  <conditionalFormatting sqref="E49:AF51">
    <cfRule type="expression" dxfId="10358" priority="384">
      <formula>E49&gt;$AG49</formula>
    </cfRule>
  </conditionalFormatting>
  <conditionalFormatting sqref="AG52">
    <cfRule type="expression" dxfId="10357" priority="380">
      <formula>AG$9&gt;=20/24</formula>
    </cfRule>
    <cfRule type="expression" dxfId="10356" priority="381">
      <formula>AND(AG$9&gt;=14/24,AG$9&lt;20/24)</formula>
    </cfRule>
    <cfRule type="expression" dxfId="10355" priority="382">
      <formula>AND(AG$9&gt;=8/24,AG$9&lt;14/24)</formula>
    </cfRule>
    <cfRule type="expression" dxfId="10354" priority="383">
      <formula>AG$9&lt;8/24</formula>
    </cfRule>
  </conditionalFormatting>
  <conditionalFormatting sqref="AG52">
    <cfRule type="expression" dxfId="10353" priority="379">
      <formula>AG52&gt;$AG52</formula>
    </cfRule>
  </conditionalFormatting>
  <conditionalFormatting sqref="C107:AF107">
    <cfRule type="expression" dxfId="10352" priority="375">
      <formula>C$9&gt;=20/24</formula>
    </cfRule>
    <cfRule type="expression" dxfId="10351" priority="376">
      <formula>AND(C$9&gt;=14/24,C$9&lt;20/24)</formula>
    </cfRule>
    <cfRule type="expression" dxfId="10350" priority="377">
      <formula>AND(C$9&gt;=8/24,C$9&lt;14/24)</formula>
    </cfRule>
    <cfRule type="expression" dxfId="10349" priority="378">
      <formula>C$9&lt;8/24</formula>
    </cfRule>
  </conditionalFormatting>
  <conditionalFormatting sqref="AL40">
    <cfRule type="iconSet" priority="374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0348" priority="373">
      <formula>$AH40=0</formula>
    </cfRule>
  </conditionalFormatting>
  <conditionalFormatting sqref="A90">
    <cfRule type="expression" dxfId="10347" priority="371">
      <formula>$AH90=0</formula>
    </cfRule>
  </conditionalFormatting>
  <conditionalFormatting sqref="A87">
    <cfRule type="expression" dxfId="10346" priority="372">
      <formula>$AH87=0</formula>
    </cfRule>
  </conditionalFormatting>
  <conditionalFormatting sqref="D110:AF110">
    <cfRule type="expression" dxfId="10345" priority="367">
      <formula>D$9&gt;=20/24</formula>
    </cfRule>
    <cfRule type="expression" dxfId="10344" priority="368">
      <formula>AND(D$9&gt;=14/24,D$9&lt;20/24)</formula>
    </cfRule>
    <cfRule type="expression" dxfId="10343" priority="369">
      <formula>AND(D$9&gt;=8/24,D$9&lt;14/24)</formula>
    </cfRule>
    <cfRule type="expression" dxfId="10342" priority="370">
      <formula>D$9&lt;8/24</formula>
    </cfRule>
  </conditionalFormatting>
  <conditionalFormatting sqref="A110">
    <cfRule type="expression" dxfId="10341" priority="366">
      <formula>$AH110=0</formula>
    </cfRule>
  </conditionalFormatting>
  <conditionalFormatting sqref="A21">
    <cfRule type="expression" dxfId="10340" priority="364">
      <formula>$AH21=0</formula>
    </cfRule>
  </conditionalFormatting>
  <conditionalFormatting sqref="AL21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0339" priority="362">
      <formula>$AH37=0</formula>
    </cfRule>
  </conditionalFormatting>
  <conditionalFormatting sqref="AL37">
    <cfRule type="iconSet" priority="363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10338" priority="358">
      <formula>Y$9&gt;=20/24</formula>
    </cfRule>
    <cfRule type="expression" dxfId="10337" priority="359">
      <formula>AND(Y$9&gt;=14/24,Y$9&lt;20/24)</formula>
    </cfRule>
    <cfRule type="expression" dxfId="10336" priority="360">
      <formula>AND(Y$9&gt;=8/24,Y$9&lt;14/24)</formula>
    </cfRule>
    <cfRule type="expression" dxfId="10335" priority="361">
      <formula>Y$9&lt;8/24</formula>
    </cfRule>
  </conditionalFormatting>
  <conditionalFormatting sqref="Y100:AD106">
    <cfRule type="expression" dxfId="10334" priority="354">
      <formula>Y$9&gt;=20/24</formula>
    </cfRule>
    <cfRule type="expression" dxfId="10333" priority="355">
      <formula>AND(Y$9&gt;=14/24,Y$9&lt;20/24)</formula>
    </cfRule>
    <cfRule type="expression" dxfId="10332" priority="356">
      <formula>AND(Y$9&gt;=8/24,Y$9&lt;14/24)</formula>
    </cfRule>
    <cfRule type="expression" dxfId="10331" priority="357">
      <formula>Y$9&lt;8/24</formula>
    </cfRule>
  </conditionalFormatting>
  <conditionalFormatting sqref="C109 C111:C116 P17:AF23 P25:AF31">
    <cfRule type="expression" dxfId="10330" priority="350">
      <formula>C$9&gt;=20/24</formula>
    </cfRule>
    <cfRule type="expression" dxfId="10329" priority="351">
      <formula>AND(C$9&gt;=14/24,C$9&lt;20/24)</formula>
    </cfRule>
    <cfRule type="expression" dxfId="10328" priority="352">
      <formula>AND(C$9&gt;=8/24,C$9&lt;14/24)</formula>
    </cfRule>
    <cfRule type="expression" dxfId="10327" priority="353">
      <formula>C$9&lt;8/24</formula>
    </cfRule>
  </conditionalFormatting>
  <conditionalFormatting sqref="C47:S47">
    <cfRule type="expression" dxfId="10326" priority="346">
      <formula>C$9&gt;=20/24</formula>
    </cfRule>
    <cfRule type="expression" dxfId="10325" priority="347">
      <formula>AND(C$9&gt;=14/24,C$9&lt;20/24)</formula>
    </cfRule>
    <cfRule type="expression" dxfId="10324" priority="348">
      <formula>AND(C$9&gt;=8/24,C$9&lt;14/24)</formula>
    </cfRule>
    <cfRule type="expression" dxfId="10323" priority="349">
      <formula>C$9&lt;8/24</formula>
    </cfRule>
  </conditionalFormatting>
  <conditionalFormatting sqref="C47:S47 P17:AF23 P25:AF31">
    <cfRule type="expression" dxfId="10322" priority="345">
      <formula>C17&gt;$AG17</formula>
    </cfRule>
  </conditionalFormatting>
  <conditionalFormatting sqref="C99:D99">
    <cfRule type="expression" dxfId="10321" priority="341">
      <formula>C$9&gt;=20/24</formula>
    </cfRule>
    <cfRule type="expression" dxfId="10320" priority="342">
      <formula>AND(C$9&gt;=14/24,C$9&lt;20/24)</formula>
    </cfRule>
    <cfRule type="expression" dxfId="10319" priority="343">
      <formula>AND(C$9&gt;=8/24,C$9&lt;14/24)</formula>
    </cfRule>
    <cfRule type="expression" dxfId="10318" priority="344">
      <formula>C$9&lt;8/24</formula>
    </cfRule>
  </conditionalFormatting>
  <conditionalFormatting sqref="C86 C100:H106 P74:Q76 C96:W96 C83:AF85 M67:P69 E74:O75 Q77:Q81 R74:R81 S74:X76 Y75:AF76">
    <cfRule type="expression" dxfId="10317" priority="337">
      <formula>C$9&gt;=20/24</formula>
    </cfRule>
    <cfRule type="expression" dxfId="10316" priority="338">
      <formula>AND(C$9&gt;=14/24,C$9&lt;20/24)</formula>
    </cfRule>
    <cfRule type="expression" dxfId="10315" priority="339">
      <formula>AND(C$9&gt;=8/24,C$9&lt;14/24)</formula>
    </cfRule>
    <cfRule type="expression" dxfId="10314" priority="340">
      <formula>C$9&lt;8/24</formula>
    </cfRule>
  </conditionalFormatting>
  <conditionalFormatting sqref="M67:P69 H56:O57">
    <cfRule type="expression" dxfId="10313" priority="336">
      <formula>H56&gt;$AG56</formula>
    </cfRule>
  </conditionalFormatting>
  <conditionalFormatting sqref="C71:F71">
    <cfRule type="expression" dxfId="10312" priority="255">
      <formula>C$9&gt;=20/24</formula>
    </cfRule>
    <cfRule type="expression" dxfId="10311" priority="256">
      <formula>AND(C$9&gt;=14/24,C$9&lt;20/24)</formula>
    </cfRule>
    <cfRule type="expression" dxfId="10310" priority="257">
      <formula>AND(C$9&gt;=8/24,C$9&lt;14/24)</formula>
    </cfRule>
    <cfRule type="expression" dxfId="10309" priority="258">
      <formula>C$9&lt;8/24</formula>
    </cfRule>
  </conditionalFormatting>
  <conditionalFormatting sqref="P46:AF46">
    <cfRule type="expression" dxfId="10308" priority="327">
      <formula>P$9&gt;=20/24</formula>
    </cfRule>
    <cfRule type="expression" dxfId="10307" priority="328">
      <formula>AND(P$9&gt;=14/24,P$9&lt;20/24)</formula>
    </cfRule>
    <cfRule type="expression" dxfId="10306" priority="329">
      <formula>AND(P$9&gt;=8/24,P$9&lt;14/24)</formula>
    </cfRule>
    <cfRule type="expression" dxfId="10305" priority="330">
      <formula>P$9&lt;8/24</formula>
    </cfRule>
  </conditionalFormatting>
  <conditionalFormatting sqref="P46:AF46">
    <cfRule type="expression" dxfId="10304" priority="326">
      <formula>P46&gt;$AG46</formula>
    </cfRule>
  </conditionalFormatting>
  <conditionalFormatting sqref="C87:AF87 C89:AF89 C98:AF98 C70:AF70">
    <cfRule type="expression" dxfId="10303" priority="322">
      <formula>C$9&gt;=20/24</formula>
    </cfRule>
    <cfRule type="expression" dxfId="10302" priority="323">
      <formula>AND(C$9&gt;=14/24,C$9&lt;20/24)</formula>
    </cfRule>
    <cfRule type="expression" dxfId="10301" priority="324">
      <formula>AND(C$9&gt;=8/24,C$9&lt;14/24)</formula>
    </cfRule>
    <cfRule type="expression" dxfId="10300" priority="325">
      <formula>C$9&lt;8/24</formula>
    </cfRule>
  </conditionalFormatting>
  <conditionalFormatting sqref="C70:AF70 C65:AF66 C48:AF48">
    <cfRule type="expression" dxfId="10299" priority="321">
      <formula>C48&gt;$AG48</formula>
    </cfRule>
  </conditionalFormatting>
  <conditionalFormatting sqref="C82:AF82">
    <cfRule type="expression" dxfId="10298" priority="317">
      <formula>C$9&gt;=20/24</formula>
    </cfRule>
    <cfRule type="expression" dxfId="10297" priority="318">
      <formula>AND(C$9&gt;=14/24,C$9&lt;20/24)</formula>
    </cfRule>
    <cfRule type="expression" dxfId="10296" priority="319">
      <formula>AND(C$9&gt;=8/24,C$9&lt;14/24)</formula>
    </cfRule>
    <cfRule type="expression" dxfId="10295" priority="320">
      <formula>C$9&lt;8/24</formula>
    </cfRule>
  </conditionalFormatting>
  <conditionalFormatting sqref="C91:W95">
    <cfRule type="expression" dxfId="10294" priority="313">
      <formula>C$9&gt;=20/24</formula>
    </cfRule>
    <cfRule type="expression" dxfId="10293" priority="314">
      <formula>AND(C$9&gt;=14/24,C$9&lt;20/24)</formula>
    </cfRule>
    <cfRule type="expression" dxfId="10292" priority="315">
      <formula>AND(C$9&gt;=8/24,C$9&lt;14/24)</formula>
    </cfRule>
    <cfRule type="expression" dxfId="10291" priority="316">
      <formula>C$9&lt;8/24</formula>
    </cfRule>
  </conditionalFormatting>
  <conditionalFormatting sqref="C52:AF52">
    <cfRule type="expression" dxfId="10290" priority="309">
      <formula>C$9&gt;=20/24</formula>
    </cfRule>
    <cfRule type="expression" dxfId="10289" priority="310">
      <formula>AND(C$9&gt;=14/24,C$9&lt;20/24)</formula>
    </cfRule>
    <cfRule type="expression" dxfId="10288" priority="311">
      <formula>AND(C$9&gt;=8/24,C$9&lt;14/24)</formula>
    </cfRule>
    <cfRule type="expression" dxfId="10287" priority="312">
      <formula>C$9&lt;8/24</formula>
    </cfRule>
  </conditionalFormatting>
  <conditionalFormatting sqref="C52:AF52">
    <cfRule type="expression" dxfId="10286" priority="308">
      <formula>C52&gt;$AG52</formula>
    </cfRule>
  </conditionalFormatting>
  <conditionalFormatting sqref="C49:D49">
    <cfRule type="expression" dxfId="10285" priority="223">
      <formula>C$9&gt;=20/24</formula>
    </cfRule>
    <cfRule type="expression" dxfId="10284" priority="224">
      <formula>AND(C$9&gt;=14/24,C$9&lt;20/24)</formula>
    </cfRule>
    <cfRule type="expression" dxfId="10283" priority="225">
      <formula>AND(C$9&gt;=8/24,C$9&lt;14/24)</formula>
    </cfRule>
    <cfRule type="expression" dxfId="10282" priority="226">
      <formula>C$9&lt;8/24</formula>
    </cfRule>
  </conditionalFormatting>
  <conditionalFormatting sqref="C110">
    <cfRule type="expression" dxfId="10281" priority="300">
      <formula>C$9&gt;=20/24</formula>
    </cfRule>
    <cfRule type="expression" dxfId="10280" priority="301">
      <formula>AND(C$9&gt;=14/24,C$9&lt;20/24)</formula>
    </cfRule>
    <cfRule type="expression" dxfId="10279" priority="302">
      <formula>AND(C$9&gt;=8/24,C$9&lt;14/24)</formula>
    </cfRule>
    <cfRule type="expression" dxfId="10278" priority="303">
      <formula>C$9&lt;8/24</formula>
    </cfRule>
  </conditionalFormatting>
  <conditionalFormatting sqref="P13:AF15">
    <cfRule type="expression" dxfId="10277" priority="294">
      <formula>P13&gt;$AG13</formula>
    </cfRule>
  </conditionalFormatting>
  <conditionalFormatting sqref="P12:AF12">
    <cfRule type="expression" dxfId="10276" priority="290">
      <formula>P$9&gt;=20/24</formula>
    </cfRule>
    <cfRule type="expression" dxfId="10275" priority="291">
      <formula>AND(P$9&gt;=14/24,P$9&lt;20/24)</formula>
    </cfRule>
    <cfRule type="expression" dxfId="10274" priority="292">
      <formula>AND(P$9&gt;=8/24,P$9&lt;14/24)</formula>
    </cfRule>
    <cfRule type="expression" dxfId="10273" priority="293">
      <formula>P$9&lt;8/24</formula>
    </cfRule>
  </conditionalFormatting>
  <conditionalFormatting sqref="P12:AF12">
    <cfRule type="expression" dxfId="10272" priority="289">
      <formula>P12&gt;$AG12</formula>
    </cfRule>
  </conditionalFormatting>
  <conditionalFormatting sqref="P13:AF15">
    <cfRule type="expression" dxfId="10271" priority="285">
      <formula>P$9&gt;=20/24</formula>
    </cfRule>
    <cfRule type="expression" dxfId="10270" priority="286">
      <formula>AND(P$9&gt;=14/24,P$9&lt;20/24)</formula>
    </cfRule>
    <cfRule type="expression" dxfId="10269" priority="287">
      <formula>AND(P$9&gt;=8/24,P$9&lt;14/24)</formula>
    </cfRule>
    <cfRule type="expression" dxfId="10268" priority="288">
      <formula>P$9&lt;8/24</formula>
    </cfRule>
  </conditionalFormatting>
  <conditionalFormatting sqref="P77:P81 S77:AF81">
    <cfRule type="expression" dxfId="10267" priority="277">
      <formula>P$9&gt;=20/24</formula>
    </cfRule>
    <cfRule type="expression" dxfId="10266" priority="278">
      <formula>AND(P$9&gt;=14/24,P$9&lt;20/24)</formula>
    </cfRule>
    <cfRule type="expression" dxfId="10265" priority="279">
      <formula>AND(P$9&gt;=8/24,P$9&lt;14/24)</formula>
    </cfRule>
    <cfRule type="expression" dxfId="10264" priority="280">
      <formula>P$9&lt;8/24</formula>
    </cfRule>
  </conditionalFormatting>
  <conditionalFormatting sqref="AL78:AN78 AL84:AN84 AN79:AN80">
    <cfRule type="expression" dxfId="10263" priority="273">
      <formula>AL$9&gt;=20/24</formula>
    </cfRule>
    <cfRule type="expression" dxfId="10262" priority="274">
      <formula>AND(AL$9&gt;=14/24,AL$9&lt;20/24)</formula>
    </cfRule>
    <cfRule type="expression" dxfId="10261" priority="275">
      <formula>AND(AL$9&gt;=8/24,AL$9&lt;14/24)</formula>
    </cfRule>
    <cfRule type="expression" dxfId="10260" priority="276">
      <formula>AL$9&lt;8/24</formula>
    </cfRule>
  </conditionalFormatting>
  <conditionalFormatting sqref="AN81:AN82">
    <cfRule type="expression" dxfId="10259" priority="269">
      <formula>AN$9&gt;=20/24</formula>
    </cfRule>
    <cfRule type="expression" dxfId="10258" priority="270">
      <formula>AND(AN$9&gt;=14/24,AN$9&lt;20/24)</formula>
    </cfRule>
    <cfRule type="expression" dxfId="10257" priority="271">
      <formula>AND(AN$9&gt;=8/24,AN$9&lt;14/24)</formula>
    </cfRule>
    <cfRule type="expression" dxfId="10256" priority="272">
      <formula>AN$9&lt;8/24</formula>
    </cfRule>
  </conditionalFormatting>
  <conditionalFormatting sqref="AL79:AM83">
    <cfRule type="expression" dxfId="10255" priority="491">
      <formula>AJ$9&gt;=20/24</formula>
    </cfRule>
    <cfRule type="expression" dxfId="10254" priority="492">
      <formula>AND(AJ$9&gt;=14/24,AJ$9&lt;20/24)</formula>
    </cfRule>
    <cfRule type="expression" dxfId="10253" priority="493">
      <formula>AND(AJ$9&gt;=8/24,AJ$9&lt;14/24)</formula>
    </cfRule>
    <cfRule type="expression" dxfId="10252" priority="494">
      <formula>AJ$9&lt;8/24</formula>
    </cfRule>
  </conditionalFormatting>
  <conditionalFormatting sqref="A117">
    <cfRule type="expression" dxfId="10251" priority="268">
      <formula>$AH117=0</formula>
    </cfRule>
  </conditionalFormatting>
  <conditionalFormatting sqref="C72:D74 E72:F72">
    <cfRule type="expression" dxfId="10250" priority="246">
      <formula>C$9&gt;=20/24</formula>
    </cfRule>
    <cfRule type="expression" dxfId="10249" priority="247">
      <formula>AND(C$9&gt;=14/24,C$9&lt;20/24)</formula>
    </cfRule>
    <cfRule type="expression" dxfId="10248" priority="248">
      <formula>AND(C$9&gt;=8/24,C$9&lt;14/24)</formula>
    </cfRule>
    <cfRule type="expression" dxfId="10247" priority="249">
      <formula>C$9&lt;8/24</formula>
    </cfRule>
  </conditionalFormatting>
  <conditionalFormatting sqref="C88">
    <cfRule type="expression" dxfId="10246" priority="241">
      <formula>C$9&gt;=20/24</formula>
    </cfRule>
    <cfRule type="expression" dxfId="10245" priority="242">
      <formula>AND(C$9&gt;=14/24,C$9&lt;20/24)</formula>
    </cfRule>
    <cfRule type="expression" dxfId="10244" priority="243">
      <formula>AND(C$9&gt;=8/24,C$9&lt;14/24)</formula>
    </cfRule>
    <cfRule type="expression" dxfId="10243" priority="244">
      <formula>C$9&lt;8/24</formula>
    </cfRule>
  </conditionalFormatting>
  <conditionalFormatting sqref="C46:O46">
    <cfRule type="expression" dxfId="10242" priority="237">
      <formula>C$9&gt;=20/24</formula>
    </cfRule>
    <cfRule type="expression" dxfId="10241" priority="238">
      <formula>AND(C$9&gt;=14/24,C$9&lt;20/24)</formula>
    </cfRule>
    <cfRule type="expression" dxfId="10240" priority="239">
      <formula>AND(C$9&gt;=8/24,C$9&lt;14/24)</formula>
    </cfRule>
    <cfRule type="expression" dxfId="10239" priority="240">
      <formula>C$9&lt;8/24</formula>
    </cfRule>
  </conditionalFormatting>
  <conditionalFormatting sqref="C46:O46">
    <cfRule type="expression" dxfId="10238" priority="236">
      <formula>C46&gt;$AG46</formula>
    </cfRule>
  </conditionalFormatting>
  <conditionalFormatting sqref="C49:D49">
    <cfRule type="expression" dxfId="10237" priority="222">
      <formula>C49&gt;$AG49</formula>
    </cfRule>
  </conditionalFormatting>
  <conditionalFormatting sqref="C75:D75">
    <cfRule type="expression" dxfId="10236" priority="210">
      <formula>C$9&gt;=20/24</formula>
    </cfRule>
    <cfRule type="expression" dxfId="10235" priority="211">
      <formula>AND(C$9&gt;=14/24,C$9&lt;20/24)</formula>
    </cfRule>
    <cfRule type="expression" dxfId="10234" priority="212">
      <formula>AND(C$9&gt;=8/24,C$9&lt;14/24)</formula>
    </cfRule>
    <cfRule type="expression" dxfId="10233" priority="213">
      <formula>C$9&lt;8/24</formula>
    </cfRule>
  </conditionalFormatting>
  <conditionalFormatting sqref="A11">
    <cfRule type="expression" dxfId="10232" priority="182">
      <formula>$AH11=0</formula>
    </cfRule>
  </conditionalFormatting>
  <conditionalFormatting sqref="P11:AF11">
    <cfRule type="expression" dxfId="10231" priority="178">
      <formula>P$9&gt;=20/24</formula>
    </cfRule>
    <cfRule type="expression" dxfId="10230" priority="179">
      <formula>AND(P$9&gt;=14/24,P$9&lt;20/24)</formula>
    </cfRule>
    <cfRule type="expression" dxfId="10229" priority="180">
      <formula>AND(P$9&gt;=8/24,P$9&lt;14/24)</formula>
    </cfRule>
    <cfRule type="expression" dxfId="10228" priority="181">
      <formula>P$9&lt;8/24</formula>
    </cfRule>
  </conditionalFormatting>
  <conditionalFormatting sqref="P11:AF11">
    <cfRule type="expression" dxfId="10227" priority="177">
      <formula>P11&gt;$AG11</formula>
    </cfRule>
  </conditionalFormatting>
  <conditionalFormatting sqref="A16">
    <cfRule type="expression" dxfId="10226" priority="170">
      <formula>$AH16=0</formula>
    </cfRule>
  </conditionalFormatting>
  <conditionalFormatting sqref="AL16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P16:AF16">
    <cfRule type="expression" dxfId="10225" priority="166">
      <formula>P$9&gt;=20/24</formula>
    </cfRule>
    <cfRule type="expression" dxfId="10224" priority="167">
      <formula>AND(P$9&gt;=14/24,P$9&lt;20/24)</formula>
    </cfRule>
    <cfRule type="expression" dxfId="10223" priority="168">
      <formula>AND(P$9&gt;=8/24,P$9&lt;14/24)</formula>
    </cfRule>
    <cfRule type="expression" dxfId="10222" priority="169">
      <formula>P$9&lt;8/24</formula>
    </cfRule>
  </conditionalFormatting>
  <conditionalFormatting sqref="P16:AF16">
    <cfRule type="expression" dxfId="10221" priority="165">
      <formula>P16&gt;$AG16</formula>
    </cfRule>
  </conditionalFormatting>
  <conditionalFormatting sqref="A33">
    <cfRule type="expression" dxfId="10220" priority="158">
      <formula>$AH33=0</formula>
    </cfRule>
  </conditionalFormatting>
  <conditionalFormatting sqref="AL3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44">
    <cfRule type="expression" dxfId="10219" priority="146">
      <formula>$AH44=0</formula>
    </cfRule>
  </conditionalFormatting>
  <conditionalFormatting sqref="AL44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10218" priority="132">
      <formula>D$9&gt;=20/24</formula>
    </cfRule>
    <cfRule type="expression" dxfId="10217" priority="133">
      <formula>AND(D$9&gt;=14/24,D$9&lt;20/24)</formula>
    </cfRule>
    <cfRule type="expression" dxfId="10216" priority="134">
      <formula>AND(D$9&gt;=8/24,D$9&lt;14/24)</formula>
    </cfRule>
    <cfRule type="expression" dxfId="10215" priority="135">
      <formula>D$9&lt;8/24</formula>
    </cfRule>
  </conditionalFormatting>
  <conditionalFormatting sqref="C117">
    <cfRule type="expression" dxfId="10214" priority="128">
      <formula>C$9&gt;=20/24</formula>
    </cfRule>
    <cfRule type="expression" dxfId="10213" priority="129">
      <formula>AND(C$9&gt;=14/24,C$9&lt;20/24)</formula>
    </cfRule>
    <cfRule type="expression" dxfId="10212" priority="130">
      <formula>AND(C$9&gt;=8/24,C$9&lt;14/24)</formula>
    </cfRule>
    <cfRule type="expression" dxfId="10211" priority="131">
      <formula>C$9&lt;8/24</formula>
    </cfRule>
  </conditionalFormatting>
  <conditionalFormatting sqref="B109 B111:B116 B49:B51 C50:D51">
    <cfRule type="expression" dxfId="10210" priority="120">
      <formula>B$9&gt;=20/24</formula>
    </cfRule>
    <cfRule type="expression" dxfId="10209" priority="121">
      <formula>AND(B$9&gt;=14/24,B$9&lt;20/24)</formula>
    </cfRule>
    <cfRule type="expression" dxfId="10208" priority="122">
      <formula>AND(B$9&gt;=8/24,B$9&lt;14/24)</formula>
    </cfRule>
    <cfRule type="expression" dxfId="10207" priority="123">
      <formula>B$9&lt;8/24</formula>
    </cfRule>
  </conditionalFormatting>
  <conditionalFormatting sqref="B49:B51 C50:D51">
    <cfRule type="expression" dxfId="10206" priority="119">
      <formula>B49&gt;$AG49</formula>
    </cfRule>
  </conditionalFormatting>
  <conditionalFormatting sqref="B99">
    <cfRule type="expression" dxfId="10205" priority="115">
      <formula>B$9&gt;=20/24</formula>
    </cfRule>
    <cfRule type="expression" dxfId="10204" priority="116">
      <formula>AND(B$9&gt;=14/24,B$9&lt;20/24)</formula>
    </cfRule>
    <cfRule type="expression" dxfId="10203" priority="117">
      <formula>AND(B$9&gt;=8/24,B$9&lt;14/24)</formula>
    </cfRule>
    <cfRule type="expression" dxfId="10202" priority="118">
      <formula>B$9&lt;8/24</formula>
    </cfRule>
  </conditionalFormatting>
  <conditionalFormatting sqref="B71 B54:G57">
    <cfRule type="expression" dxfId="10201" priority="111">
      <formula>B$9&gt;=20/24</formula>
    </cfRule>
    <cfRule type="expression" dxfId="10200" priority="112">
      <formula>AND(B$9&gt;=14/24,B$9&lt;20/24)</formula>
    </cfRule>
    <cfRule type="expression" dxfId="10199" priority="113">
      <formula>AND(B$9&gt;=8/24,B$9&lt;14/24)</formula>
    </cfRule>
    <cfRule type="expression" dxfId="10198" priority="114">
      <formula>B$9&lt;8/24</formula>
    </cfRule>
  </conditionalFormatting>
  <conditionalFormatting sqref="B53:G53">
    <cfRule type="expression" dxfId="10197" priority="107">
      <formula>B$9&gt;=20/24</formula>
    </cfRule>
    <cfRule type="expression" dxfId="10196" priority="108">
      <formula>AND(B$9&gt;=14/24,B$9&lt;20/24)</formula>
    </cfRule>
    <cfRule type="expression" dxfId="10195" priority="109">
      <formula>AND(B$9&gt;=8/24,B$9&lt;14/24)</formula>
    </cfRule>
    <cfRule type="expression" dxfId="10194" priority="110">
      <formula>B$9&lt;8/24</formula>
    </cfRule>
  </conditionalFormatting>
  <conditionalFormatting sqref="B53:G57">
    <cfRule type="expression" dxfId="10193" priority="106">
      <formula>B53&gt;$AG53</formula>
    </cfRule>
  </conditionalFormatting>
  <conditionalFormatting sqref="B96 B100:B106 B47 B86 B72:B74 B67:L69">
    <cfRule type="expression" dxfId="10192" priority="102">
      <formula>B$9&gt;=20/24</formula>
    </cfRule>
    <cfRule type="expression" dxfId="10191" priority="103">
      <formula>AND(B$9&gt;=14/24,B$9&lt;20/24)</formula>
    </cfRule>
    <cfRule type="expression" dxfId="10190" priority="104">
      <formula>AND(B$9&gt;=8/24,B$9&lt;14/24)</formula>
    </cfRule>
    <cfRule type="expression" dxfId="10189" priority="105">
      <formula>B$9&lt;8/24</formula>
    </cfRule>
  </conditionalFormatting>
  <conditionalFormatting sqref="B47 B67:L69">
    <cfRule type="expression" dxfId="10188" priority="101">
      <formula>B47&gt;$AG47</formula>
    </cfRule>
  </conditionalFormatting>
  <conditionalFormatting sqref="B58:O58">
    <cfRule type="expression" dxfId="10187" priority="97">
      <formula>B$9&gt;=20/24</formula>
    </cfRule>
    <cfRule type="expression" dxfId="10186" priority="98">
      <formula>AND(B$9&gt;=14/24,B$9&lt;20/24)</formula>
    </cfRule>
    <cfRule type="expression" dxfId="10185" priority="99">
      <formula>AND(B$9&gt;=8/24,B$9&lt;14/24)</formula>
    </cfRule>
    <cfRule type="expression" dxfId="10184" priority="100">
      <formula>B$9&lt;8/24</formula>
    </cfRule>
  </conditionalFormatting>
  <conditionalFormatting sqref="B58:O58">
    <cfRule type="expression" dxfId="10183" priority="96">
      <formula>B58&gt;$AG58</formula>
    </cfRule>
  </conditionalFormatting>
  <conditionalFormatting sqref="B97 B88">
    <cfRule type="expression" dxfId="10182" priority="92">
      <formula>B$9&gt;=20/24</formula>
    </cfRule>
    <cfRule type="expression" dxfId="10181" priority="93">
      <formula>AND(B$9&gt;=14/24,B$9&lt;20/24)</formula>
    </cfRule>
    <cfRule type="expression" dxfId="10180" priority="94">
      <formula>AND(B$9&gt;=8/24,B$9&lt;14/24)</formula>
    </cfRule>
    <cfRule type="expression" dxfId="10179" priority="95">
      <formula>B$9&lt;8/24</formula>
    </cfRule>
  </conditionalFormatting>
  <conditionalFormatting sqref="B91:B95">
    <cfRule type="expression" dxfId="10178" priority="88">
      <formula>B$9&gt;=20/24</formula>
    </cfRule>
    <cfRule type="expression" dxfId="10177" priority="89">
      <formula>AND(B$9&gt;=14/24,B$9&lt;20/24)</formula>
    </cfRule>
    <cfRule type="expression" dxfId="10176" priority="90">
      <formula>AND(B$9&gt;=8/24,B$9&lt;14/24)</formula>
    </cfRule>
    <cfRule type="expression" dxfId="10175" priority="91">
      <formula>B$9&lt;8/24</formula>
    </cfRule>
  </conditionalFormatting>
  <conditionalFormatting sqref="B107">
    <cfRule type="expression" dxfId="10174" priority="84">
      <formula>B$9&gt;=20/24</formula>
    </cfRule>
    <cfRule type="expression" dxfId="10173" priority="85">
      <formula>AND(B$9&gt;=14/24,B$9&lt;20/24)</formula>
    </cfRule>
    <cfRule type="expression" dxfId="10172" priority="86">
      <formula>AND(B$9&gt;=8/24,B$9&lt;14/24)</formula>
    </cfRule>
    <cfRule type="expression" dxfId="10171" priority="87">
      <formula>B$9&lt;8/24</formula>
    </cfRule>
  </conditionalFormatting>
  <conditionalFormatting sqref="B110">
    <cfRule type="expression" dxfId="10170" priority="80">
      <formula>B$9&gt;=20/24</formula>
    </cfRule>
    <cfRule type="expression" dxfId="10169" priority="81">
      <formula>AND(B$9&gt;=14/24,B$9&lt;20/24)</formula>
    </cfRule>
    <cfRule type="expression" dxfId="10168" priority="82">
      <formula>AND(B$9&gt;=8/24,B$9&lt;14/24)</formula>
    </cfRule>
    <cfRule type="expression" dxfId="10167" priority="83">
      <formula>B$9&lt;8/24</formula>
    </cfRule>
  </conditionalFormatting>
  <conditionalFormatting sqref="B17:O23 B25:O32 B24:AF24 B34:AF43 P32:AF32">
    <cfRule type="expression" dxfId="10166" priority="76">
      <formula>B$9&gt;=20/24</formula>
    </cfRule>
    <cfRule type="expression" dxfId="10165" priority="77">
      <formula>AND(B$9&gt;=14/24,B$9&lt;20/24)</formula>
    </cfRule>
    <cfRule type="expression" dxfId="10164" priority="78">
      <formula>AND(B$9&gt;=8/24,B$9&lt;14/24)</formula>
    </cfRule>
    <cfRule type="expression" dxfId="10163" priority="79">
      <formula>B$9&lt;8/24</formula>
    </cfRule>
  </conditionalFormatting>
  <conditionalFormatting sqref="B17:O23 B25:O32 B24:AF24 B34:AF43 P32:AF32">
    <cfRule type="expression" dxfId="10162" priority="75">
      <formula>B17&gt;$AG17</formula>
    </cfRule>
  </conditionalFormatting>
  <conditionalFormatting sqref="B83:B85 B75:B76 C76:O76">
    <cfRule type="expression" dxfId="10161" priority="71">
      <formula>B$9&gt;=20/24</formula>
    </cfRule>
    <cfRule type="expression" dxfId="10160" priority="72">
      <formula>AND(B$9&gt;=14/24,B$9&lt;20/24)</formula>
    </cfRule>
    <cfRule type="expression" dxfId="10159" priority="73">
      <formula>AND(B$9&gt;=8/24,B$9&lt;14/24)</formula>
    </cfRule>
    <cfRule type="expression" dxfId="10158" priority="74">
      <formula>B$9&lt;8/24</formula>
    </cfRule>
  </conditionalFormatting>
  <conditionalFormatting sqref="B46">
    <cfRule type="expression" dxfId="10157" priority="67">
      <formula>B$9&gt;=20/24</formula>
    </cfRule>
    <cfRule type="expression" dxfId="10156" priority="68">
      <formula>AND(B$9&gt;=14/24,B$9&lt;20/24)</formula>
    </cfRule>
    <cfRule type="expression" dxfId="10155" priority="69">
      <formula>AND(B$9&gt;=8/24,B$9&lt;14/24)</formula>
    </cfRule>
    <cfRule type="expression" dxfId="10154" priority="70">
      <formula>B$9&lt;8/24</formula>
    </cfRule>
  </conditionalFormatting>
  <conditionalFormatting sqref="B46">
    <cfRule type="expression" dxfId="10153" priority="66">
      <formula>B46&gt;$AG46</formula>
    </cfRule>
  </conditionalFormatting>
  <conditionalFormatting sqref="B87 B89 B98 B70">
    <cfRule type="expression" dxfId="10152" priority="62">
      <formula>B$9&gt;=20/24</formula>
    </cfRule>
    <cfRule type="expression" dxfId="10151" priority="63">
      <formula>AND(B$9&gt;=14/24,B$9&lt;20/24)</formula>
    </cfRule>
    <cfRule type="expression" dxfId="10150" priority="64">
      <formula>AND(B$9&gt;=8/24,B$9&lt;14/24)</formula>
    </cfRule>
    <cfRule type="expression" dxfId="10149" priority="65">
      <formula>B$9&lt;8/24</formula>
    </cfRule>
  </conditionalFormatting>
  <conditionalFormatting sqref="B48 B70 B65:B66">
    <cfRule type="expression" dxfId="10148" priority="61">
      <formula>B48&gt;$AG48</formula>
    </cfRule>
  </conditionalFormatting>
  <conditionalFormatting sqref="B82">
    <cfRule type="expression" dxfId="10147" priority="57">
      <formula>B$9&gt;=20/24</formula>
    </cfRule>
    <cfRule type="expression" dxfId="10146" priority="58">
      <formula>AND(B$9&gt;=14/24,B$9&lt;20/24)</formula>
    </cfRule>
    <cfRule type="expression" dxfId="10145" priority="59">
      <formula>AND(B$9&gt;=8/24,B$9&lt;14/24)</formula>
    </cfRule>
    <cfRule type="expression" dxfId="10144" priority="60">
      <formula>B$9&lt;8/24</formula>
    </cfRule>
  </conditionalFormatting>
  <conditionalFormatting sqref="B52">
    <cfRule type="expression" dxfId="10143" priority="53">
      <formula>B$9&gt;=20/24</formula>
    </cfRule>
    <cfRule type="expression" dxfId="10142" priority="54">
      <formula>AND(B$9&gt;=14/24,B$9&lt;20/24)</formula>
    </cfRule>
    <cfRule type="expression" dxfId="10141" priority="55">
      <formula>AND(B$9&gt;=8/24,B$9&lt;14/24)</formula>
    </cfRule>
    <cfRule type="expression" dxfId="10140" priority="56">
      <formula>B$9&lt;8/24</formula>
    </cfRule>
  </conditionalFormatting>
  <conditionalFormatting sqref="B52">
    <cfRule type="expression" dxfId="10139" priority="52">
      <formula>B52&gt;$AG52</formula>
    </cfRule>
  </conditionalFormatting>
  <conditionalFormatting sqref="B59:AF64">
    <cfRule type="expression" dxfId="10138" priority="44">
      <formula>B$9&gt;=20/24</formula>
    </cfRule>
    <cfRule type="expression" dxfId="10137" priority="45">
      <formula>AND(B$9&gt;=14/24,B$9&lt;20/24)</formula>
    </cfRule>
    <cfRule type="expression" dxfId="10136" priority="46">
      <formula>AND(B$9&gt;=8/24,B$9&lt;14/24)</formula>
    </cfRule>
    <cfRule type="expression" dxfId="10135" priority="47">
      <formula>B$9&lt;8/24</formula>
    </cfRule>
  </conditionalFormatting>
  <conditionalFormatting sqref="B59:AF64">
    <cfRule type="expression" dxfId="10134" priority="43">
      <formula>B59&gt;$AG59</formula>
    </cfRule>
  </conditionalFormatting>
  <conditionalFormatting sqref="B13:O15 B45:AF45">
    <cfRule type="expression" dxfId="10133" priority="42">
      <formula>B13&gt;$AG13</formula>
    </cfRule>
  </conditionalFormatting>
  <conditionalFormatting sqref="B12:O12">
    <cfRule type="expression" dxfId="10132" priority="38">
      <formula>B$9&gt;=20/24</formula>
    </cfRule>
    <cfRule type="expression" dxfId="10131" priority="39">
      <formula>AND(B$9&gt;=14/24,B$9&lt;20/24)</formula>
    </cfRule>
    <cfRule type="expression" dxfId="10130" priority="40">
      <formula>AND(B$9&gt;=8/24,B$9&lt;14/24)</formula>
    </cfRule>
    <cfRule type="expression" dxfId="10129" priority="41">
      <formula>B$9&lt;8/24</formula>
    </cfRule>
  </conditionalFormatting>
  <conditionalFormatting sqref="B12:O12">
    <cfRule type="expression" dxfId="10128" priority="37">
      <formula>B12&gt;$AG12</formula>
    </cfRule>
  </conditionalFormatting>
  <conditionalFormatting sqref="B13:O15">
    <cfRule type="expression" dxfId="10127" priority="33">
      <formula>B$9&gt;=20/24</formula>
    </cfRule>
    <cfRule type="expression" dxfId="10126" priority="34">
      <formula>AND(B$9&gt;=14/24,B$9&lt;20/24)</formula>
    </cfRule>
    <cfRule type="expression" dxfId="10125" priority="35">
      <formula>AND(B$9&gt;=8/24,B$9&lt;14/24)</formula>
    </cfRule>
    <cfRule type="expression" dxfId="10124" priority="36">
      <formula>B$9&lt;8/24</formula>
    </cfRule>
  </conditionalFormatting>
  <conditionalFormatting sqref="B45:AF45">
    <cfRule type="expression" dxfId="10123" priority="29">
      <formula>B$9&gt;=20/24</formula>
    </cfRule>
    <cfRule type="expression" dxfId="10122" priority="30">
      <formula>AND(B$9&gt;=14/24,B$9&lt;20/24)</formula>
    </cfRule>
    <cfRule type="expression" dxfId="10121" priority="31">
      <formula>AND(B$9&gt;=8/24,B$9&lt;14/24)</formula>
    </cfRule>
    <cfRule type="expression" dxfId="10120" priority="32">
      <formula>B$9&lt;8/24</formula>
    </cfRule>
  </conditionalFormatting>
  <conditionalFormatting sqref="B77:O81">
    <cfRule type="expression" dxfId="10119" priority="25">
      <formula>B$9&gt;=20/24</formula>
    </cfRule>
    <cfRule type="expression" dxfId="10118" priority="26">
      <formula>AND(B$9&gt;=14/24,B$9&lt;20/24)</formula>
    </cfRule>
    <cfRule type="expression" dxfId="10117" priority="27">
      <formula>AND(B$9&gt;=8/24,B$9&lt;14/24)</formula>
    </cfRule>
    <cfRule type="expression" dxfId="10116" priority="28">
      <formula>B$9&lt;8/24</formula>
    </cfRule>
  </conditionalFormatting>
  <conditionalFormatting sqref="B11:O11">
    <cfRule type="expression" dxfId="10115" priority="21">
      <formula>B$9&gt;=20/24</formula>
    </cfRule>
    <cfRule type="expression" dxfId="10114" priority="22">
      <formula>AND(B$9&gt;=14/24,B$9&lt;20/24)</formula>
    </cfRule>
    <cfRule type="expression" dxfId="10113" priority="23">
      <formula>AND(B$9&gt;=8/24,B$9&lt;14/24)</formula>
    </cfRule>
    <cfRule type="expression" dxfId="10112" priority="24">
      <formula>B$9&lt;8/24</formula>
    </cfRule>
  </conditionalFormatting>
  <conditionalFormatting sqref="B11:O11">
    <cfRule type="expression" dxfId="10111" priority="20">
      <formula>B11&gt;$AG11</formula>
    </cfRule>
  </conditionalFormatting>
  <conditionalFormatting sqref="B16:O16">
    <cfRule type="expression" dxfId="10110" priority="16">
      <formula>B$9&gt;=20/24</formula>
    </cfRule>
    <cfRule type="expression" dxfId="10109" priority="17">
      <formula>AND(B$9&gt;=14/24,B$9&lt;20/24)</formula>
    </cfRule>
    <cfRule type="expression" dxfId="10108" priority="18">
      <formula>AND(B$9&gt;=8/24,B$9&lt;14/24)</formula>
    </cfRule>
    <cfRule type="expression" dxfId="10107" priority="19">
      <formula>B$9&lt;8/24</formula>
    </cfRule>
  </conditionalFormatting>
  <conditionalFormatting sqref="B16:O16">
    <cfRule type="expression" dxfId="10106" priority="15">
      <formula>B16&gt;$AG16</formula>
    </cfRule>
  </conditionalFormatting>
  <conditionalFormatting sqref="B33:AF33">
    <cfRule type="expression" dxfId="10105" priority="11">
      <formula>B$9&gt;=20/24</formula>
    </cfRule>
    <cfRule type="expression" dxfId="10104" priority="12">
      <formula>AND(B$9&gt;=14/24,B$9&lt;20/24)</formula>
    </cfRule>
    <cfRule type="expression" dxfId="10103" priority="13">
      <formula>AND(B$9&gt;=8/24,B$9&lt;14/24)</formula>
    </cfRule>
    <cfRule type="expression" dxfId="10102" priority="14">
      <formula>B$9&lt;8/24</formula>
    </cfRule>
  </conditionalFormatting>
  <conditionalFormatting sqref="B33:AF33">
    <cfRule type="expression" dxfId="10101" priority="10">
      <formula>B33&gt;$AG33</formula>
    </cfRule>
  </conditionalFormatting>
  <conditionalFormatting sqref="B44:AF44">
    <cfRule type="expression" dxfId="10100" priority="9">
      <formula>B44&gt;$AG44</formula>
    </cfRule>
  </conditionalFormatting>
  <conditionalFormatting sqref="B44:AF44">
    <cfRule type="expression" dxfId="10099" priority="5">
      <formula>B$9&gt;=20/24</formula>
    </cfRule>
    <cfRule type="expression" dxfId="10098" priority="6">
      <formula>AND(B$9&gt;=14/24,B$9&lt;20/24)</formula>
    </cfRule>
    <cfRule type="expression" dxfId="10097" priority="7">
      <formula>AND(B$9&gt;=8/24,B$9&lt;14/24)</formula>
    </cfRule>
    <cfRule type="expression" dxfId="10096" priority="8">
      <formula>B$9&lt;8/24</formula>
    </cfRule>
  </conditionalFormatting>
  <conditionalFormatting sqref="B117">
    <cfRule type="expression" dxfId="10095" priority="1">
      <formula>B$9&gt;=20/24</formula>
    </cfRule>
    <cfRule type="expression" dxfId="10094" priority="2">
      <formula>AND(B$9&gt;=14/24,B$9&lt;20/24)</formula>
    </cfRule>
    <cfRule type="expression" dxfId="10093" priority="3">
      <formula>AND(B$9&gt;=8/24,B$9&lt;14/24)</formula>
    </cfRule>
    <cfRule type="expression" dxfId="10092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4" id="{4CFDADFC-55CF-41D3-A4A7-42E51B5FB23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05" id="{263CDB38-2283-4E2B-B2C6-56D2E19E4D0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06" id="{3414CB25-5E5E-4F64-8E74-A9B00265229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07" id="{F163A8D5-0BEC-4EA0-B4C6-70939FED64C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48" id="{729A28DE-EC5D-4019-B930-A1EAA0A91A9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0297A3DC-7F9E-4874-8920-EE9F26D6DEC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71FBD620-1510-4F28-BAE4-B7FBD97C69E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FDF1E512-B3EA-4809-8704-B7A32360526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47" activePane="bottomLeft" state="frozen"/>
      <selection activeCell="Z85" sqref="Z85"/>
      <selection pane="bottomLeft" activeCell="AF49" sqref="AF49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2079/12/6</v>
      </c>
      <c r="C4" s="196"/>
      <c r="D4" s="196"/>
      <c r="E4" s="197" t="str">
        <f ca="1">"2079/"&amp;"12/"&amp;INT(MID(CELL("filename",G6),FIND("]",CELL("filename",G6))+1,200))</f>
        <v>2079/12/6</v>
      </c>
      <c r="F4" s="197"/>
      <c r="G4" s="197"/>
      <c r="H4" s="197" t="str">
        <f ca="1">TEXT(E4,"dddd")</f>
        <v>Wednesday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339</v>
      </c>
      <c r="C5" s="33">
        <f t="shared" si="0"/>
        <v>396</v>
      </c>
      <c r="D5" s="33">
        <f t="shared" si="0"/>
        <v>380.40000000000003</v>
      </c>
      <c r="E5" s="33">
        <f t="shared" si="0"/>
        <v>371</v>
      </c>
      <c r="F5" s="33">
        <f t="shared" si="0"/>
        <v>401.5</v>
      </c>
      <c r="G5" s="33">
        <f t="shared" si="0"/>
        <v>437.9</v>
      </c>
      <c r="H5" s="33">
        <f t="shared" si="0"/>
        <v>435.4</v>
      </c>
      <c r="I5" s="33">
        <f t="shared" si="0"/>
        <v>402.5</v>
      </c>
      <c r="J5" s="33">
        <f t="shared" si="0"/>
        <v>378</v>
      </c>
      <c r="K5" s="33">
        <f t="shared" si="0"/>
        <v>358.7</v>
      </c>
      <c r="L5" s="33">
        <f t="shared" si="0"/>
        <v>375</v>
      </c>
      <c r="M5" s="33">
        <f t="shared" si="0"/>
        <v>458.1</v>
      </c>
      <c r="N5" s="33">
        <f t="shared" si="0"/>
        <v>499.9</v>
      </c>
      <c r="O5" s="33">
        <f t="shared" si="0"/>
        <v>522.70000000000005</v>
      </c>
      <c r="P5" s="33">
        <f t="shared" si="0"/>
        <v>487.6</v>
      </c>
      <c r="Q5" s="33">
        <f t="shared" si="0"/>
        <v>527.6</v>
      </c>
      <c r="R5" s="33">
        <f t="shared" si="0"/>
        <v>536.9</v>
      </c>
      <c r="S5" s="33">
        <f t="shared" si="0"/>
        <v>561</v>
      </c>
      <c r="T5" s="33">
        <f t="shared" si="0"/>
        <v>542.70000000000005</v>
      </c>
      <c r="U5" s="33">
        <f t="shared" si="0"/>
        <v>507</v>
      </c>
      <c r="V5" s="33">
        <f t="shared" si="0"/>
        <v>500.1</v>
      </c>
      <c r="W5" s="33">
        <f t="shared" si="0"/>
        <v>517.59999999999991</v>
      </c>
      <c r="X5" s="33">
        <f t="shared" si="0"/>
        <v>513.70000000000005</v>
      </c>
      <c r="Y5" s="33">
        <f t="shared" si="0"/>
        <v>448.5</v>
      </c>
      <c r="Z5" s="33">
        <f t="shared" si="0"/>
        <v>412.29999999999995</v>
      </c>
      <c r="AA5" s="33">
        <f t="shared" si="0"/>
        <v>472.29999999999995</v>
      </c>
      <c r="AB5" s="33">
        <f t="shared" si="0"/>
        <v>460.4</v>
      </c>
      <c r="AC5" s="33">
        <f t="shared" si="0"/>
        <v>590</v>
      </c>
      <c r="AD5" s="33">
        <f t="shared" si="0"/>
        <v>431</v>
      </c>
      <c r="AE5" s="33">
        <f t="shared" si="0"/>
        <v>345</v>
      </c>
      <c r="AF5" s="33">
        <f>B82</f>
        <v>437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1410MW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Load=886</v>
      </c>
      <c r="B7" s="38">
        <f t="shared" ref="B7:AF7" si="1">B89</f>
        <v>956.44</v>
      </c>
      <c r="C7" s="38">
        <f t="shared" si="1"/>
        <v>886.44</v>
      </c>
      <c r="D7" s="38">
        <f t="shared" si="1"/>
        <v>927.44</v>
      </c>
      <c r="E7" s="38">
        <f t="shared" si="1"/>
        <v>914.54</v>
      </c>
      <c r="F7" s="38">
        <f t="shared" si="1"/>
        <v>905.14</v>
      </c>
      <c r="G7" s="38">
        <f t="shared" si="1"/>
        <v>935.64</v>
      </c>
      <c r="H7" s="38">
        <f t="shared" si="1"/>
        <v>1022.04</v>
      </c>
      <c r="I7" s="38">
        <f t="shared" si="1"/>
        <v>1053.44</v>
      </c>
      <c r="J7" s="38">
        <f t="shared" si="1"/>
        <v>1095.54</v>
      </c>
      <c r="K7" s="38">
        <f t="shared" si="1"/>
        <v>1136.24</v>
      </c>
      <c r="L7" s="38">
        <f t="shared" si="1"/>
        <v>1343.1399999999999</v>
      </c>
      <c r="M7" s="38">
        <f t="shared" si="1"/>
        <v>1401.14</v>
      </c>
      <c r="N7" s="38">
        <f>N89</f>
        <v>1410.44</v>
      </c>
      <c r="O7" s="38">
        <f t="shared" si="1"/>
        <v>1345.2399999999998</v>
      </c>
      <c r="P7" s="38">
        <f t="shared" si="1"/>
        <v>1271.54</v>
      </c>
      <c r="Q7" s="38">
        <f t="shared" si="1"/>
        <v>1264.1399999999999</v>
      </c>
      <c r="R7" s="38">
        <f t="shared" si="1"/>
        <v>1245.74</v>
      </c>
      <c r="S7" s="38">
        <f t="shared" si="1"/>
        <v>1258.94</v>
      </c>
      <c r="T7" s="38">
        <f t="shared" si="1"/>
        <v>1303.04</v>
      </c>
      <c r="U7" s="38">
        <f t="shared" si="1"/>
        <v>1306.04</v>
      </c>
      <c r="V7" s="38">
        <f t="shared" si="1"/>
        <v>1314.24</v>
      </c>
      <c r="W7" s="38">
        <f t="shared" si="1"/>
        <v>1348.8400000000001</v>
      </c>
      <c r="X7" s="38">
        <f t="shared" si="1"/>
        <v>1398.2399999999998</v>
      </c>
      <c r="Y7" s="38">
        <f t="shared" si="1"/>
        <v>1495.14</v>
      </c>
      <c r="Z7" s="38">
        <f t="shared" si="1"/>
        <v>1436.04</v>
      </c>
      <c r="AA7" s="38">
        <f t="shared" si="1"/>
        <v>1358.74</v>
      </c>
      <c r="AB7" s="38">
        <f t="shared" si="1"/>
        <v>1182.3399999999999</v>
      </c>
      <c r="AC7" s="38">
        <f t="shared" si="1"/>
        <v>1109.74</v>
      </c>
      <c r="AD7" s="38">
        <f t="shared" si="1"/>
        <v>1168.74</v>
      </c>
      <c r="AE7" s="38">
        <f t="shared" si="1"/>
        <v>916.04</v>
      </c>
      <c r="AF7" s="38">
        <f t="shared" si="1"/>
        <v>902.04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26</v>
      </c>
      <c r="C11" s="50">
        <v>26</v>
      </c>
      <c r="D11" s="50">
        <v>26</v>
      </c>
      <c r="E11" s="50">
        <v>26</v>
      </c>
      <c r="F11" s="50">
        <v>26</v>
      </c>
      <c r="G11" s="50">
        <v>26</v>
      </c>
      <c r="H11" s="50">
        <v>26</v>
      </c>
      <c r="I11" s="50">
        <v>26</v>
      </c>
      <c r="J11" s="50">
        <v>26</v>
      </c>
      <c r="K11" s="50">
        <v>26</v>
      </c>
      <c r="L11" s="50">
        <v>26</v>
      </c>
      <c r="M11" s="50">
        <v>26</v>
      </c>
      <c r="N11" s="50">
        <v>26</v>
      </c>
      <c r="O11" s="50">
        <v>26</v>
      </c>
      <c r="P11" s="50">
        <v>26</v>
      </c>
      <c r="Q11" s="50">
        <v>26</v>
      </c>
      <c r="R11" s="50">
        <v>26</v>
      </c>
      <c r="S11" s="50">
        <v>26</v>
      </c>
      <c r="T11" s="50">
        <v>26</v>
      </c>
      <c r="U11" s="50">
        <v>26</v>
      </c>
      <c r="V11" s="50">
        <v>26</v>
      </c>
      <c r="W11" s="50">
        <v>26</v>
      </c>
      <c r="X11" s="50">
        <v>26</v>
      </c>
      <c r="Y11" s="50">
        <v>26</v>
      </c>
      <c r="Z11" s="50">
        <v>26</v>
      </c>
      <c r="AA11" s="50">
        <v>26</v>
      </c>
      <c r="AB11" s="50">
        <v>26</v>
      </c>
      <c r="AC11" s="50">
        <v>26</v>
      </c>
      <c r="AD11" s="50">
        <v>26</v>
      </c>
      <c r="AE11" s="50">
        <v>26</v>
      </c>
      <c r="AF11" s="50">
        <v>26</v>
      </c>
      <c r="AG11" s="51">
        <v>86</v>
      </c>
      <c r="AH11" s="52">
        <f t="shared" ref="AH11:AH74" si="2">MAX(B11:AF11)</f>
        <v>26</v>
      </c>
      <c r="AI11" s="53">
        <f t="shared" ref="AI11:AI74" si="3">MIN(B11:AF11)</f>
        <v>26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14.4</v>
      </c>
      <c r="C12" s="50">
        <v>14.4</v>
      </c>
      <c r="D12" s="50">
        <v>14.4</v>
      </c>
      <c r="E12" s="50">
        <v>14.7</v>
      </c>
      <c r="F12" s="50">
        <v>14.7</v>
      </c>
      <c r="G12" s="50">
        <v>14.7</v>
      </c>
      <c r="H12" s="50">
        <v>14.7</v>
      </c>
      <c r="I12" s="50">
        <v>14.7</v>
      </c>
      <c r="J12" s="50">
        <v>14.7</v>
      </c>
      <c r="K12" s="50">
        <v>14.7</v>
      </c>
      <c r="L12" s="50">
        <v>14.7</v>
      </c>
      <c r="M12" s="50">
        <v>14.7</v>
      </c>
      <c r="N12" s="50">
        <v>14.7</v>
      </c>
      <c r="O12" s="50">
        <v>14.7</v>
      </c>
      <c r="P12" s="50">
        <v>14.6</v>
      </c>
      <c r="Q12" s="50">
        <v>14.6</v>
      </c>
      <c r="R12" s="50">
        <v>14.6</v>
      </c>
      <c r="S12" s="50">
        <v>14.6</v>
      </c>
      <c r="T12" s="50">
        <v>14.6</v>
      </c>
      <c r="U12" s="50">
        <v>14.6</v>
      </c>
      <c r="V12" s="50">
        <v>14.6</v>
      </c>
      <c r="W12" s="50">
        <v>12</v>
      </c>
      <c r="X12" s="50">
        <v>12</v>
      </c>
      <c r="Y12" s="50">
        <v>12</v>
      </c>
      <c r="Z12" s="50">
        <v>12</v>
      </c>
      <c r="AA12" s="50">
        <v>12</v>
      </c>
      <c r="AB12" s="50">
        <v>12</v>
      </c>
      <c r="AC12" s="50">
        <v>12</v>
      </c>
      <c r="AD12" s="50">
        <v>17</v>
      </c>
      <c r="AE12" s="50">
        <v>18</v>
      </c>
      <c r="AF12" s="50">
        <v>18</v>
      </c>
      <c r="AG12" s="51">
        <v>52.4</v>
      </c>
      <c r="AH12" s="52">
        <f t="shared" si="2"/>
        <v>18</v>
      </c>
      <c r="AI12" s="53">
        <f t="shared" si="3"/>
        <v>12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27.5</v>
      </c>
      <c r="C13" s="50">
        <v>27.5</v>
      </c>
      <c r="D13" s="50">
        <v>27.5</v>
      </c>
      <c r="E13" s="50">
        <v>27.4</v>
      </c>
      <c r="F13" s="50">
        <v>27.4</v>
      </c>
      <c r="G13" s="50">
        <v>27.4</v>
      </c>
      <c r="H13" s="50">
        <v>27.4</v>
      </c>
      <c r="I13" s="50">
        <v>27.4</v>
      </c>
      <c r="J13" s="50">
        <v>27.4</v>
      </c>
      <c r="K13" s="50">
        <v>27.4</v>
      </c>
      <c r="L13" s="50">
        <v>27.4</v>
      </c>
      <c r="M13" s="50">
        <v>27.4</v>
      </c>
      <c r="N13" s="50">
        <v>27.4</v>
      </c>
      <c r="O13" s="50">
        <v>27.4</v>
      </c>
      <c r="P13" s="50">
        <v>28</v>
      </c>
      <c r="Q13" s="50">
        <v>28</v>
      </c>
      <c r="R13" s="50">
        <v>28</v>
      </c>
      <c r="S13" s="50">
        <v>28</v>
      </c>
      <c r="T13" s="50">
        <v>28</v>
      </c>
      <c r="U13" s="50">
        <v>28</v>
      </c>
      <c r="V13" s="50">
        <v>28</v>
      </c>
      <c r="W13" s="50">
        <v>28</v>
      </c>
      <c r="X13" s="50">
        <v>28</v>
      </c>
      <c r="Y13" s="50">
        <v>28</v>
      </c>
      <c r="Z13" s="50">
        <v>28</v>
      </c>
      <c r="AA13" s="50">
        <v>28</v>
      </c>
      <c r="AB13" s="50">
        <v>28</v>
      </c>
      <c r="AC13" s="50">
        <v>28</v>
      </c>
      <c r="AD13" s="50">
        <v>28</v>
      </c>
      <c r="AE13" s="50">
        <v>28</v>
      </c>
      <c r="AF13" s="50">
        <v>30</v>
      </c>
      <c r="AG13" s="55">
        <v>50</v>
      </c>
      <c r="AH13" s="52">
        <f t="shared" si="2"/>
        <v>30</v>
      </c>
      <c r="AI13" s="53">
        <f t="shared" si="3"/>
        <v>27.4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15.8</v>
      </c>
      <c r="C14" s="50">
        <v>15.8</v>
      </c>
      <c r="D14" s="50">
        <v>15.8</v>
      </c>
      <c r="E14" s="50">
        <v>16.5</v>
      </c>
      <c r="F14" s="50">
        <v>16.5</v>
      </c>
      <c r="G14" s="50">
        <v>16.5</v>
      </c>
      <c r="H14" s="50">
        <v>16.5</v>
      </c>
      <c r="I14" s="50">
        <v>16.5</v>
      </c>
      <c r="J14" s="50">
        <v>16.5</v>
      </c>
      <c r="K14" s="50">
        <v>16.5</v>
      </c>
      <c r="L14" s="50">
        <v>16.5</v>
      </c>
      <c r="M14" s="50">
        <v>16.5</v>
      </c>
      <c r="N14" s="50">
        <v>16.5</v>
      </c>
      <c r="O14" s="50">
        <v>16.5</v>
      </c>
      <c r="P14" s="50">
        <v>15.4</v>
      </c>
      <c r="Q14" s="50">
        <v>15.4</v>
      </c>
      <c r="R14" s="50">
        <v>15.4</v>
      </c>
      <c r="S14" s="50">
        <v>15.4</v>
      </c>
      <c r="T14" s="50">
        <v>15.4</v>
      </c>
      <c r="U14" s="50">
        <v>15.4</v>
      </c>
      <c r="V14" s="50">
        <v>15.4</v>
      </c>
      <c r="W14" s="50">
        <v>15.4</v>
      </c>
      <c r="X14" s="50">
        <v>15.4</v>
      </c>
      <c r="Y14" s="50">
        <v>15.4</v>
      </c>
      <c r="Z14" s="50">
        <v>15.4</v>
      </c>
      <c r="AA14" s="50">
        <v>15.4</v>
      </c>
      <c r="AB14" s="50">
        <v>15.4</v>
      </c>
      <c r="AC14" s="50">
        <v>15.4</v>
      </c>
      <c r="AD14" s="50">
        <v>15.4</v>
      </c>
      <c r="AE14" s="50">
        <v>15.4</v>
      </c>
      <c r="AF14" s="50">
        <v>15.4</v>
      </c>
      <c r="AG14" s="55">
        <v>45</v>
      </c>
      <c r="AH14" s="52">
        <f t="shared" si="2"/>
        <v>16.5</v>
      </c>
      <c r="AI14" s="53">
        <f t="shared" si="3"/>
        <v>15.4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8</v>
      </c>
      <c r="C15" s="50">
        <v>8</v>
      </c>
      <c r="D15" s="50">
        <v>8</v>
      </c>
      <c r="E15" s="50">
        <v>8.5</v>
      </c>
      <c r="F15" s="50">
        <v>8.5</v>
      </c>
      <c r="G15" s="50">
        <v>8.5</v>
      </c>
      <c r="H15" s="50">
        <v>8.5</v>
      </c>
      <c r="I15" s="50">
        <v>8.5</v>
      </c>
      <c r="J15" s="50">
        <v>8.5</v>
      </c>
      <c r="K15" s="50">
        <v>8.5</v>
      </c>
      <c r="L15" s="50">
        <v>8.5</v>
      </c>
      <c r="M15" s="50">
        <v>8.5</v>
      </c>
      <c r="N15" s="50">
        <v>8.5</v>
      </c>
      <c r="O15" s="50">
        <v>8.5</v>
      </c>
      <c r="P15" s="50">
        <v>8</v>
      </c>
      <c r="Q15" s="50">
        <v>8</v>
      </c>
      <c r="R15" s="50">
        <v>8</v>
      </c>
      <c r="S15" s="50">
        <v>8</v>
      </c>
      <c r="T15" s="50">
        <v>8</v>
      </c>
      <c r="U15" s="50">
        <v>8</v>
      </c>
      <c r="V15" s="50">
        <v>8</v>
      </c>
      <c r="W15" s="50">
        <v>8.5</v>
      </c>
      <c r="X15" s="50">
        <v>8.5</v>
      </c>
      <c r="Y15" s="50">
        <v>8.5</v>
      </c>
      <c r="Z15" s="50">
        <v>8.5</v>
      </c>
      <c r="AA15" s="50">
        <v>8.5</v>
      </c>
      <c r="AB15" s="50">
        <v>8.5</v>
      </c>
      <c r="AC15" s="50">
        <v>8.5</v>
      </c>
      <c r="AD15" s="50">
        <v>8.5</v>
      </c>
      <c r="AE15" s="50">
        <v>8.5</v>
      </c>
      <c r="AF15" s="50">
        <v>8.5</v>
      </c>
      <c r="AG15" s="55">
        <v>42</v>
      </c>
      <c r="AH15" s="52">
        <f t="shared" si="2"/>
        <v>8.5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7.2</v>
      </c>
      <c r="C18" s="50">
        <v>7.2</v>
      </c>
      <c r="D18" s="50">
        <v>7.2</v>
      </c>
      <c r="E18" s="50">
        <v>7.2</v>
      </c>
      <c r="F18" s="50">
        <v>7.2</v>
      </c>
      <c r="G18" s="50">
        <v>7.2</v>
      </c>
      <c r="H18" s="50">
        <v>7.2</v>
      </c>
      <c r="I18" s="50">
        <v>7.2</v>
      </c>
      <c r="J18" s="50">
        <v>7.2</v>
      </c>
      <c r="K18" s="50">
        <v>7.2</v>
      </c>
      <c r="L18" s="50">
        <v>7.2</v>
      </c>
      <c r="M18" s="50">
        <v>7.2</v>
      </c>
      <c r="N18" s="50">
        <v>7.2</v>
      </c>
      <c r="O18" s="50">
        <v>7.2</v>
      </c>
      <c r="P18" s="50">
        <v>7.8</v>
      </c>
      <c r="Q18" s="50">
        <v>7.8</v>
      </c>
      <c r="R18" s="50">
        <v>7.8</v>
      </c>
      <c r="S18" s="50">
        <v>7.8</v>
      </c>
      <c r="T18" s="50">
        <v>7.8</v>
      </c>
      <c r="U18" s="50">
        <v>7.8</v>
      </c>
      <c r="V18" s="50">
        <v>7.8</v>
      </c>
      <c r="W18" s="50">
        <v>7.8</v>
      </c>
      <c r="X18" s="50">
        <v>7.8</v>
      </c>
      <c r="Y18" s="50">
        <v>7.8</v>
      </c>
      <c r="Z18" s="50">
        <v>7.8</v>
      </c>
      <c r="AA18" s="50">
        <v>7.8</v>
      </c>
      <c r="AB18" s="50">
        <v>7.8</v>
      </c>
      <c r="AC18" s="50">
        <v>7.8</v>
      </c>
      <c r="AD18" s="50">
        <v>7.8</v>
      </c>
      <c r="AE18" s="50">
        <v>7.8</v>
      </c>
      <c r="AF18" s="50">
        <v>7.8</v>
      </c>
      <c r="AG18" s="56">
        <v>30</v>
      </c>
      <c r="AH18" s="52">
        <f t="shared" si="2"/>
        <v>7.8</v>
      </c>
      <c r="AI18" s="53">
        <f t="shared" si="3"/>
        <v>7.2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6.5</v>
      </c>
      <c r="C19" s="50">
        <v>6.5</v>
      </c>
      <c r="D19" s="50">
        <v>6.5</v>
      </c>
      <c r="E19" s="50">
        <v>6.5</v>
      </c>
      <c r="F19" s="50">
        <v>6.5</v>
      </c>
      <c r="G19" s="50">
        <v>6.5</v>
      </c>
      <c r="H19" s="50">
        <v>6.5</v>
      </c>
      <c r="I19" s="50">
        <v>6.5</v>
      </c>
      <c r="J19" s="50">
        <v>6.5</v>
      </c>
      <c r="K19" s="50">
        <v>6.5</v>
      </c>
      <c r="L19" s="50">
        <v>6.5</v>
      </c>
      <c r="M19" s="50">
        <v>6.5</v>
      </c>
      <c r="N19" s="50">
        <v>6.5</v>
      </c>
      <c r="O19" s="50">
        <v>6.5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7.9</v>
      </c>
      <c r="C22" s="50">
        <v>7.9</v>
      </c>
      <c r="D22" s="50">
        <v>7.9</v>
      </c>
      <c r="E22" s="50">
        <v>7.9</v>
      </c>
      <c r="F22" s="50">
        <v>7.9</v>
      </c>
      <c r="G22" s="50">
        <v>7.9</v>
      </c>
      <c r="H22" s="50">
        <v>7.9</v>
      </c>
      <c r="I22" s="50">
        <v>7.9</v>
      </c>
      <c r="J22" s="50">
        <v>7.9</v>
      </c>
      <c r="K22" s="50">
        <v>7.9</v>
      </c>
      <c r="L22" s="50">
        <v>7.9</v>
      </c>
      <c r="M22" s="50">
        <v>7.9</v>
      </c>
      <c r="N22" s="50">
        <v>7.9</v>
      </c>
      <c r="O22" s="50">
        <v>7.9</v>
      </c>
      <c r="P22" s="50">
        <v>9</v>
      </c>
      <c r="Q22" s="50">
        <v>9</v>
      </c>
      <c r="R22" s="50">
        <v>9</v>
      </c>
      <c r="S22" s="50">
        <v>9</v>
      </c>
      <c r="T22" s="50">
        <v>9</v>
      </c>
      <c r="U22" s="50">
        <v>9</v>
      </c>
      <c r="V22" s="50">
        <v>9</v>
      </c>
      <c r="W22" s="50">
        <v>9</v>
      </c>
      <c r="X22" s="50">
        <v>9</v>
      </c>
      <c r="Y22" s="50">
        <v>9</v>
      </c>
      <c r="Z22" s="50">
        <v>9</v>
      </c>
      <c r="AA22" s="50">
        <v>9</v>
      </c>
      <c r="AB22" s="50">
        <v>9</v>
      </c>
      <c r="AC22" s="50">
        <v>9</v>
      </c>
      <c r="AD22" s="50">
        <v>9</v>
      </c>
      <c r="AE22" s="50">
        <v>9</v>
      </c>
      <c r="AF22" s="50">
        <v>9</v>
      </c>
      <c r="AG22" s="55">
        <v>25</v>
      </c>
      <c r="AH22" s="52">
        <f t="shared" si="2"/>
        <v>9</v>
      </c>
      <c r="AI22" s="53">
        <f t="shared" si="3"/>
        <v>7.9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6.7</v>
      </c>
      <c r="C26" s="50">
        <v>6.7</v>
      </c>
      <c r="D26" s="50">
        <v>6.7</v>
      </c>
      <c r="E26" s="50">
        <v>6.7</v>
      </c>
      <c r="F26" s="50">
        <v>6.7</v>
      </c>
      <c r="G26" s="50">
        <v>6.7</v>
      </c>
      <c r="H26" s="50">
        <v>6.7</v>
      </c>
      <c r="I26" s="50">
        <v>6.7</v>
      </c>
      <c r="J26" s="50">
        <v>6.7</v>
      </c>
      <c r="K26" s="50">
        <v>6.7</v>
      </c>
      <c r="L26" s="50">
        <v>6.7</v>
      </c>
      <c r="M26" s="50">
        <v>6.7</v>
      </c>
      <c r="N26" s="50">
        <v>6.7</v>
      </c>
      <c r="O26" s="50">
        <v>6.7</v>
      </c>
      <c r="P26" s="50">
        <v>6.6</v>
      </c>
      <c r="Q26" s="50">
        <v>6.6</v>
      </c>
      <c r="R26" s="50">
        <v>6.6</v>
      </c>
      <c r="S26" s="50">
        <v>6.6</v>
      </c>
      <c r="T26" s="50">
        <v>6.6</v>
      </c>
      <c r="U26" s="50">
        <v>6.6</v>
      </c>
      <c r="V26" s="50">
        <v>6.6</v>
      </c>
      <c r="W26" s="50">
        <v>6.6</v>
      </c>
      <c r="X26" s="50">
        <v>6.6</v>
      </c>
      <c r="Y26" s="50">
        <v>6.6</v>
      </c>
      <c r="Z26" s="50">
        <v>6.6</v>
      </c>
      <c r="AA26" s="50">
        <v>6.6</v>
      </c>
      <c r="AB26" s="50">
        <v>6.6</v>
      </c>
      <c r="AC26" s="50">
        <v>6.6</v>
      </c>
      <c r="AD26" s="50">
        <v>6.6</v>
      </c>
      <c r="AE26" s="50">
        <v>6.6</v>
      </c>
      <c r="AF26" s="50">
        <v>6.6</v>
      </c>
      <c r="AG26" s="55">
        <v>23.5</v>
      </c>
      <c r="AH26" s="52">
        <f t="shared" si="2"/>
        <v>6.7</v>
      </c>
      <c r="AI26" s="53">
        <f t="shared" si="3"/>
        <v>6.6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5</v>
      </c>
      <c r="N28" s="50">
        <v>5</v>
      </c>
      <c r="O28" s="50">
        <v>5</v>
      </c>
      <c r="P28" s="50">
        <v>5</v>
      </c>
      <c r="Q28" s="50">
        <v>5</v>
      </c>
      <c r="R28" s="50">
        <v>5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5">
        <v>22.1</v>
      </c>
      <c r="AH28" s="52">
        <f t="shared" si="2"/>
        <v>5</v>
      </c>
      <c r="AI28" s="53">
        <f t="shared" si="3"/>
        <v>0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8</v>
      </c>
      <c r="N29" s="50">
        <v>8</v>
      </c>
      <c r="O29" s="50">
        <v>8</v>
      </c>
      <c r="P29" s="50">
        <v>8</v>
      </c>
      <c r="Q29" s="50">
        <v>8</v>
      </c>
      <c r="R29" s="50">
        <v>8</v>
      </c>
      <c r="S29" s="50">
        <v>8</v>
      </c>
      <c r="T29" s="50">
        <v>8</v>
      </c>
      <c r="U29" s="50">
        <v>8</v>
      </c>
      <c r="V29" s="50">
        <v>8</v>
      </c>
      <c r="W29" s="50">
        <v>8</v>
      </c>
      <c r="X29" s="50">
        <v>8</v>
      </c>
      <c r="Y29" s="50">
        <v>8</v>
      </c>
      <c r="Z29" s="50">
        <v>8</v>
      </c>
      <c r="AA29" s="50">
        <v>8</v>
      </c>
      <c r="AB29" s="50">
        <v>8</v>
      </c>
      <c r="AC29" s="50">
        <v>8</v>
      </c>
      <c r="AD29" s="50">
        <v>8</v>
      </c>
      <c r="AE29" s="50">
        <v>8</v>
      </c>
      <c r="AF29" s="50">
        <v>8</v>
      </c>
      <c r="AG29" s="55">
        <v>22</v>
      </c>
      <c r="AH29" s="52">
        <f t="shared" si="2"/>
        <v>8</v>
      </c>
      <c r="AI29" s="53">
        <f t="shared" si="3"/>
        <v>8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0</v>
      </c>
      <c r="P30" s="50">
        <v>15</v>
      </c>
      <c r="Q30" s="50">
        <v>15</v>
      </c>
      <c r="R30" s="50">
        <v>15</v>
      </c>
      <c r="S30" s="50">
        <v>15</v>
      </c>
      <c r="T30" s="50">
        <v>15</v>
      </c>
      <c r="U30" s="50">
        <v>15</v>
      </c>
      <c r="V30" s="50">
        <v>15</v>
      </c>
      <c r="W30" s="50">
        <v>15</v>
      </c>
      <c r="X30" s="50">
        <v>15</v>
      </c>
      <c r="Y30" s="50">
        <v>15</v>
      </c>
      <c r="Z30" s="50">
        <v>15</v>
      </c>
      <c r="AA30" s="50">
        <v>15</v>
      </c>
      <c r="AB30" s="50">
        <v>15</v>
      </c>
      <c r="AC30" s="50">
        <v>15</v>
      </c>
      <c r="AD30" s="50">
        <v>15</v>
      </c>
      <c r="AE30" s="50">
        <v>15</v>
      </c>
      <c r="AF30" s="50">
        <v>15</v>
      </c>
      <c r="AG30" s="55">
        <v>22</v>
      </c>
      <c r="AH30" s="52">
        <f t="shared" si="2"/>
        <v>15</v>
      </c>
      <c r="AI30" s="53">
        <f t="shared" si="3"/>
        <v>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0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4.8</v>
      </c>
      <c r="C38" s="50">
        <v>4.8</v>
      </c>
      <c r="D38" s="50">
        <v>4.8</v>
      </c>
      <c r="E38" s="50">
        <v>4.8</v>
      </c>
      <c r="F38" s="50">
        <v>4.8</v>
      </c>
      <c r="G38" s="50">
        <v>4.8</v>
      </c>
      <c r="H38" s="50">
        <v>4.8</v>
      </c>
      <c r="I38" s="50">
        <v>4.8</v>
      </c>
      <c r="J38" s="50">
        <v>4.8</v>
      </c>
      <c r="K38" s="50">
        <v>4.8</v>
      </c>
      <c r="L38" s="50">
        <v>4.8</v>
      </c>
      <c r="M38" s="50">
        <v>4.8</v>
      </c>
      <c r="N38" s="50">
        <v>4.8</v>
      </c>
      <c r="O38" s="50">
        <v>4.8</v>
      </c>
      <c r="P38" s="50">
        <v>4.8</v>
      </c>
      <c r="Q38" s="50">
        <v>4.8</v>
      </c>
      <c r="R38" s="50">
        <v>4.8</v>
      </c>
      <c r="S38" s="50">
        <v>4.8</v>
      </c>
      <c r="T38" s="50">
        <v>4.8</v>
      </c>
      <c r="U38" s="50">
        <v>4.8</v>
      </c>
      <c r="V38" s="50">
        <v>4.8</v>
      </c>
      <c r="W38" s="50">
        <v>4.8</v>
      </c>
      <c r="X38" s="50">
        <v>4.8</v>
      </c>
      <c r="Y38" s="50">
        <v>4.8</v>
      </c>
      <c r="Z38" s="50">
        <v>4.8</v>
      </c>
      <c r="AA38" s="50">
        <v>4.8</v>
      </c>
      <c r="AB38" s="50">
        <v>4.8</v>
      </c>
      <c r="AC38" s="50">
        <v>4.8</v>
      </c>
      <c r="AD38" s="50">
        <v>4.8</v>
      </c>
      <c r="AE38" s="50">
        <v>4.8</v>
      </c>
      <c r="AF38" s="50">
        <v>4.8</v>
      </c>
      <c r="AG38" s="55">
        <v>12</v>
      </c>
      <c r="AH38" s="52">
        <f t="shared" si="2"/>
        <v>4.8</v>
      </c>
      <c r="AI38" s="53">
        <f t="shared" si="3"/>
        <v>4.8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5.2</v>
      </c>
      <c r="C41" s="50">
        <v>5.2</v>
      </c>
      <c r="D41" s="50">
        <v>5.2</v>
      </c>
      <c r="E41" s="50">
        <v>5.2</v>
      </c>
      <c r="F41" s="50">
        <v>5.2</v>
      </c>
      <c r="G41" s="50">
        <v>5.2</v>
      </c>
      <c r="H41" s="50">
        <v>5.2</v>
      </c>
      <c r="I41" s="50">
        <v>5.2</v>
      </c>
      <c r="J41" s="50">
        <v>5.2</v>
      </c>
      <c r="K41" s="50">
        <v>5.2</v>
      </c>
      <c r="L41" s="50">
        <v>5.2</v>
      </c>
      <c r="M41" s="50">
        <v>5.2</v>
      </c>
      <c r="N41" s="50">
        <v>5.2</v>
      </c>
      <c r="O41" s="50">
        <v>5.2</v>
      </c>
      <c r="P41" s="50">
        <v>5.2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6">
        <v>11.88</v>
      </c>
      <c r="AH41" s="52">
        <f t="shared" si="2"/>
        <v>5.2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3.5</v>
      </c>
      <c r="C44" s="50">
        <v>3.5</v>
      </c>
      <c r="D44" s="50">
        <v>3.5</v>
      </c>
      <c r="E44" s="50">
        <v>3.5</v>
      </c>
      <c r="F44" s="50">
        <v>3.5</v>
      </c>
      <c r="G44" s="50">
        <v>3.5</v>
      </c>
      <c r="H44" s="50">
        <v>3.5</v>
      </c>
      <c r="I44" s="50">
        <v>3.5</v>
      </c>
      <c r="J44" s="50">
        <v>3.5</v>
      </c>
      <c r="K44" s="50">
        <v>3.5</v>
      </c>
      <c r="L44" s="50">
        <v>3.5</v>
      </c>
      <c r="M44" s="50">
        <v>3.5</v>
      </c>
      <c r="N44" s="50">
        <v>3.5</v>
      </c>
      <c r="O44" s="50">
        <v>3.5</v>
      </c>
      <c r="P44" s="50">
        <v>3.5</v>
      </c>
      <c r="Q44" s="50">
        <v>3.5</v>
      </c>
      <c r="R44" s="50">
        <v>3.5</v>
      </c>
      <c r="S44" s="50">
        <v>3.5</v>
      </c>
      <c r="T44" s="50">
        <v>3.5</v>
      </c>
      <c r="U44" s="50">
        <v>3.5</v>
      </c>
      <c r="V44" s="50">
        <v>3.5</v>
      </c>
      <c r="W44" s="50">
        <v>3.5</v>
      </c>
      <c r="X44" s="50">
        <v>3.5</v>
      </c>
      <c r="Y44" s="50">
        <v>3.5</v>
      </c>
      <c r="Z44" s="50">
        <v>3.5</v>
      </c>
      <c r="AA44" s="50">
        <v>3.5</v>
      </c>
      <c r="AB44" s="50">
        <v>3.5</v>
      </c>
      <c r="AC44" s="50">
        <v>3.5</v>
      </c>
      <c r="AD44" s="50">
        <v>3.5</v>
      </c>
      <c r="AE44" s="50">
        <v>3.5</v>
      </c>
      <c r="AF44" s="50">
        <v>3.5</v>
      </c>
      <c r="AG44" s="61">
        <v>10</v>
      </c>
      <c r="AH44" s="52">
        <f t="shared" si="2"/>
        <v>3.5</v>
      </c>
      <c r="AI44" s="53">
        <f t="shared" si="3"/>
        <v>3.5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342.8</v>
      </c>
      <c r="C48" s="67">
        <f t="shared" si="4"/>
        <v>342.8</v>
      </c>
      <c r="D48" s="67">
        <f t="shared" si="4"/>
        <v>342.8</v>
      </c>
      <c r="E48" s="67">
        <f t="shared" si="4"/>
        <v>344.2</v>
      </c>
      <c r="F48" s="67">
        <f t="shared" si="4"/>
        <v>344.2</v>
      </c>
      <c r="G48" s="67">
        <f t="shared" si="4"/>
        <v>344.2</v>
      </c>
      <c r="H48" s="67">
        <f t="shared" si="4"/>
        <v>344.2</v>
      </c>
      <c r="I48" s="67">
        <f t="shared" si="4"/>
        <v>344.2</v>
      </c>
      <c r="J48" s="67">
        <f t="shared" si="4"/>
        <v>344.2</v>
      </c>
      <c r="K48" s="67">
        <f t="shared" si="4"/>
        <v>344.2</v>
      </c>
      <c r="L48" s="67">
        <f t="shared" si="4"/>
        <v>344.2</v>
      </c>
      <c r="M48" s="67">
        <f t="shared" si="4"/>
        <v>351.2</v>
      </c>
      <c r="N48" s="67">
        <f t="shared" si="4"/>
        <v>351.2</v>
      </c>
      <c r="O48" s="67">
        <f t="shared" si="4"/>
        <v>341.2</v>
      </c>
      <c r="P48" s="67">
        <f t="shared" si="4"/>
        <v>356.79999999999995</v>
      </c>
      <c r="Q48" s="67">
        <f t="shared" si="4"/>
        <v>351.6</v>
      </c>
      <c r="R48" s="67">
        <f t="shared" si="4"/>
        <v>351.6</v>
      </c>
      <c r="S48" s="67">
        <f t="shared" si="4"/>
        <v>346.6</v>
      </c>
      <c r="T48" s="67">
        <f t="shared" si="4"/>
        <v>346.6</v>
      </c>
      <c r="U48" s="67">
        <f t="shared" si="4"/>
        <v>346.6</v>
      </c>
      <c r="V48" s="67">
        <f t="shared" si="4"/>
        <v>346.6</v>
      </c>
      <c r="W48" s="67">
        <f t="shared" si="4"/>
        <v>344.5</v>
      </c>
      <c r="X48" s="67">
        <f t="shared" si="4"/>
        <v>344.5</v>
      </c>
      <c r="Y48" s="67">
        <f t="shared" si="4"/>
        <v>344.5</v>
      </c>
      <c r="Z48" s="67">
        <f t="shared" si="4"/>
        <v>344.5</v>
      </c>
      <c r="AA48" s="67">
        <f t="shared" si="4"/>
        <v>344.5</v>
      </c>
      <c r="AB48" s="67">
        <f t="shared" ref="AB48:AC48" si="5">SUM(AB12:AB46)</f>
        <v>344.5</v>
      </c>
      <c r="AC48" s="67">
        <f t="shared" si="5"/>
        <v>344.5</v>
      </c>
      <c r="AD48" s="67">
        <f t="shared" si="4"/>
        <v>349.5</v>
      </c>
      <c r="AE48" s="67">
        <f t="shared" si="4"/>
        <v>350.5</v>
      </c>
      <c r="AF48" s="67">
        <f t="shared" si="4"/>
        <v>352.5</v>
      </c>
      <c r="AG48" s="68">
        <f t="shared" si="4"/>
        <v>875.68</v>
      </c>
      <c r="AH48" s="52">
        <f t="shared" si="2"/>
        <v>356.79999999999995</v>
      </c>
      <c r="AI48" s="53">
        <f t="shared" si="3"/>
        <v>341.2</v>
      </c>
      <c r="AK48" s="54"/>
    </row>
    <row r="49" spans="1:41" x14ac:dyDescent="0.25">
      <c r="A49" s="69" t="s">
        <v>53</v>
      </c>
      <c r="B49" s="50">
        <v>67</v>
      </c>
      <c r="C49" s="50">
        <v>96</v>
      </c>
      <c r="D49" s="50">
        <v>80</v>
      </c>
      <c r="E49" s="50">
        <v>80</v>
      </c>
      <c r="F49" s="50">
        <v>70</v>
      </c>
      <c r="G49" s="50">
        <v>70</v>
      </c>
      <c r="H49" s="50">
        <v>120</v>
      </c>
      <c r="I49" s="50">
        <v>100</v>
      </c>
      <c r="J49" s="50">
        <v>120</v>
      </c>
      <c r="K49" s="50">
        <v>160</v>
      </c>
      <c r="L49" s="50">
        <v>180</v>
      </c>
      <c r="M49" s="70">
        <v>190</v>
      </c>
      <c r="N49" s="70">
        <v>130</v>
      </c>
      <c r="O49" s="50">
        <v>100</v>
      </c>
      <c r="P49" s="50">
        <v>90</v>
      </c>
      <c r="Q49" s="50">
        <v>110</v>
      </c>
      <c r="R49" s="50">
        <v>70</v>
      </c>
      <c r="S49" s="50">
        <v>80</v>
      </c>
      <c r="T49" s="50">
        <v>100</v>
      </c>
      <c r="U49" s="50">
        <v>80</v>
      </c>
      <c r="V49" s="50">
        <v>90</v>
      </c>
      <c r="W49" s="50">
        <v>50</v>
      </c>
      <c r="X49" s="50">
        <v>70</v>
      </c>
      <c r="Y49" s="50">
        <v>130</v>
      </c>
      <c r="Z49" s="50">
        <v>190</v>
      </c>
      <c r="AA49" s="50">
        <v>180</v>
      </c>
      <c r="AB49" s="50">
        <v>100</v>
      </c>
      <c r="AC49" s="50">
        <v>60</v>
      </c>
      <c r="AD49" s="50">
        <v>30</v>
      </c>
      <c r="AE49" s="50">
        <v>0</v>
      </c>
      <c r="AF49" s="50">
        <v>70</v>
      </c>
      <c r="AG49" s="56">
        <v>456</v>
      </c>
      <c r="AH49" s="52">
        <f t="shared" si="2"/>
        <v>190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9.1999999999999993</v>
      </c>
      <c r="C51" s="74">
        <v>9.1999999999999993</v>
      </c>
      <c r="D51" s="74">
        <v>9.1999999999999993</v>
      </c>
      <c r="E51" s="74">
        <v>9.1999999999999993</v>
      </c>
      <c r="F51" s="74">
        <v>9.1999999999999993</v>
      </c>
      <c r="G51" s="74">
        <v>9.1999999999999993</v>
      </c>
      <c r="H51" s="74">
        <v>9.1999999999999993</v>
      </c>
      <c r="I51" s="74">
        <v>9.1999999999999993</v>
      </c>
      <c r="J51" s="74">
        <v>9.1999999999999993</v>
      </c>
      <c r="K51" s="74">
        <v>9.1999999999999993</v>
      </c>
      <c r="L51" s="74">
        <v>9.1999999999999993</v>
      </c>
      <c r="M51" s="74">
        <v>9.1999999999999993</v>
      </c>
      <c r="N51" s="74">
        <v>9.1999999999999993</v>
      </c>
      <c r="O51" s="74">
        <v>9.1999999999999993</v>
      </c>
      <c r="P51" s="74">
        <v>10.199999999999999</v>
      </c>
      <c r="Q51" s="74">
        <v>10.199999999999999</v>
      </c>
      <c r="R51" s="74">
        <v>10.199999999999999</v>
      </c>
      <c r="S51" s="74">
        <v>10.199999999999999</v>
      </c>
      <c r="T51" s="74">
        <v>10.199999999999999</v>
      </c>
      <c r="U51" s="74">
        <v>10.199999999999999</v>
      </c>
      <c r="V51" s="74">
        <v>10.199999999999999</v>
      </c>
      <c r="W51" s="74">
        <v>10.199999999999999</v>
      </c>
      <c r="X51" s="74">
        <v>10.3</v>
      </c>
      <c r="Y51" s="74">
        <v>10.199999999999999</v>
      </c>
      <c r="Z51" s="74">
        <v>10.199999999999999</v>
      </c>
      <c r="AA51" s="74">
        <v>10.199999999999999</v>
      </c>
      <c r="AB51" s="74">
        <v>10.199999999999999</v>
      </c>
      <c r="AC51" s="74">
        <v>10.199999999999999</v>
      </c>
      <c r="AD51" s="74">
        <v>10.199999999999999</v>
      </c>
      <c r="AE51" s="74">
        <v>10.199999999999999</v>
      </c>
      <c r="AF51" s="74">
        <v>10.199999999999999</v>
      </c>
      <c r="AG51" s="75">
        <v>22.1</v>
      </c>
      <c r="AH51" s="52">
        <f t="shared" si="2"/>
        <v>10.3</v>
      </c>
      <c r="AI51" s="53">
        <f t="shared" si="3"/>
        <v>9.1999999999999993</v>
      </c>
      <c r="AK51" s="54"/>
    </row>
    <row r="52" spans="1:41" ht="15.75" thickBot="1" x14ac:dyDescent="0.3">
      <c r="A52" s="76" t="s">
        <v>56</v>
      </c>
      <c r="B52" s="67">
        <f t="shared" ref="B52:AG52" si="6">SUM(B49:B51)</f>
        <v>101.2</v>
      </c>
      <c r="C52" s="67">
        <f t="shared" si="6"/>
        <v>130.19999999999999</v>
      </c>
      <c r="D52" s="67">
        <f t="shared" si="6"/>
        <v>114.2</v>
      </c>
      <c r="E52" s="67">
        <f t="shared" si="6"/>
        <v>114.2</v>
      </c>
      <c r="F52" s="67">
        <f t="shared" si="6"/>
        <v>104.2</v>
      </c>
      <c r="G52" s="67">
        <f t="shared" si="6"/>
        <v>104.2</v>
      </c>
      <c r="H52" s="67">
        <f t="shared" si="6"/>
        <v>154.19999999999999</v>
      </c>
      <c r="I52" s="67">
        <f t="shared" si="6"/>
        <v>134.19999999999999</v>
      </c>
      <c r="J52" s="67">
        <f t="shared" si="6"/>
        <v>154.19999999999999</v>
      </c>
      <c r="K52" s="67">
        <f t="shared" si="6"/>
        <v>194.2</v>
      </c>
      <c r="L52" s="67">
        <f t="shared" si="6"/>
        <v>214.2</v>
      </c>
      <c r="M52" s="67">
        <f t="shared" si="6"/>
        <v>224.2</v>
      </c>
      <c r="N52" s="67">
        <f t="shared" si="6"/>
        <v>164.2</v>
      </c>
      <c r="O52" s="67">
        <f t="shared" si="6"/>
        <v>134.19999999999999</v>
      </c>
      <c r="P52" s="67">
        <f t="shared" si="6"/>
        <v>125.2</v>
      </c>
      <c r="Q52" s="67">
        <f t="shared" si="6"/>
        <v>145.19999999999999</v>
      </c>
      <c r="R52" s="67">
        <f t="shared" si="6"/>
        <v>105.2</v>
      </c>
      <c r="S52" s="67">
        <f t="shared" si="6"/>
        <v>115.2</v>
      </c>
      <c r="T52" s="67">
        <f t="shared" si="6"/>
        <v>135.19999999999999</v>
      </c>
      <c r="U52" s="67">
        <f t="shared" si="6"/>
        <v>115.2</v>
      </c>
      <c r="V52" s="67">
        <f t="shared" si="6"/>
        <v>125.2</v>
      </c>
      <c r="W52" s="67">
        <f t="shared" si="6"/>
        <v>85.2</v>
      </c>
      <c r="X52" s="67">
        <f t="shared" si="6"/>
        <v>105.3</v>
      </c>
      <c r="Y52" s="67">
        <f t="shared" si="6"/>
        <v>165.2</v>
      </c>
      <c r="Z52" s="67">
        <f t="shared" si="6"/>
        <v>225.2</v>
      </c>
      <c r="AA52" s="67">
        <f t="shared" si="6"/>
        <v>215.2</v>
      </c>
      <c r="AB52" s="67">
        <f t="shared" ref="AB52:AC52" si="7">SUM(AB49:AB51)</f>
        <v>135.19999999999999</v>
      </c>
      <c r="AC52" s="67">
        <f t="shared" si="7"/>
        <v>95.2</v>
      </c>
      <c r="AD52" s="67">
        <f t="shared" si="6"/>
        <v>65.2</v>
      </c>
      <c r="AE52" s="67">
        <f t="shared" si="6"/>
        <v>35.200000000000003</v>
      </c>
      <c r="AF52" s="67">
        <f t="shared" si="6"/>
        <v>105.2</v>
      </c>
      <c r="AG52" s="68">
        <f t="shared" si="6"/>
        <v>538.1</v>
      </c>
      <c r="AH52" s="52">
        <f t="shared" si="2"/>
        <v>225.2</v>
      </c>
      <c r="AI52" s="53">
        <f t="shared" si="3"/>
        <v>35.200000000000003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32.299999999999997</v>
      </c>
      <c r="J53" s="50">
        <v>66</v>
      </c>
      <c r="K53" s="50">
        <v>66</v>
      </c>
      <c r="L53" s="50">
        <v>91.3</v>
      </c>
      <c r="M53" s="50">
        <v>91.2</v>
      </c>
      <c r="N53" s="50">
        <v>99</v>
      </c>
      <c r="O53" s="50">
        <v>81.400000000000006</v>
      </c>
      <c r="P53" s="50">
        <v>60.9</v>
      </c>
      <c r="Q53" s="50">
        <v>76.400000000000006</v>
      </c>
      <c r="R53" s="50">
        <v>63</v>
      </c>
      <c r="S53" s="50">
        <v>63.2</v>
      </c>
      <c r="T53" s="50">
        <v>63.2</v>
      </c>
      <c r="U53" s="50">
        <v>110</v>
      </c>
      <c r="V53" s="50">
        <v>135.9</v>
      </c>
      <c r="W53" s="50">
        <v>130.5</v>
      </c>
      <c r="X53" s="50">
        <v>110</v>
      </c>
      <c r="Y53" s="50">
        <v>134.9</v>
      </c>
      <c r="Z53" s="50">
        <v>123.4</v>
      </c>
      <c r="AA53" s="50">
        <v>112.5</v>
      </c>
      <c r="AB53" s="50">
        <v>88.2</v>
      </c>
      <c r="AC53" s="50">
        <v>61.6</v>
      </c>
      <c r="AD53" s="50">
        <v>30</v>
      </c>
      <c r="AE53" s="50">
        <v>0</v>
      </c>
      <c r="AF53" s="50">
        <v>0</v>
      </c>
      <c r="AG53" s="56">
        <v>144</v>
      </c>
      <c r="AH53" s="52">
        <f t="shared" si="2"/>
        <v>135.9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72">
        <v>0</v>
      </c>
      <c r="AE54" s="72">
        <v>0</v>
      </c>
      <c r="AF54" s="72">
        <v>0</v>
      </c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23.3</v>
      </c>
      <c r="J55" s="72">
        <v>45.7</v>
      </c>
      <c r="K55" s="72">
        <v>55</v>
      </c>
      <c r="L55" s="72">
        <v>55</v>
      </c>
      <c r="M55" s="72">
        <v>70.599999999999994</v>
      </c>
      <c r="N55" s="72">
        <v>54</v>
      </c>
      <c r="O55" s="72">
        <v>54</v>
      </c>
      <c r="P55" s="72">
        <v>60</v>
      </c>
      <c r="Q55" s="72">
        <v>67.400000000000006</v>
      </c>
      <c r="R55" s="72">
        <v>62.4</v>
      </c>
      <c r="S55" s="50">
        <v>63.1</v>
      </c>
      <c r="T55" s="50">
        <v>63.1</v>
      </c>
      <c r="U55" s="50">
        <v>46.6</v>
      </c>
      <c r="V55" s="50">
        <v>46.6</v>
      </c>
      <c r="W55" s="50">
        <v>34.4</v>
      </c>
      <c r="X55" s="50">
        <v>51.7</v>
      </c>
      <c r="Y55" s="50">
        <v>53.2</v>
      </c>
      <c r="Z55" s="50">
        <v>46.7</v>
      </c>
      <c r="AA55" s="50">
        <v>41.3</v>
      </c>
      <c r="AB55" s="50">
        <v>41</v>
      </c>
      <c r="AC55" s="50">
        <v>46.7</v>
      </c>
      <c r="AD55" s="72">
        <v>32.700000000000003</v>
      </c>
      <c r="AE55" s="72">
        <v>23</v>
      </c>
      <c r="AF55" s="72">
        <v>23</v>
      </c>
      <c r="AG55" s="61">
        <v>69</v>
      </c>
      <c r="AH55" s="52">
        <f t="shared" si="2"/>
        <v>70.599999999999994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35</v>
      </c>
      <c r="C56" s="72">
        <v>35</v>
      </c>
      <c r="D56" s="72">
        <v>35</v>
      </c>
      <c r="E56" s="63">
        <v>38.299999999999997</v>
      </c>
      <c r="F56" s="63">
        <v>38.299999999999997</v>
      </c>
      <c r="G56" s="63">
        <v>38.299999999999997</v>
      </c>
      <c r="H56" s="63">
        <v>38.299999999999997</v>
      </c>
      <c r="I56" s="63">
        <v>37.299999999999997</v>
      </c>
      <c r="J56" s="63">
        <v>36.299999999999997</v>
      </c>
      <c r="K56" s="63">
        <v>36.200000000000003</v>
      </c>
      <c r="L56" s="63">
        <v>37.1</v>
      </c>
      <c r="M56" s="72">
        <v>37.299999999999997</v>
      </c>
      <c r="N56" s="72">
        <v>37.299999999999997</v>
      </c>
      <c r="O56" s="72">
        <v>37.299999999999997</v>
      </c>
      <c r="P56" s="72">
        <v>37.1</v>
      </c>
      <c r="Q56" s="72">
        <v>37.1</v>
      </c>
      <c r="R56" s="72">
        <v>37.1</v>
      </c>
      <c r="S56" s="72">
        <v>37.1</v>
      </c>
      <c r="T56" s="72">
        <v>37.1</v>
      </c>
      <c r="U56" s="50">
        <v>37.1</v>
      </c>
      <c r="V56" s="50">
        <v>37.1</v>
      </c>
      <c r="W56" s="50">
        <v>37.1</v>
      </c>
      <c r="X56" s="50">
        <v>37.1</v>
      </c>
      <c r="Y56" s="50">
        <v>37.1</v>
      </c>
      <c r="Z56" s="50">
        <v>37.1</v>
      </c>
      <c r="AA56" s="50">
        <v>37.1</v>
      </c>
      <c r="AB56" s="50">
        <v>35.299999999999997</v>
      </c>
      <c r="AC56" s="50">
        <v>35.5</v>
      </c>
      <c r="AD56" s="50">
        <v>35.5</v>
      </c>
      <c r="AE56" s="50">
        <v>35.5</v>
      </c>
      <c r="AF56" s="50">
        <v>35.5</v>
      </c>
      <c r="AG56" s="61">
        <v>60</v>
      </c>
      <c r="AH56" s="52">
        <f t="shared" si="2"/>
        <v>38.299999999999997</v>
      </c>
      <c r="AI56" s="53">
        <f t="shared" si="3"/>
        <v>35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0</v>
      </c>
      <c r="F57" s="63">
        <v>10</v>
      </c>
      <c r="G57" s="63">
        <v>10</v>
      </c>
      <c r="H57" s="63">
        <v>10</v>
      </c>
      <c r="I57" s="63">
        <v>10</v>
      </c>
      <c r="J57" s="63">
        <v>10</v>
      </c>
      <c r="K57" s="63">
        <v>24</v>
      </c>
      <c r="L57" s="63">
        <v>24</v>
      </c>
      <c r="M57" s="72">
        <v>25</v>
      </c>
      <c r="N57" s="72">
        <v>20</v>
      </c>
      <c r="O57" s="72">
        <v>10.6</v>
      </c>
      <c r="P57" s="72">
        <v>10</v>
      </c>
      <c r="Q57" s="72">
        <v>0</v>
      </c>
      <c r="R57" s="72">
        <v>0</v>
      </c>
      <c r="S57" s="72">
        <v>0</v>
      </c>
      <c r="T57" s="72">
        <v>0</v>
      </c>
      <c r="U57" s="50">
        <v>13</v>
      </c>
      <c r="V57" s="50">
        <v>10</v>
      </c>
      <c r="W57" s="50">
        <v>10</v>
      </c>
      <c r="X57" s="50">
        <v>10</v>
      </c>
      <c r="Y57" s="50">
        <v>25</v>
      </c>
      <c r="Z57" s="50">
        <v>25</v>
      </c>
      <c r="AA57" s="50">
        <v>25</v>
      </c>
      <c r="AB57" s="50">
        <v>25</v>
      </c>
      <c r="AC57" s="50">
        <v>25</v>
      </c>
      <c r="AD57" s="50">
        <v>25</v>
      </c>
      <c r="AE57" s="50">
        <v>0</v>
      </c>
      <c r="AF57" s="50">
        <v>0</v>
      </c>
      <c r="AG57" s="61">
        <v>30</v>
      </c>
      <c r="AH57" s="52">
        <f t="shared" si="2"/>
        <v>25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8</v>
      </c>
      <c r="N58" s="50">
        <v>8</v>
      </c>
      <c r="O58" s="50">
        <v>8</v>
      </c>
      <c r="P58" s="72">
        <v>8</v>
      </c>
      <c r="Q58" s="72">
        <v>8</v>
      </c>
      <c r="R58" s="72">
        <v>8</v>
      </c>
      <c r="S58" s="72">
        <v>6</v>
      </c>
      <c r="T58" s="72">
        <v>6</v>
      </c>
      <c r="U58" s="72">
        <v>4</v>
      </c>
      <c r="V58" s="72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8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13</v>
      </c>
      <c r="C59" s="72">
        <v>12</v>
      </c>
      <c r="D59" s="72">
        <v>12</v>
      </c>
      <c r="E59" s="72">
        <v>10</v>
      </c>
      <c r="F59" s="72">
        <v>10</v>
      </c>
      <c r="G59" s="72">
        <v>10</v>
      </c>
      <c r="H59" s="72">
        <v>10</v>
      </c>
      <c r="I59" s="72">
        <v>10</v>
      </c>
      <c r="J59" s="72">
        <v>10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13</v>
      </c>
      <c r="AI59" s="53">
        <f t="shared" si="3"/>
        <v>10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10</v>
      </c>
      <c r="C61" s="72">
        <v>10</v>
      </c>
      <c r="D61" s="72">
        <v>10</v>
      </c>
      <c r="E61" s="72">
        <v>10</v>
      </c>
      <c r="F61" s="72">
        <v>10</v>
      </c>
      <c r="G61" s="72">
        <v>10</v>
      </c>
      <c r="H61" s="72">
        <v>10</v>
      </c>
      <c r="I61" s="72">
        <v>9.3000000000000007</v>
      </c>
      <c r="J61" s="72">
        <v>9.1999999999999993</v>
      </c>
      <c r="K61" s="72">
        <v>9.1999999999999993</v>
      </c>
      <c r="L61" s="72">
        <v>9.1999999999999993</v>
      </c>
      <c r="M61" s="72">
        <v>9.1999999999999993</v>
      </c>
      <c r="N61" s="72">
        <v>9.1999999999999993</v>
      </c>
      <c r="O61" s="72">
        <v>9.1999999999999993</v>
      </c>
      <c r="P61" s="72">
        <v>10.8</v>
      </c>
      <c r="Q61" s="72">
        <v>10.8</v>
      </c>
      <c r="R61" s="72">
        <v>10.8</v>
      </c>
      <c r="S61" s="72">
        <v>10.8</v>
      </c>
      <c r="T61" s="72">
        <v>10.8</v>
      </c>
      <c r="U61" s="72">
        <v>10.8</v>
      </c>
      <c r="V61" s="72">
        <v>10.8</v>
      </c>
      <c r="W61" s="72">
        <v>10.8</v>
      </c>
      <c r="X61" s="72">
        <v>10.8</v>
      </c>
      <c r="Y61" s="72">
        <v>10.8</v>
      </c>
      <c r="Z61" s="72">
        <v>10.8</v>
      </c>
      <c r="AA61" s="72">
        <v>10.8</v>
      </c>
      <c r="AB61" s="72">
        <v>10.8</v>
      </c>
      <c r="AC61" s="72">
        <v>10.8</v>
      </c>
      <c r="AD61" s="72">
        <v>10.8</v>
      </c>
      <c r="AE61" s="72">
        <v>10.8</v>
      </c>
      <c r="AF61" s="72">
        <v>10.8</v>
      </c>
      <c r="AG61" s="61">
        <v>14.1</v>
      </c>
      <c r="AH61" s="52">
        <f t="shared" si="2"/>
        <v>10.8</v>
      </c>
      <c r="AI61" s="53">
        <f t="shared" si="3"/>
        <v>9.1999999999999993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4.9000000000000004</v>
      </c>
      <c r="C62" s="72">
        <v>4.9000000000000004</v>
      </c>
      <c r="D62" s="72">
        <v>4.9000000000000004</v>
      </c>
      <c r="E62" s="72">
        <v>4.9000000000000004</v>
      </c>
      <c r="F62" s="72">
        <v>4.9000000000000004</v>
      </c>
      <c r="G62" s="72">
        <v>4.9000000000000004</v>
      </c>
      <c r="H62" s="72">
        <v>4.9000000000000004</v>
      </c>
      <c r="I62" s="72">
        <v>4.9000000000000004</v>
      </c>
      <c r="J62" s="72">
        <v>4.9000000000000004</v>
      </c>
      <c r="K62" s="72">
        <v>4.9000000000000004</v>
      </c>
      <c r="L62" s="72">
        <v>4.9000000000000004</v>
      </c>
      <c r="M62" s="72">
        <v>4.9000000000000004</v>
      </c>
      <c r="N62" s="72">
        <v>4.9000000000000004</v>
      </c>
      <c r="O62" s="72">
        <v>4.9000000000000004</v>
      </c>
      <c r="P62" s="72">
        <v>5.5</v>
      </c>
      <c r="Q62" s="72">
        <v>5.5</v>
      </c>
      <c r="R62" s="72">
        <v>5.5</v>
      </c>
      <c r="S62" s="72">
        <v>5.5</v>
      </c>
      <c r="T62" s="72">
        <v>5.5</v>
      </c>
      <c r="U62" s="72">
        <v>5.5</v>
      </c>
      <c r="V62" s="72">
        <v>5.5</v>
      </c>
      <c r="W62" s="72">
        <v>5.5</v>
      </c>
      <c r="X62" s="72">
        <v>5.5</v>
      </c>
      <c r="Y62" s="72">
        <v>5.5</v>
      </c>
      <c r="Z62" s="72">
        <v>5.5</v>
      </c>
      <c r="AA62" s="72">
        <v>5.5</v>
      </c>
      <c r="AB62" s="72">
        <v>5.5</v>
      </c>
      <c r="AC62" s="72">
        <v>5.5</v>
      </c>
      <c r="AD62" s="72">
        <v>5.5</v>
      </c>
      <c r="AE62" s="72">
        <v>5.5</v>
      </c>
      <c r="AF62" s="72">
        <v>5.5</v>
      </c>
      <c r="AG62" s="61">
        <v>14</v>
      </c>
      <c r="AH62" s="52">
        <f t="shared" si="2"/>
        <v>5.5</v>
      </c>
      <c r="AI62" s="53">
        <f t="shared" si="3"/>
        <v>4.9000000000000004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8">SUM(B53:B65)</f>
        <v>75.44</v>
      </c>
      <c r="C66" s="67">
        <f t="shared" si="8"/>
        <v>74.44</v>
      </c>
      <c r="D66" s="67">
        <f t="shared" si="8"/>
        <v>74.44</v>
      </c>
      <c r="E66" s="67">
        <f t="shared" si="8"/>
        <v>75.739999999999995</v>
      </c>
      <c r="F66" s="67">
        <f t="shared" si="8"/>
        <v>85.74</v>
      </c>
      <c r="G66" s="67">
        <f t="shared" si="8"/>
        <v>85.74</v>
      </c>
      <c r="H66" s="67">
        <f t="shared" si="8"/>
        <v>85.74</v>
      </c>
      <c r="I66" s="67">
        <f t="shared" si="8"/>
        <v>139.63999999999999</v>
      </c>
      <c r="J66" s="67">
        <f t="shared" si="8"/>
        <v>194.64</v>
      </c>
      <c r="K66" s="67">
        <f t="shared" si="8"/>
        <v>219.83999999999997</v>
      </c>
      <c r="L66" s="67">
        <f t="shared" si="8"/>
        <v>246.04</v>
      </c>
      <c r="M66" s="67">
        <f t="shared" si="8"/>
        <v>270.74000000000007</v>
      </c>
      <c r="N66" s="67">
        <f t="shared" si="8"/>
        <v>256.94</v>
      </c>
      <c r="O66" s="67">
        <f t="shared" si="8"/>
        <v>229.93999999999997</v>
      </c>
      <c r="P66" s="67">
        <f t="shared" si="8"/>
        <v>216.84</v>
      </c>
      <c r="Q66" s="67">
        <f t="shared" si="8"/>
        <v>229.74</v>
      </c>
      <c r="R66" s="67">
        <f t="shared" si="8"/>
        <v>211.34</v>
      </c>
      <c r="S66" s="67">
        <f t="shared" si="8"/>
        <v>210.24</v>
      </c>
      <c r="T66" s="67">
        <f t="shared" si="8"/>
        <v>210.24</v>
      </c>
      <c r="U66" s="67">
        <f t="shared" si="8"/>
        <v>251.54</v>
      </c>
      <c r="V66" s="67">
        <f t="shared" si="8"/>
        <v>270.44000000000005</v>
      </c>
      <c r="W66" s="67">
        <f t="shared" si="8"/>
        <v>252.84</v>
      </c>
      <c r="X66" s="67">
        <f t="shared" si="8"/>
        <v>249.64</v>
      </c>
      <c r="Y66" s="67">
        <f t="shared" si="8"/>
        <v>291.04000000000008</v>
      </c>
      <c r="Z66" s="67">
        <f t="shared" si="8"/>
        <v>273.04000000000008</v>
      </c>
      <c r="AA66" s="67">
        <f t="shared" si="8"/>
        <v>256.74</v>
      </c>
      <c r="AB66" s="67">
        <f t="shared" ref="AB66:AC66" si="9">SUM(AB53:AB65)</f>
        <v>230.34</v>
      </c>
      <c r="AC66" s="67">
        <f t="shared" si="9"/>
        <v>209.64000000000001</v>
      </c>
      <c r="AD66" s="67">
        <f t="shared" si="8"/>
        <v>164.04</v>
      </c>
      <c r="AE66" s="67">
        <f t="shared" si="8"/>
        <v>99.34</v>
      </c>
      <c r="AF66" s="67">
        <f t="shared" si="8"/>
        <v>99.34</v>
      </c>
      <c r="AG66" s="68">
        <f t="shared" si="8"/>
        <v>489.91</v>
      </c>
      <c r="AH66" s="52">
        <f t="shared" si="2"/>
        <v>291.04000000000008</v>
      </c>
      <c r="AI66" s="53">
        <f t="shared" si="3"/>
        <v>74.44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10</v>
      </c>
      <c r="W67" s="50">
        <v>10</v>
      </c>
      <c r="X67" s="50">
        <v>34</v>
      </c>
      <c r="Y67" s="50">
        <v>34</v>
      </c>
      <c r="Z67" s="50">
        <v>10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34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50">
        <v>0</v>
      </c>
      <c r="R68" s="50">
        <v>0</v>
      </c>
      <c r="S68" s="72">
        <v>0</v>
      </c>
      <c r="T68" s="72">
        <v>0</v>
      </c>
      <c r="U68" s="72">
        <v>0</v>
      </c>
      <c r="V68" s="72">
        <v>3.7</v>
      </c>
      <c r="W68" s="72">
        <v>4.5</v>
      </c>
      <c r="X68" s="72">
        <v>12.6</v>
      </c>
      <c r="Y68" s="72">
        <v>12.2</v>
      </c>
      <c r="Z68" s="72">
        <v>3.5</v>
      </c>
      <c r="AA68" s="72">
        <v>0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12.6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50">
        <v>0</v>
      </c>
      <c r="R69" s="50">
        <v>0</v>
      </c>
      <c r="S69" s="74">
        <v>0</v>
      </c>
      <c r="T69" s="74">
        <v>0</v>
      </c>
      <c r="U69" s="74">
        <v>0</v>
      </c>
      <c r="V69" s="74">
        <v>1.3</v>
      </c>
      <c r="W69" s="74">
        <v>1.7</v>
      </c>
      <c r="X69" s="74">
        <v>4.5999999999999996</v>
      </c>
      <c r="Y69" s="74">
        <v>4.5</v>
      </c>
      <c r="Z69" s="74">
        <v>1.3</v>
      </c>
      <c r="AA69" s="74">
        <v>0</v>
      </c>
      <c r="AB69" s="74">
        <v>0</v>
      </c>
      <c r="AC69" s="74">
        <v>0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4.5999999999999996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0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1">M67+M68+M69</f>
        <v>0</v>
      </c>
      <c r="N70" s="67">
        <f t="shared" si="11"/>
        <v>0</v>
      </c>
      <c r="O70" s="67">
        <f t="shared" si="11"/>
        <v>0</v>
      </c>
      <c r="P70" s="67">
        <f t="shared" si="11"/>
        <v>0</v>
      </c>
      <c r="Q70" s="67">
        <f t="shared" si="11"/>
        <v>0</v>
      </c>
      <c r="R70" s="67">
        <f t="shared" si="11"/>
        <v>0</v>
      </c>
      <c r="S70" s="67">
        <f t="shared" si="11"/>
        <v>0</v>
      </c>
      <c r="T70" s="67">
        <f t="shared" si="11"/>
        <v>0</v>
      </c>
      <c r="U70" s="67">
        <f t="shared" si="11"/>
        <v>0</v>
      </c>
      <c r="V70" s="67">
        <f t="shared" si="11"/>
        <v>15</v>
      </c>
      <c r="W70" s="67">
        <f t="shared" si="11"/>
        <v>16.2</v>
      </c>
      <c r="X70" s="67">
        <f t="shared" si="11"/>
        <v>51.2</v>
      </c>
      <c r="Y70" s="67">
        <f t="shared" si="11"/>
        <v>50.7</v>
      </c>
      <c r="Z70" s="67">
        <f t="shared" si="11"/>
        <v>14.8</v>
      </c>
      <c r="AA70" s="67">
        <f t="shared" si="11"/>
        <v>0</v>
      </c>
      <c r="AB70" s="67">
        <f t="shared" ref="AB70:AC70" si="12">AB67+AB68+AB69</f>
        <v>0</v>
      </c>
      <c r="AC70" s="67">
        <f t="shared" si="12"/>
        <v>0</v>
      </c>
      <c r="AD70" s="67">
        <f t="shared" si="11"/>
        <v>0</v>
      </c>
      <c r="AE70" s="67">
        <f t="shared" si="11"/>
        <v>0</v>
      </c>
      <c r="AF70" s="67">
        <f t="shared" si="11"/>
        <v>0</v>
      </c>
      <c r="AG70" s="68">
        <f>SUM(AG67:AG69)</f>
        <v>106</v>
      </c>
      <c r="AH70" s="52">
        <f t="shared" si="2"/>
        <v>51.2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54</v>
      </c>
      <c r="C71" s="50">
        <v>54</v>
      </c>
      <c r="D71" s="50">
        <v>47</v>
      </c>
      <c r="E71" s="50">
        <v>48.6</v>
      </c>
      <c r="F71" s="50">
        <v>48</v>
      </c>
      <c r="G71" s="50">
        <v>43</v>
      </c>
      <c r="H71" s="50">
        <v>56</v>
      </c>
      <c r="I71" s="50">
        <v>57</v>
      </c>
      <c r="J71" s="50">
        <v>59.1</v>
      </c>
      <c r="K71" s="50">
        <v>62</v>
      </c>
      <c r="L71" s="50">
        <v>52</v>
      </c>
      <c r="M71" s="50">
        <v>59</v>
      </c>
      <c r="N71" s="50">
        <v>55</v>
      </c>
      <c r="O71" s="50">
        <v>61.2</v>
      </c>
      <c r="P71" s="50">
        <v>68.3</v>
      </c>
      <c r="Q71" s="50">
        <v>56.6</v>
      </c>
      <c r="R71" s="50">
        <v>65.099999999999994</v>
      </c>
      <c r="S71" s="50">
        <v>63.2</v>
      </c>
      <c r="T71" s="50">
        <v>70</v>
      </c>
      <c r="U71" s="50">
        <v>63</v>
      </c>
      <c r="V71" s="50">
        <v>68</v>
      </c>
      <c r="W71" s="50">
        <v>59.6</v>
      </c>
      <c r="X71" s="50">
        <v>61.9</v>
      </c>
      <c r="Y71" s="50">
        <v>66.2</v>
      </c>
      <c r="Z71" s="50">
        <v>65.3</v>
      </c>
      <c r="AA71" s="50">
        <v>58.9</v>
      </c>
      <c r="AB71" s="50">
        <v>68.900000000000006</v>
      </c>
      <c r="AC71" s="50">
        <v>60</v>
      </c>
      <c r="AD71" s="50">
        <v>65</v>
      </c>
      <c r="AE71" s="50">
        <v>61</v>
      </c>
      <c r="AF71" s="50">
        <v>54</v>
      </c>
      <c r="AG71" s="56"/>
      <c r="AH71" s="52">
        <f t="shared" si="2"/>
        <v>70</v>
      </c>
      <c r="AI71" s="53">
        <f t="shared" si="3"/>
        <v>43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306</v>
      </c>
      <c r="C73" s="72">
        <v>206</v>
      </c>
      <c r="D73" s="72">
        <v>208</v>
      </c>
      <c r="E73" s="72">
        <v>197</v>
      </c>
      <c r="F73" s="72">
        <v>196</v>
      </c>
      <c r="G73" s="72">
        <v>225</v>
      </c>
      <c r="H73" s="72">
        <v>255</v>
      </c>
      <c r="I73" s="72">
        <v>250</v>
      </c>
      <c r="J73" s="72">
        <v>224</v>
      </c>
      <c r="K73" s="72">
        <v>200</v>
      </c>
      <c r="L73" s="72">
        <v>206</v>
      </c>
      <c r="M73" s="72">
        <v>216</v>
      </c>
      <c r="N73" s="72">
        <v>268</v>
      </c>
      <c r="O73" s="72">
        <v>306</v>
      </c>
      <c r="P73" s="72">
        <v>326</v>
      </c>
      <c r="Q73" s="72">
        <v>307</v>
      </c>
      <c r="R73" s="72">
        <v>329</v>
      </c>
      <c r="S73" s="72">
        <v>334.6</v>
      </c>
      <c r="T73" s="72">
        <v>347.3</v>
      </c>
      <c r="U73" s="72">
        <v>331</v>
      </c>
      <c r="V73" s="72">
        <v>313.7</v>
      </c>
      <c r="W73" s="72">
        <v>304.8</v>
      </c>
      <c r="X73" s="72">
        <v>314.5</v>
      </c>
      <c r="Y73" s="72">
        <v>307.89999999999998</v>
      </c>
      <c r="Z73" s="72">
        <v>250</v>
      </c>
      <c r="AA73" s="72">
        <v>238</v>
      </c>
      <c r="AB73" s="72">
        <v>288</v>
      </c>
      <c r="AC73" s="72">
        <v>285</v>
      </c>
      <c r="AD73" s="72">
        <v>380</v>
      </c>
      <c r="AE73" s="72">
        <v>319</v>
      </c>
      <c r="AF73" s="72">
        <v>240</v>
      </c>
      <c r="AG73" s="82"/>
      <c r="AH73" s="52">
        <f t="shared" si="2"/>
        <v>380</v>
      </c>
      <c r="AI73" s="53">
        <f t="shared" si="3"/>
        <v>196</v>
      </c>
      <c r="AK73" s="54"/>
    </row>
    <row r="74" spans="1:40" x14ac:dyDescent="0.25">
      <c r="A74" s="60" t="s">
        <v>78</v>
      </c>
      <c r="B74" s="72">
        <v>42</v>
      </c>
      <c r="C74" s="72">
        <v>42</v>
      </c>
      <c r="D74" s="72">
        <v>49</v>
      </c>
      <c r="E74" s="83">
        <v>48.5</v>
      </c>
      <c r="F74" s="83">
        <v>47</v>
      </c>
      <c r="G74" s="83">
        <v>45.1</v>
      </c>
      <c r="H74" s="83">
        <v>48.3</v>
      </c>
      <c r="I74" s="83">
        <v>49.4</v>
      </c>
      <c r="J74" s="83">
        <v>50.2</v>
      </c>
      <c r="K74" s="83">
        <v>53.1</v>
      </c>
      <c r="L74" s="83">
        <v>53.3</v>
      </c>
      <c r="M74" s="83">
        <v>55.1</v>
      </c>
      <c r="N74" s="83">
        <v>55.1</v>
      </c>
      <c r="O74" s="83">
        <v>57.1</v>
      </c>
      <c r="P74" s="83">
        <v>55.6</v>
      </c>
      <c r="Q74" s="83">
        <v>55.6</v>
      </c>
      <c r="R74" s="83">
        <v>52.3</v>
      </c>
      <c r="S74" s="83">
        <v>54.7</v>
      </c>
      <c r="T74" s="83">
        <v>55.6</v>
      </c>
      <c r="U74" s="83">
        <v>55.6</v>
      </c>
      <c r="V74" s="83">
        <v>52.7</v>
      </c>
      <c r="W74" s="83">
        <v>51</v>
      </c>
      <c r="X74" s="83">
        <v>47.9</v>
      </c>
      <c r="Y74" s="72">
        <v>54.1</v>
      </c>
      <c r="Z74" s="72">
        <v>49</v>
      </c>
      <c r="AA74" s="72">
        <v>41</v>
      </c>
      <c r="AB74" s="72">
        <v>41</v>
      </c>
      <c r="AC74" s="72">
        <v>41</v>
      </c>
      <c r="AD74" s="72">
        <v>50</v>
      </c>
      <c r="AE74" s="72">
        <v>46</v>
      </c>
      <c r="AF74" s="72">
        <v>46</v>
      </c>
      <c r="AG74" s="82"/>
      <c r="AH74" s="52">
        <f t="shared" si="2"/>
        <v>57.1</v>
      </c>
      <c r="AI74" s="53">
        <f t="shared" si="3"/>
        <v>41</v>
      </c>
      <c r="AK74" s="54"/>
    </row>
    <row r="75" spans="1:40" x14ac:dyDescent="0.25">
      <c r="A75" s="60" t="s">
        <v>79</v>
      </c>
      <c r="B75" s="50">
        <v>30</v>
      </c>
      <c r="C75" s="50">
        <v>32</v>
      </c>
      <c r="D75" s="50">
        <v>87</v>
      </c>
      <c r="E75" s="50">
        <v>81.3</v>
      </c>
      <c r="F75" s="50">
        <v>80</v>
      </c>
      <c r="G75" s="50">
        <v>88.4</v>
      </c>
      <c r="H75" s="50">
        <v>78.599999999999994</v>
      </c>
      <c r="I75" s="50">
        <v>79</v>
      </c>
      <c r="J75" s="50">
        <v>69.2</v>
      </c>
      <c r="K75" s="50">
        <v>62.9</v>
      </c>
      <c r="L75" s="50">
        <v>47.4</v>
      </c>
      <c r="M75" s="50">
        <v>44.9</v>
      </c>
      <c r="N75" s="50">
        <v>80</v>
      </c>
      <c r="O75" s="50">
        <v>75.599999999999994</v>
      </c>
      <c r="P75" s="50">
        <v>72.8</v>
      </c>
      <c r="Q75" s="50">
        <v>68.400000000000006</v>
      </c>
      <c r="R75" s="50">
        <v>81.2</v>
      </c>
      <c r="S75" s="50">
        <v>84.4</v>
      </c>
      <c r="T75" s="50">
        <v>88.1</v>
      </c>
      <c r="U75" s="50">
        <v>88.1</v>
      </c>
      <c r="V75" s="50">
        <v>67.599999999999994</v>
      </c>
      <c r="W75" s="50">
        <v>79.7</v>
      </c>
      <c r="X75" s="50">
        <v>88.3</v>
      </c>
      <c r="Y75" s="50">
        <v>80.5</v>
      </c>
      <c r="Z75" s="50">
        <v>79.2</v>
      </c>
      <c r="AA75" s="50">
        <v>69.400000000000006</v>
      </c>
      <c r="AB75" s="50">
        <v>69.400000000000006</v>
      </c>
      <c r="AC75" s="50">
        <v>69.400000000000006</v>
      </c>
      <c r="AD75" s="50">
        <v>90</v>
      </c>
      <c r="AE75" s="50">
        <v>0</v>
      </c>
      <c r="AF75" s="50">
        <v>0</v>
      </c>
      <c r="AG75" s="82"/>
      <c r="AH75" s="52">
        <f t="shared" ref="AH75:AH117" si="13">MAX(B75:AF75)</f>
        <v>90</v>
      </c>
      <c r="AI75" s="53">
        <f t="shared" ref="AI75:AI117" si="14">MIN(B75:AF75)</f>
        <v>0</v>
      </c>
      <c r="AK75" s="54"/>
    </row>
    <row r="76" spans="1:40" x14ac:dyDescent="0.25">
      <c r="A76" s="60" t="s">
        <v>80</v>
      </c>
      <c r="B76" s="84">
        <v>5</v>
      </c>
      <c r="C76" s="84">
        <v>5</v>
      </c>
      <c r="D76" s="84">
        <v>5</v>
      </c>
      <c r="E76" s="84">
        <v>5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3"/>
        <v>5</v>
      </c>
      <c r="AI76" s="53">
        <f t="shared" si="14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3"/>
        <v>0</v>
      </c>
      <c r="AI77" s="53">
        <f t="shared" si="14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3"/>
        <v>0</v>
      </c>
      <c r="AI78" s="53">
        <f t="shared" si="14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3"/>
        <v>0</v>
      </c>
      <c r="AI79" s="53">
        <f t="shared" si="14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3"/>
        <v>0</v>
      </c>
      <c r="AI80" s="53">
        <f t="shared" si="14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3"/>
        <v>0</v>
      </c>
      <c r="AI81" s="53">
        <f t="shared" si="14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5">SUMIF(B71:B81,"&gt;0")</f>
        <v>437</v>
      </c>
      <c r="C82" s="67">
        <f t="shared" si="15"/>
        <v>339</v>
      </c>
      <c r="D82" s="67">
        <f t="shared" si="15"/>
        <v>396</v>
      </c>
      <c r="E82" s="67">
        <f t="shared" si="15"/>
        <v>380.40000000000003</v>
      </c>
      <c r="F82" s="67">
        <f t="shared" si="15"/>
        <v>371</v>
      </c>
      <c r="G82" s="67">
        <f t="shared" si="15"/>
        <v>401.5</v>
      </c>
      <c r="H82" s="67">
        <f t="shared" si="15"/>
        <v>437.9</v>
      </c>
      <c r="I82" s="67">
        <f t="shared" si="15"/>
        <v>435.4</v>
      </c>
      <c r="J82" s="67">
        <f t="shared" si="15"/>
        <v>402.5</v>
      </c>
      <c r="K82" s="67">
        <f t="shared" si="15"/>
        <v>378</v>
      </c>
      <c r="L82" s="67">
        <f t="shared" si="15"/>
        <v>358.7</v>
      </c>
      <c r="M82" s="67">
        <f t="shared" si="15"/>
        <v>375</v>
      </c>
      <c r="N82" s="67">
        <f t="shared" si="15"/>
        <v>458.1</v>
      </c>
      <c r="O82" s="67">
        <f t="shared" si="15"/>
        <v>499.9</v>
      </c>
      <c r="P82" s="67">
        <f t="shared" si="15"/>
        <v>522.70000000000005</v>
      </c>
      <c r="Q82" s="67">
        <f t="shared" si="15"/>
        <v>487.6</v>
      </c>
      <c r="R82" s="67">
        <f t="shared" si="15"/>
        <v>527.6</v>
      </c>
      <c r="S82" s="67">
        <f t="shared" si="15"/>
        <v>536.9</v>
      </c>
      <c r="T82" s="67">
        <f t="shared" si="15"/>
        <v>561</v>
      </c>
      <c r="U82" s="67">
        <f t="shared" si="15"/>
        <v>542.70000000000005</v>
      </c>
      <c r="V82" s="67">
        <f t="shared" si="15"/>
        <v>507</v>
      </c>
      <c r="W82" s="67">
        <f t="shared" si="15"/>
        <v>500.1</v>
      </c>
      <c r="X82" s="67">
        <f t="shared" si="15"/>
        <v>517.59999999999991</v>
      </c>
      <c r="Y82" s="67">
        <f t="shared" si="15"/>
        <v>513.70000000000005</v>
      </c>
      <c r="Z82" s="67">
        <f t="shared" si="15"/>
        <v>448.5</v>
      </c>
      <c r="AA82" s="67">
        <f t="shared" si="15"/>
        <v>412.29999999999995</v>
      </c>
      <c r="AB82" s="67">
        <f t="shared" ref="AB82:AC82" si="16">SUMIF(AB71:AB81,"&gt;0")</f>
        <v>472.29999999999995</v>
      </c>
      <c r="AC82" s="67">
        <f t="shared" si="16"/>
        <v>460.4</v>
      </c>
      <c r="AD82" s="67">
        <f t="shared" si="15"/>
        <v>590</v>
      </c>
      <c r="AE82" s="67">
        <f t="shared" si="15"/>
        <v>431</v>
      </c>
      <c r="AF82" s="67">
        <f t="shared" si="15"/>
        <v>345</v>
      </c>
      <c r="AG82" s="95">
        <f>SUM(AG71:AG81)</f>
        <v>0</v>
      </c>
      <c r="AH82" s="52">
        <f t="shared" si="13"/>
        <v>590</v>
      </c>
      <c r="AI82" s="53">
        <f t="shared" si="14"/>
        <v>339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3"/>
        <v>0</v>
      </c>
      <c r="AI83" s="53">
        <f t="shared" si="14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3"/>
        <v>0</v>
      </c>
      <c r="AI84" s="53">
        <f t="shared" si="14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3"/>
        <v>0</v>
      </c>
      <c r="AI85" s="53">
        <f t="shared" si="14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3"/>
        <v>0</v>
      </c>
      <c r="AI86" s="53">
        <f t="shared" si="14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7">B48+B52+B70+B66+B82+B86</f>
        <v>956.44</v>
      </c>
      <c r="C87" s="102">
        <f t="shared" si="17"/>
        <v>886.44</v>
      </c>
      <c r="D87" s="102">
        <f t="shared" si="17"/>
        <v>927.44</v>
      </c>
      <c r="E87" s="102">
        <f t="shared" si="17"/>
        <v>914.54</v>
      </c>
      <c r="F87" s="102">
        <f t="shared" si="17"/>
        <v>905.14</v>
      </c>
      <c r="G87" s="102">
        <f t="shared" si="17"/>
        <v>935.64</v>
      </c>
      <c r="H87" s="102">
        <f t="shared" si="17"/>
        <v>1022.04</v>
      </c>
      <c r="I87" s="102">
        <f t="shared" si="17"/>
        <v>1053.44</v>
      </c>
      <c r="J87" s="102">
        <f t="shared" si="17"/>
        <v>1095.54</v>
      </c>
      <c r="K87" s="102">
        <f t="shared" si="17"/>
        <v>1136.24</v>
      </c>
      <c r="L87" s="102">
        <f t="shared" si="17"/>
        <v>1163.1399999999999</v>
      </c>
      <c r="M87" s="102">
        <f t="shared" si="17"/>
        <v>1221.1400000000001</v>
      </c>
      <c r="N87" s="102">
        <f t="shared" si="17"/>
        <v>1230.44</v>
      </c>
      <c r="O87" s="102">
        <f t="shared" si="17"/>
        <v>1205.2399999999998</v>
      </c>
      <c r="P87" s="102">
        <f t="shared" si="17"/>
        <v>1221.54</v>
      </c>
      <c r="Q87" s="102">
        <f t="shared" si="17"/>
        <v>1214.1399999999999</v>
      </c>
      <c r="R87" s="102">
        <f t="shared" si="17"/>
        <v>1195.74</v>
      </c>
      <c r="S87" s="102">
        <f t="shared" si="17"/>
        <v>1208.94</v>
      </c>
      <c r="T87" s="102">
        <f t="shared" si="17"/>
        <v>1253.04</v>
      </c>
      <c r="U87" s="102">
        <f t="shared" si="17"/>
        <v>1256.04</v>
      </c>
      <c r="V87" s="102">
        <f t="shared" si="17"/>
        <v>1264.24</v>
      </c>
      <c r="W87" s="102">
        <f t="shared" si="17"/>
        <v>1198.8400000000001</v>
      </c>
      <c r="X87" s="102">
        <f t="shared" si="17"/>
        <v>1268.2399999999998</v>
      </c>
      <c r="Y87" s="102">
        <f t="shared" si="17"/>
        <v>1365.14</v>
      </c>
      <c r="Z87" s="102">
        <f t="shared" si="17"/>
        <v>1306.04</v>
      </c>
      <c r="AA87" s="102">
        <f t="shared" si="17"/>
        <v>1228.74</v>
      </c>
      <c r="AB87" s="102">
        <f t="shared" ref="AB87:AC87" si="18">AB48+AB52+AB70+AB66+AB82+AB86</f>
        <v>1182.3399999999999</v>
      </c>
      <c r="AC87" s="102">
        <f t="shared" si="18"/>
        <v>1109.74</v>
      </c>
      <c r="AD87" s="102">
        <f t="shared" si="17"/>
        <v>1168.74</v>
      </c>
      <c r="AE87" s="102">
        <f t="shared" si="17"/>
        <v>916.04</v>
      </c>
      <c r="AF87" s="102">
        <f t="shared" si="17"/>
        <v>902.04</v>
      </c>
      <c r="AG87" s="68">
        <f t="shared" si="17"/>
        <v>2065.09</v>
      </c>
      <c r="AH87" s="52">
        <f>MAX(B87:AF87)</f>
        <v>1365.14</v>
      </c>
      <c r="AI87" s="53">
        <f>MIN(B87:AF87)</f>
        <v>886.44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>
        <v>180</v>
      </c>
      <c r="M88" s="104">
        <v>180</v>
      </c>
      <c r="N88" s="104">
        <v>180</v>
      </c>
      <c r="O88" s="104">
        <v>140</v>
      </c>
      <c r="P88" s="104">
        <v>50</v>
      </c>
      <c r="Q88" s="104">
        <v>50</v>
      </c>
      <c r="R88" s="104">
        <v>50</v>
      </c>
      <c r="S88" s="104">
        <v>50</v>
      </c>
      <c r="T88" s="104">
        <v>50</v>
      </c>
      <c r="U88" s="104">
        <v>50</v>
      </c>
      <c r="V88" s="104">
        <v>50</v>
      </c>
      <c r="W88" s="104">
        <v>150</v>
      </c>
      <c r="X88" s="104">
        <v>130</v>
      </c>
      <c r="Y88" s="104">
        <v>130</v>
      </c>
      <c r="Z88" s="104">
        <v>130</v>
      </c>
      <c r="AA88" s="104">
        <v>130</v>
      </c>
      <c r="AB88" s="104">
        <v>0</v>
      </c>
      <c r="AC88" s="104">
        <v>0</v>
      </c>
      <c r="AD88" s="104"/>
      <c r="AE88" s="104"/>
      <c r="AF88" s="104"/>
      <c r="AG88" s="95"/>
      <c r="AH88" s="52">
        <f t="shared" si="13"/>
        <v>180</v>
      </c>
      <c r="AI88" s="53">
        <f t="shared" si="14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9">B87+B88</f>
        <v>956.44</v>
      </c>
      <c r="C89" s="102">
        <f t="shared" si="19"/>
        <v>886.44</v>
      </c>
      <c r="D89" s="102">
        <f t="shared" si="19"/>
        <v>927.44</v>
      </c>
      <c r="E89" s="102">
        <f t="shared" si="19"/>
        <v>914.54</v>
      </c>
      <c r="F89" s="102">
        <f t="shared" si="19"/>
        <v>905.14</v>
      </c>
      <c r="G89" s="102">
        <f t="shared" si="19"/>
        <v>935.64</v>
      </c>
      <c r="H89" s="102">
        <f t="shared" si="19"/>
        <v>1022.04</v>
      </c>
      <c r="I89" s="102">
        <f t="shared" si="19"/>
        <v>1053.44</v>
      </c>
      <c r="J89" s="102">
        <f t="shared" si="19"/>
        <v>1095.54</v>
      </c>
      <c r="K89" s="102">
        <f t="shared" si="19"/>
        <v>1136.24</v>
      </c>
      <c r="L89" s="102">
        <f t="shared" si="19"/>
        <v>1343.1399999999999</v>
      </c>
      <c r="M89" s="102">
        <f t="shared" si="19"/>
        <v>1401.14</v>
      </c>
      <c r="N89" s="102">
        <f t="shared" si="19"/>
        <v>1410.44</v>
      </c>
      <c r="O89" s="102">
        <f t="shared" si="19"/>
        <v>1345.2399999999998</v>
      </c>
      <c r="P89" s="102">
        <f t="shared" si="19"/>
        <v>1271.54</v>
      </c>
      <c r="Q89" s="102">
        <f t="shared" si="19"/>
        <v>1264.1399999999999</v>
      </c>
      <c r="R89" s="102">
        <f t="shared" si="19"/>
        <v>1245.74</v>
      </c>
      <c r="S89" s="102">
        <f t="shared" si="19"/>
        <v>1258.94</v>
      </c>
      <c r="T89" s="102">
        <f t="shared" si="19"/>
        <v>1303.04</v>
      </c>
      <c r="U89" s="102">
        <f t="shared" si="19"/>
        <v>1306.04</v>
      </c>
      <c r="V89" s="102">
        <f t="shared" si="19"/>
        <v>1314.24</v>
      </c>
      <c r="W89" s="102">
        <f t="shared" si="19"/>
        <v>1348.8400000000001</v>
      </c>
      <c r="X89" s="102">
        <f t="shared" si="19"/>
        <v>1398.2399999999998</v>
      </c>
      <c r="Y89" s="102">
        <f t="shared" si="19"/>
        <v>1495.14</v>
      </c>
      <c r="Z89" s="102">
        <f t="shared" si="19"/>
        <v>1436.04</v>
      </c>
      <c r="AA89" s="102">
        <f t="shared" si="19"/>
        <v>1358.74</v>
      </c>
      <c r="AB89" s="102">
        <f t="shared" ref="AB89:AC89" si="20">AB87+AB88</f>
        <v>1182.3399999999999</v>
      </c>
      <c r="AC89" s="102">
        <f t="shared" si="20"/>
        <v>1109.74</v>
      </c>
      <c r="AD89" s="102">
        <f t="shared" si="19"/>
        <v>1168.74</v>
      </c>
      <c r="AE89" s="102">
        <f t="shared" si="19"/>
        <v>916.04</v>
      </c>
      <c r="AF89" s="102">
        <f t="shared" si="19"/>
        <v>902.04</v>
      </c>
      <c r="AG89" s="95">
        <f>AG86+AG82+AG70+AG66+AG48+AG88</f>
        <v>1526.99</v>
      </c>
      <c r="AH89" s="52">
        <f t="shared" si="13"/>
        <v>1495.14</v>
      </c>
      <c r="AI89" s="53">
        <f t="shared" si="14"/>
        <v>886.44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21">B89-B97</f>
        <v>956.44</v>
      </c>
      <c r="C90" s="102">
        <f t="shared" si="21"/>
        <v>886.44</v>
      </c>
      <c r="D90" s="102">
        <f t="shared" si="21"/>
        <v>927.44</v>
      </c>
      <c r="E90" s="102">
        <f t="shared" si="21"/>
        <v>914.54</v>
      </c>
      <c r="F90" s="102">
        <f t="shared" si="21"/>
        <v>905.14</v>
      </c>
      <c r="G90" s="102">
        <f t="shared" si="21"/>
        <v>935.64</v>
      </c>
      <c r="H90" s="102">
        <f t="shared" si="21"/>
        <v>1022.04</v>
      </c>
      <c r="I90" s="102">
        <f t="shared" si="21"/>
        <v>1053.44</v>
      </c>
      <c r="J90" s="102">
        <f t="shared" si="21"/>
        <v>1095.54</v>
      </c>
      <c r="K90" s="102">
        <f t="shared" si="21"/>
        <v>1136.24</v>
      </c>
      <c r="L90" s="102">
        <f t="shared" si="21"/>
        <v>1343.1399999999999</v>
      </c>
      <c r="M90" s="102">
        <f t="shared" si="21"/>
        <v>1401.14</v>
      </c>
      <c r="N90" s="102">
        <f t="shared" si="21"/>
        <v>1410.44</v>
      </c>
      <c r="O90" s="102">
        <f t="shared" si="21"/>
        <v>1345.2399999999998</v>
      </c>
      <c r="P90" s="102">
        <f t="shared" si="21"/>
        <v>1271.54</v>
      </c>
      <c r="Q90" s="102">
        <f t="shared" si="21"/>
        <v>1264.1399999999999</v>
      </c>
      <c r="R90" s="102">
        <f t="shared" si="21"/>
        <v>1245.74</v>
      </c>
      <c r="S90" s="102">
        <f t="shared" si="21"/>
        <v>1258.94</v>
      </c>
      <c r="T90" s="102">
        <f t="shared" si="21"/>
        <v>1303.04</v>
      </c>
      <c r="U90" s="102">
        <f t="shared" si="21"/>
        <v>1306.04</v>
      </c>
      <c r="V90" s="102">
        <f t="shared" si="21"/>
        <v>1314.24</v>
      </c>
      <c r="W90" s="102">
        <f t="shared" si="21"/>
        <v>1348.8400000000001</v>
      </c>
      <c r="X90" s="102">
        <f t="shared" si="21"/>
        <v>1398.2399999999998</v>
      </c>
      <c r="Y90" s="102">
        <f t="shared" si="21"/>
        <v>1495.14</v>
      </c>
      <c r="Z90" s="102">
        <f t="shared" si="21"/>
        <v>1436.04</v>
      </c>
      <c r="AA90" s="102">
        <f t="shared" si="21"/>
        <v>1358.74</v>
      </c>
      <c r="AB90" s="102">
        <f t="shared" ref="AB90:AC90" si="22">AB89-AB97</f>
        <v>1182.3399999999999</v>
      </c>
      <c r="AC90" s="102">
        <f t="shared" si="22"/>
        <v>1109.74</v>
      </c>
      <c r="AD90" s="102">
        <f t="shared" si="21"/>
        <v>1168.74</v>
      </c>
      <c r="AE90" s="102">
        <f t="shared" si="21"/>
        <v>916.04</v>
      </c>
      <c r="AF90" s="102">
        <f t="shared" si="21"/>
        <v>902.04</v>
      </c>
      <c r="AG90" s="95"/>
      <c r="AH90" s="52">
        <f t="shared" si="13"/>
        <v>1495.14</v>
      </c>
      <c r="AI90" s="53">
        <f t="shared" si="14"/>
        <v>886.44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3"/>
        <v>0</v>
      </c>
      <c r="AI91" s="53">
        <f t="shared" si="14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3"/>
        <v>0</v>
      </c>
      <c r="AI92" s="53">
        <f t="shared" si="14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3"/>
        <v>0</v>
      </c>
      <c r="AI93" s="53">
        <f t="shared" si="14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3"/>
        <v>0</v>
      </c>
      <c r="AI94" s="53">
        <f t="shared" si="14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3"/>
        <v>0</v>
      </c>
      <c r="AI95" s="53">
        <f t="shared" si="14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3"/>
        <v>0</v>
      </c>
      <c r="AI96" s="53">
        <f t="shared" si="14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3"/>
        <v>0</v>
      </c>
      <c r="AI97" s="53">
        <f t="shared" si="14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3">B82-B97</f>
        <v>437</v>
      </c>
      <c r="C98" s="67">
        <f t="shared" si="23"/>
        <v>339</v>
      </c>
      <c r="D98" s="67">
        <f t="shared" si="23"/>
        <v>396</v>
      </c>
      <c r="E98" s="67">
        <f t="shared" si="23"/>
        <v>380.40000000000003</v>
      </c>
      <c r="F98" s="67">
        <f t="shared" si="23"/>
        <v>371</v>
      </c>
      <c r="G98" s="67">
        <f t="shared" si="23"/>
        <v>401.5</v>
      </c>
      <c r="H98" s="67">
        <f t="shared" si="23"/>
        <v>437.9</v>
      </c>
      <c r="I98" s="67">
        <f t="shared" si="23"/>
        <v>435.4</v>
      </c>
      <c r="J98" s="67">
        <f t="shared" si="23"/>
        <v>402.5</v>
      </c>
      <c r="K98" s="67">
        <f t="shared" si="23"/>
        <v>378</v>
      </c>
      <c r="L98" s="67">
        <f t="shared" si="23"/>
        <v>358.7</v>
      </c>
      <c r="M98" s="67">
        <f t="shared" si="23"/>
        <v>375</v>
      </c>
      <c r="N98" s="67">
        <f t="shared" si="23"/>
        <v>458.1</v>
      </c>
      <c r="O98" s="67">
        <f t="shared" si="23"/>
        <v>499.9</v>
      </c>
      <c r="P98" s="67">
        <f t="shared" si="23"/>
        <v>522.70000000000005</v>
      </c>
      <c r="Q98" s="67">
        <f t="shared" si="23"/>
        <v>487.6</v>
      </c>
      <c r="R98" s="67">
        <f t="shared" si="23"/>
        <v>527.6</v>
      </c>
      <c r="S98" s="67">
        <f t="shared" si="23"/>
        <v>536.9</v>
      </c>
      <c r="T98" s="67">
        <f t="shared" si="23"/>
        <v>561</v>
      </c>
      <c r="U98" s="67">
        <f t="shared" si="23"/>
        <v>542.70000000000005</v>
      </c>
      <c r="V98" s="67">
        <f t="shared" si="23"/>
        <v>507</v>
      </c>
      <c r="W98" s="67">
        <f t="shared" si="23"/>
        <v>500.1</v>
      </c>
      <c r="X98" s="67">
        <f t="shared" si="23"/>
        <v>517.59999999999991</v>
      </c>
      <c r="Y98" s="67">
        <f t="shared" si="23"/>
        <v>513.70000000000005</v>
      </c>
      <c r="Z98" s="67">
        <f t="shared" si="23"/>
        <v>448.5</v>
      </c>
      <c r="AA98" s="67">
        <f t="shared" si="23"/>
        <v>412.29999999999995</v>
      </c>
      <c r="AB98" s="67">
        <f t="shared" si="23"/>
        <v>472.29999999999995</v>
      </c>
      <c r="AC98" s="67">
        <f t="shared" si="23"/>
        <v>460.4</v>
      </c>
      <c r="AD98" s="67">
        <f t="shared" si="23"/>
        <v>590</v>
      </c>
      <c r="AE98" s="67">
        <f t="shared" si="23"/>
        <v>431</v>
      </c>
      <c r="AF98" s="67">
        <f t="shared" si="23"/>
        <v>345</v>
      </c>
      <c r="AG98" s="95"/>
      <c r="AH98" s="52">
        <f t="shared" si="13"/>
        <v>590</v>
      </c>
      <c r="AI98" s="53">
        <f t="shared" si="14"/>
        <v>339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50.021000000000001</v>
      </c>
      <c r="C99" s="108">
        <v>49.99</v>
      </c>
      <c r="D99" s="108">
        <v>50.042999999999999</v>
      </c>
      <c r="E99" s="108">
        <v>49.954999999999998</v>
      </c>
      <c r="F99" s="108">
        <v>50</v>
      </c>
      <c r="G99" s="108">
        <v>50.015000000000001</v>
      </c>
      <c r="H99" s="108">
        <v>50.087000000000003</v>
      </c>
      <c r="I99" s="108">
        <v>49.926000000000002</v>
      </c>
      <c r="J99" s="108">
        <v>49.912999999999997</v>
      </c>
      <c r="K99" s="108">
        <v>49.957000000000001</v>
      </c>
      <c r="L99" s="108">
        <v>50.067</v>
      </c>
      <c r="M99" s="108">
        <v>50.067</v>
      </c>
      <c r="N99" s="108">
        <v>50.075000000000003</v>
      </c>
      <c r="O99" s="108">
        <v>50.109000000000002</v>
      </c>
      <c r="P99" s="108">
        <v>49.86</v>
      </c>
      <c r="Q99" s="108">
        <v>49.801000000000002</v>
      </c>
      <c r="R99" s="108">
        <v>50.198999999999998</v>
      </c>
      <c r="S99" s="108">
        <v>50.079000000000001</v>
      </c>
      <c r="T99" s="108">
        <v>50.174999999999997</v>
      </c>
      <c r="U99" s="108">
        <v>50.045999999999999</v>
      </c>
      <c r="V99" s="108">
        <v>50.003999999999998</v>
      </c>
      <c r="W99" s="108">
        <v>50.018000000000001</v>
      </c>
      <c r="X99" s="108">
        <v>50</v>
      </c>
      <c r="Y99" s="108">
        <v>50.101999999999997</v>
      </c>
      <c r="Z99" s="108">
        <v>49.875</v>
      </c>
      <c r="AA99" s="108">
        <v>50.006999999999998</v>
      </c>
      <c r="AB99" s="108">
        <v>50.07</v>
      </c>
      <c r="AC99" s="108">
        <v>49.93</v>
      </c>
      <c r="AD99" s="108">
        <v>50.1</v>
      </c>
      <c r="AE99" s="108">
        <v>50.1</v>
      </c>
      <c r="AF99" s="108">
        <v>50.07</v>
      </c>
      <c r="AG99" s="109"/>
      <c r="AH99" s="52">
        <f t="shared" si="13"/>
        <v>50.198999999999998</v>
      </c>
      <c r="AI99" s="53">
        <f t="shared" si="14"/>
        <v>49.801000000000002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126.8</v>
      </c>
      <c r="C100" s="72">
        <v>131.19999999999999</v>
      </c>
      <c r="D100" s="72">
        <v>129.5</v>
      </c>
      <c r="E100" s="72">
        <v>131.1</v>
      </c>
      <c r="F100" s="72">
        <v>132.4</v>
      </c>
      <c r="G100" s="72">
        <v>130.6</v>
      </c>
      <c r="H100" s="72">
        <v>126.9</v>
      </c>
      <c r="I100" s="72">
        <v>128</v>
      </c>
      <c r="J100" s="72">
        <v>126.5</v>
      </c>
      <c r="K100" s="72">
        <v>128</v>
      </c>
      <c r="L100" s="72">
        <v>126.6</v>
      </c>
      <c r="M100" s="72">
        <v>124.8</v>
      </c>
      <c r="N100" s="72">
        <v>126.5</v>
      </c>
      <c r="O100" s="72">
        <v>126.8</v>
      </c>
      <c r="P100" s="72">
        <v>125.3</v>
      </c>
      <c r="Q100" s="72">
        <v>126.2</v>
      </c>
      <c r="R100" s="72">
        <v>126.5</v>
      </c>
      <c r="S100" s="72">
        <v>126</v>
      </c>
      <c r="T100" s="72">
        <v>125.4</v>
      </c>
      <c r="U100" s="72">
        <v>126.3</v>
      </c>
      <c r="V100" s="72">
        <v>127.5</v>
      </c>
      <c r="W100" s="72">
        <v>127.7</v>
      </c>
      <c r="X100" s="72">
        <v>129.5</v>
      </c>
      <c r="Y100" s="72">
        <v>128.69999999999999</v>
      </c>
      <c r="Z100" s="72">
        <v>126.8</v>
      </c>
      <c r="AA100" s="72">
        <v>130.19999999999999</v>
      </c>
      <c r="AB100" s="72">
        <v>130</v>
      </c>
      <c r="AC100" s="72">
        <v>130.9</v>
      </c>
      <c r="AD100" s="72">
        <v>130.30000000000001</v>
      </c>
      <c r="AE100" s="72">
        <v>127.6</v>
      </c>
      <c r="AF100" s="72">
        <v>127</v>
      </c>
      <c r="AG100" s="111"/>
      <c r="AH100" s="52">
        <f t="shared" si="13"/>
        <v>132.4</v>
      </c>
      <c r="AI100" s="53">
        <f t="shared" si="14"/>
        <v>124.8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130.1</v>
      </c>
      <c r="C101" s="72">
        <v>134</v>
      </c>
      <c r="D101" s="72">
        <v>132.6</v>
      </c>
      <c r="E101" s="72">
        <v>133.69999999999999</v>
      </c>
      <c r="F101" s="72">
        <v>134.38</v>
      </c>
      <c r="G101" s="72">
        <v>133.30000000000001</v>
      </c>
      <c r="H101" s="72">
        <v>129.69999999999999</v>
      </c>
      <c r="I101" s="72">
        <v>130.5</v>
      </c>
      <c r="J101" s="72">
        <v>128.80000000000001</v>
      </c>
      <c r="K101" s="72">
        <v>129.9</v>
      </c>
      <c r="L101" s="72">
        <v>128.69999999999999</v>
      </c>
      <c r="M101" s="72">
        <v>127</v>
      </c>
      <c r="N101" s="72">
        <v>128.69999999999999</v>
      </c>
      <c r="O101" s="72">
        <v>128.4</v>
      </c>
      <c r="P101" s="72">
        <v>127.8</v>
      </c>
      <c r="Q101" s="72">
        <v>128.4</v>
      </c>
      <c r="R101" s="72">
        <v>129.1</v>
      </c>
      <c r="S101" s="72">
        <v>128.30000000000001</v>
      </c>
      <c r="T101" s="72">
        <v>127.9</v>
      </c>
      <c r="U101" s="72">
        <v>128.30000000000001</v>
      </c>
      <c r="V101" s="72">
        <v>129.69999999999999</v>
      </c>
      <c r="W101" s="72">
        <v>129.4</v>
      </c>
      <c r="X101" s="72">
        <v>131</v>
      </c>
      <c r="Y101" s="72">
        <v>129.9</v>
      </c>
      <c r="Z101" s="72">
        <v>128.30000000000001</v>
      </c>
      <c r="AA101" s="72">
        <v>131.4</v>
      </c>
      <c r="AB101" s="72">
        <v>131.6</v>
      </c>
      <c r="AC101" s="72">
        <v>132.80000000000001</v>
      </c>
      <c r="AD101" s="72">
        <v>132.6</v>
      </c>
      <c r="AE101" s="72">
        <v>131.5</v>
      </c>
      <c r="AF101" s="72">
        <v>131</v>
      </c>
      <c r="AG101" s="111"/>
      <c r="AH101" s="52">
        <f t="shared" si="13"/>
        <v>134.38</v>
      </c>
      <c r="AI101" s="53">
        <f t="shared" si="14"/>
        <v>127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130.80000000000001</v>
      </c>
      <c r="C102" s="72">
        <v>130.80000000000001</v>
      </c>
      <c r="D102" s="72">
        <v>130.6</v>
      </c>
      <c r="E102" s="72">
        <v>132.4</v>
      </c>
      <c r="F102" s="72">
        <v>131.4</v>
      </c>
      <c r="G102" s="72">
        <v>128.30000000000001</v>
      </c>
      <c r="H102" s="72">
        <v>127</v>
      </c>
      <c r="I102" s="72">
        <v>130.30000000000001</v>
      </c>
      <c r="J102" s="72">
        <v>128.6</v>
      </c>
      <c r="K102" s="72">
        <v>130.4</v>
      </c>
      <c r="L102" s="72">
        <v>129.19999999999999</v>
      </c>
      <c r="M102" s="72">
        <v>128</v>
      </c>
      <c r="N102" s="72">
        <v>129.1</v>
      </c>
      <c r="O102" s="72">
        <v>126.5</v>
      </c>
      <c r="P102" s="72">
        <v>127.5</v>
      </c>
      <c r="Q102" s="72">
        <v>129.69999999999999</v>
      </c>
      <c r="R102" s="72">
        <v>128</v>
      </c>
      <c r="S102" s="72">
        <v>127.6</v>
      </c>
      <c r="T102" s="72">
        <v>127.8</v>
      </c>
      <c r="U102" s="72">
        <v>127.5</v>
      </c>
      <c r="V102" s="72">
        <v>129.30000000000001</v>
      </c>
      <c r="W102" s="72">
        <v>125.9</v>
      </c>
      <c r="X102" s="72">
        <v>19.100000000000001</v>
      </c>
      <c r="Y102" s="72">
        <v>125.7</v>
      </c>
      <c r="Z102" s="72">
        <v>128.80000000000001</v>
      </c>
      <c r="AA102" s="72">
        <v>129</v>
      </c>
      <c r="AB102" s="72">
        <v>131.30000000000001</v>
      </c>
      <c r="AC102" s="72">
        <v>131.19999999999999</v>
      </c>
      <c r="AD102" s="72">
        <v>132.1</v>
      </c>
      <c r="AE102" s="72">
        <v>132.1</v>
      </c>
      <c r="AF102" s="72">
        <v>129</v>
      </c>
      <c r="AG102" s="111"/>
      <c r="AH102" s="52">
        <f t="shared" si="13"/>
        <v>132.4</v>
      </c>
      <c r="AI102" s="53">
        <f t="shared" si="14"/>
        <v>19.100000000000001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3"/>
        <v>0</v>
      </c>
      <c r="AI103" s="53">
        <f t="shared" si="14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127.9</v>
      </c>
      <c r="C104" s="113">
        <v>133.30000000000001</v>
      </c>
      <c r="D104" s="113">
        <v>127.8</v>
      </c>
      <c r="E104" s="113">
        <v>133</v>
      </c>
      <c r="F104" s="113">
        <v>135.6</v>
      </c>
      <c r="G104" s="113">
        <v>133.80000000000001</v>
      </c>
      <c r="H104" s="113">
        <v>128.6</v>
      </c>
      <c r="I104" s="113">
        <v>130.30000000000001</v>
      </c>
      <c r="J104" s="113">
        <v>131.19999999999999</v>
      </c>
      <c r="K104" s="113">
        <v>135</v>
      </c>
      <c r="L104" s="113">
        <v>133.30000000000001</v>
      </c>
      <c r="M104" s="113">
        <v>131.19999999999999</v>
      </c>
      <c r="N104" s="113">
        <v>130.9</v>
      </c>
      <c r="O104" s="113">
        <v>132.1</v>
      </c>
      <c r="P104" s="113">
        <v>129.9</v>
      </c>
      <c r="Q104" s="113">
        <v>135.19999999999999</v>
      </c>
      <c r="R104" s="113">
        <v>133.5</v>
      </c>
      <c r="S104" s="113">
        <v>134.80000000000001</v>
      </c>
      <c r="T104" s="113">
        <v>133.80000000000001</v>
      </c>
      <c r="U104" s="113">
        <v>132.5</v>
      </c>
      <c r="V104" s="113">
        <v>137.19999999999999</v>
      </c>
      <c r="W104" s="113">
        <v>136.19999999999999</v>
      </c>
      <c r="X104" s="113">
        <v>137.19999999999999</v>
      </c>
      <c r="Y104" s="113">
        <v>134.69999999999999</v>
      </c>
      <c r="Z104" s="113">
        <v>134.30000000000001</v>
      </c>
      <c r="AA104" s="113">
        <v>134.1</v>
      </c>
      <c r="AB104" s="113">
        <v>133.69999999999999</v>
      </c>
      <c r="AC104" s="113">
        <v>135.80000000000001</v>
      </c>
      <c r="AD104" s="113">
        <v>133.9</v>
      </c>
      <c r="AE104" s="113">
        <v>133.9</v>
      </c>
      <c r="AF104" s="113">
        <v>129</v>
      </c>
      <c r="AG104" s="114"/>
      <c r="AH104" s="52">
        <f t="shared" si="13"/>
        <v>137.19999999999999</v>
      </c>
      <c r="AI104" s="53">
        <f t="shared" si="14"/>
        <v>127.8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136.80000000000001</v>
      </c>
      <c r="C105" s="72">
        <v>135.19999999999999</v>
      </c>
      <c r="D105" s="72">
        <v>137.1</v>
      </c>
      <c r="E105" s="72">
        <v>136</v>
      </c>
      <c r="F105" s="72">
        <v>135.80000000000001</v>
      </c>
      <c r="G105" s="72">
        <v>132.30000000000001</v>
      </c>
      <c r="H105" s="72">
        <v>130.5</v>
      </c>
      <c r="I105" s="72">
        <v>132.80000000000001</v>
      </c>
      <c r="J105" s="72">
        <v>131</v>
      </c>
      <c r="K105" s="72">
        <v>131.1</v>
      </c>
      <c r="L105" s="72">
        <v>128.5</v>
      </c>
      <c r="M105" s="72">
        <v>125.6</v>
      </c>
      <c r="N105" s="72">
        <v>132.19999999999999</v>
      </c>
      <c r="O105" s="72">
        <v>131.6</v>
      </c>
      <c r="P105" s="72">
        <v>128.6</v>
      </c>
      <c r="Q105" s="72">
        <v>132.1</v>
      </c>
      <c r="R105" s="72">
        <v>132.80000000000001</v>
      </c>
      <c r="S105" s="72">
        <v>133.1</v>
      </c>
      <c r="T105" s="72">
        <v>129.5</v>
      </c>
      <c r="U105" s="72">
        <v>136.19999999999999</v>
      </c>
      <c r="V105" s="72">
        <v>131.19999999999999</v>
      </c>
      <c r="W105" s="72">
        <v>133.69999999999999</v>
      </c>
      <c r="X105" s="72">
        <v>131.69999999999999</v>
      </c>
      <c r="Y105" s="72">
        <v>130.69999999999999</v>
      </c>
      <c r="Z105" s="72">
        <v>129.4</v>
      </c>
      <c r="AA105" s="72">
        <v>130.19999999999999</v>
      </c>
      <c r="AB105" s="72">
        <v>131.9</v>
      </c>
      <c r="AC105" s="72">
        <v>131.69999999999999</v>
      </c>
      <c r="AD105" s="72">
        <v>133.80000000000001</v>
      </c>
      <c r="AE105" s="72">
        <v>133.80000000000001</v>
      </c>
      <c r="AF105" s="72">
        <v>133.80000000000001</v>
      </c>
      <c r="AG105" s="111"/>
      <c r="AH105" s="52">
        <f t="shared" si="13"/>
        <v>137.1</v>
      </c>
      <c r="AI105" s="53">
        <f t="shared" si="14"/>
        <v>125.6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65.3</v>
      </c>
      <c r="C106" s="99">
        <v>67</v>
      </c>
      <c r="D106" s="99">
        <v>67</v>
      </c>
      <c r="E106" s="99">
        <v>67</v>
      </c>
      <c r="F106" s="99">
        <v>67.5</v>
      </c>
      <c r="G106" s="99">
        <v>66.7</v>
      </c>
      <c r="H106" s="99">
        <v>64.989999999999995</v>
      </c>
      <c r="I106" s="99">
        <v>65</v>
      </c>
      <c r="J106" s="99">
        <v>64.3</v>
      </c>
      <c r="K106" s="99">
        <v>65</v>
      </c>
      <c r="L106" s="99">
        <v>64.5</v>
      </c>
      <c r="M106" s="99">
        <v>63.9</v>
      </c>
      <c r="N106" s="99">
        <v>64.5</v>
      </c>
      <c r="O106" s="99">
        <v>64.400000000000006</v>
      </c>
      <c r="P106" s="99">
        <v>64</v>
      </c>
      <c r="Q106" s="99">
        <v>64.400000000000006</v>
      </c>
      <c r="R106" s="99">
        <v>64.8</v>
      </c>
      <c r="S106" s="99">
        <v>64.2</v>
      </c>
      <c r="T106" s="99">
        <v>64.3</v>
      </c>
      <c r="U106" s="99">
        <v>64.7</v>
      </c>
      <c r="V106" s="99">
        <v>65.3</v>
      </c>
      <c r="W106" s="99">
        <v>64.8</v>
      </c>
      <c r="X106" s="99">
        <v>65.400000000000006</v>
      </c>
      <c r="Y106" s="99">
        <v>65.099999999999994</v>
      </c>
      <c r="Z106" s="99">
        <v>64</v>
      </c>
      <c r="AA106" s="99">
        <v>65.599999999999994</v>
      </c>
      <c r="AB106" s="99">
        <v>66.2</v>
      </c>
      <c r="AC106" s="99">
        <v>66.599999999999994</v>
      </c>
      <c r="AD106" s="99">
        <v>66.3</v>
      </c>
      <c r="AE106" s="99">
        <v>66.3</v>
      </c>
      <c r="AF106" s="99">
        <v>66.3</v>
      </c>
      <c r="AG106" s="115"/>
      <c r="AH106" s="52">
        <f t="shared" si="13"/>
        <v>67.5</v>
      </c>
      <c r="AI106" s="53">
        <f t="shared" si="14"/>
        <v>63.9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3"/>
        <v>0</v>
      </c>
      <c r="AI107" s="53">
        <f t="shared" si="14"/>
        <v>0</v>
      </c>
    </row>
    <row r="108" spans="1:88" ht="15.75" thickBot="1" x14ac:dyDescent="0.3">
      <c r="A108" s="117" t="s">
        <v>112</v>
      </c>
      <c r="B108" s="118">
        <f t="shared" ref="B108:AF108" si="24">SUM(B18,B24,B27:B28,B56,B58:B59,B61,B63,B109:B113,B135,B141,B147,B156,B158,B170,B177,B180:B181,B188,B190,B192,B196:B198,B200:B202,B207,B213:B214,B216:B218,B226,B231)</f>
        <v>113.20000000000002</v>
      </c>
      <c r="C108" s="118">
        <f t="shared" si="24"/>
        <v>99.94</v>
      </c>
      <c r="D108" s="118">
        <f t="shared" si="24"/>
        <v>90.940000000000012</v>
      </c>
      <c r="E108" s="118">
        <f t="shared" si="24"/>
        <v>95.039999999999992</v>
      </c>
      <c r="F108" s="118">
        <f t="shared" si="24"/>
        <v>97.74</v>
      </c>
      <c r="G108" s="118">
        <f t="shared" si="24"/>
        <v>124.13999999999999</v>
      </c>
      <c r="H108" s="118">
        <f t="shared" si="24"/>
        <v>156.07</v>
      </c>
      <c r="I108" s="118">
        <f t="shared" si="24"/>
        <v>175.53999999999996</v>
      </c>
      <c r="J108" s="118">
        <f t="shared" si="24"/>
        <v>233.04</v>
      </c>
      <c r="K108" s="118">
        <f t="shared" si="24"/>
        <v>269.14000000000004</v>
      </c>
      <c r="L108" s="118">
        <f t="shared" si="24"/>
        <v>285.13</v>
      </c>
      <c r="M108" s="118">
        <f t="shared" si="24"/>
        <v>310.23999999999995</v>
      </c>
      <c r="N108" s="118">
        <f t="shared" si="24"/>
        <v>296.94</v>
      </c>
      <c r="O108" s="118">
        <f t="shared" si="24"/>
        <v>287.64000000000004</v>
      </c>
      <c r="P108" s="118">
        <v>42</v>
      </c>
      <c r="Q108" s="118">
        <f t="shared" si="24"/>
        <v>277.7</v>
      </c>
      <c r="R108" s="118">
        <f t="shared" si="24"/>
        <v>258.2</v>
      </c>
      <c r="S108" s="118">
        <f t="shared" si="24"/>
        <v>254.3</v>
      </c>
      <c r="T108" s="118">
        <f t="shared" si="24"/>
        <v>271.39999999999998</v>
      </c>
      <c r="U108" s="118">
        <f t="shared" si="24"/>
        <v>285.2</v>
      </c>
      <c r="V108" s="118">
        <f t="shared" si="24"/>
        <v>306.39999999999998</v>
      </c>
      <c r="W108" s="118">
        <f t="shared" si="24"/>
        <v>314.20000000000005</v>
      </c>
      <c r="X108" s="118">
        <f t="shared" si="24"/>
        <v>319.10000000000002</v>
      </c>
      <c r="Y108" s="118">
        <f t="shared" si="24"/>
        <v>338.4</v>
      </c>
      <c r="Z108" s="118">
        <f t="shared" si="24"/>
        <v>340.90000000000003</v>
      </c>
      <c r="AA108" s="118">
        <f t="shared" si="24"/>
        <v>316.89999999999998</v>
      </c>
      <c r="AB108" s="118">
        <f t="shared" si="24"/>
        <v>292.89999999999998</v>
      </c>
      <c r="AC108" s="118">
        <f t="shared" si="24"/>
        <v>269.79999999999995</v>
      </c>
      <c r="AD108" s="118">
        <f t="shared" si="24"/>
        <v>195.5</v>
      </c>
      <c r="AE108" s="118">
        <f t="shared" si="24"/>
        <v>192.5</v>
      </c>
      <c r="AF108" s="118">
        <f t="shared" si="24"/>
        <v>108.1</v>
      </c>
      <c r="AG108" s="119"/>
      <c r="AH108" s="52">
        <f t="shared" si="13"/>
        <v>340.90000000000003</v>
      </c>
      <c r="AI108" s="53">
        <f t="shared" si="14"/>
        <v>42</v>
      </c>
    </row>
    <row r="109" spans="1:88" x14ac:dyDescent="0.25">
      <c r="A109" s="107" t="s">
        <v>113</v>
      </c>
      <c r="B109" s="120">
        <v>-29.3</v>
      </c>
      <c r="C109" s="120">
        <v>-20.2</v>
      </c>
      <c r="D109" s="120">
        <v>-23</v>
      </c>
      <c r="E109" s="120">
        <v>-20</v>
      </c>
      <c r="F109" s="120">
        <v>-15.4</v>
      </c>
      <c r="G109" s="120">
        <v>-19.3</v>
      </c>
      <c r="H109" s="120">
        <v>-19.87</v>
      </c>
      <c r="I109" s="120">
        <v>-2.4</v>
      </c>
      <c r="J109" s="120">
        <v>5.3</v>
      </c>
      <c r="K109" s="120">
        <v>21.9</v>
      </c>
      <c r="L109" s="120">
        <v>19.690000000000001</v>
      </c>
      <c r="M109" s="120">
        <v>21.9</v>
      </c>
      <c r="N109" s="120">
        <v>20</v>
      </c>
      <c r="O109" s="120">
        <v>16.600000000000001</v>
      </c>
      <c r="P109" s="120">
        <v>11.7</v>
      </c>
      <c r="Q109" s="120">
        <v>12.3</v>
      </c>
      <c r="R109" s="120">
        <v>4.8</v>
      </c>
      <c r="S109" s="120">
        <v>5.7</v>
      </c>
      <c r="T109" s="120">
        <v>5.8</v>
      </c>
      <c r="U109" s="120">
        <v>15.8</v>
      </c>
      <c r="V109" s="120">
        <v>23.3</v>
      </c>
      <c r="W109" s="120">
        <v>24.1</v>
      </c>
      <c r="X109" s="120">
        <v>24.5</v>
      </c>
      <c r="Y109" s="120">
        <v>22.2</v>
      </c>
      <c r="Z109" s="120">
        <v>24.2</v>
      </c>
      <c r="AA109" s="120">
        <v>27.5</v>
      </c>
      <c r="AB109" s="120">
        <v>29.6</v>
      </c>
      <c r="AC109" s="120">
        <v>27</v>
      </c>
      <c r="AD109" s="120">
        <v>14</v>
      </c>
      <c r="AE109" s="120">
        <v>30</v>
      </c>
      <c r="AF109" s="120">
        <v>-11</v>
      </c>
      <c r="AG109" s="121">
        <v>75</v>
      </c>
      <c r="AH109" s="52">
        <f t="shared" si="13"/>
        <v>30</v>
      </c>
      <c r="AI109" s="53">
        <f t="shared" si="14"/>
        <v>-29.3</v>
      </c>
    </row>
    <row r="110" spans="1:88" x14ac:dyDescent="0.25">
      <c r="A110" s="110" t="s">
        <v>114</v>
      </c>
      <c r="B110" s="122">
        <v>-36.5</v>
      </c>
      <c r="C110" s="122">
        <v>-24</v>
      </c>
      <c r="D110" s="122">
        <v>-27.5</v>
      </c>
      <c r="E110" s="122">
        <v>-25.4</v>
      </c>
      <c r="F110" s="122">
        <v>-17.7</v>
      </c>
      <c r="G110" s="122">
        <v>-24.1</v>
      </c>
      <c r="H110" s="122">
        <v>-26</v>
      </c>
      <c r="I110" s="122">
        <v>-2.7</v>
      </c>
      <c r="J110" s="122">
        <v>6.5</v>
      </c>
      <c r="K110" s="122">
        <v>22.9</v>
      </c>
      <c r="L110" s="122">
        <v>18.8</v>
      </c>
      <c r="M110" s="122">
        <v>20</v>
      </c>
      <c r="N110" s="122">
        <v>20</v>
      </c>
      <c r="O110" s="122">
        <v>15.6</v>
      </c>
      <c r="P110" s="122">
        <v>11.4</v>
      </c>
      <c r="Q110" s="122">
        <v>10.7</v>
      </c>
      <c r="R110" s="122">
        <v>4.7</v>
      </c>
      <c r="S110" s="122">
        <v>4.0999999999999996</v>
      </c>
      <c r="T110" s="122">
        <v>5.3</v>
      </c>
      <c r="U110" s="122">
        <v>20.6</v>
      </c>
      <c r="V110" s="122">
        <v>26.1</v>
      </c>
      <c r="W110" s="122">
        <v>25.4</v>
      </c>
      <c r="X110" s="122">
        <v>25.3</v>
      </c>
      <c r="Y110" s="122">
        <v>20.100000000000001</v>
      </c>
      <c r="Z110" s="122">
        <v>24.3</v>
      </c>
      <c r="AA110" s="122">
        <v>30.2</v>
      </c>
      <c r="AB110" s="122">
        <v>34.1</v>
      </c>
      <c r="AC110" s="122">
        <v>28.5</v>
      </c>
      <c r="AD110" s="122">
        <v>12</v>
      </c>
      <c r="AE110" s="122">
        <v>2.4</v>
      </c>
      <c r="AF110" s="122">
        <v>-13</v>
      </c>
      <c r="AG110" s="121">
        <v>240</v>
      </c>
      <c r="AH110" s="52">
        <f t="shared" si="13"/>
        <v>34.1</v>
      </c>
      <c r="AI110" s="53">
        <f t="shared" si="14"/>
        <v>-36.5</v>
      </c>
    </row>
    <row r="111" spans="1:88" x14ac:dyDescent="0.25">
      <c r="A111" s="110" t="s">
        <v>115</v>
      </c>
      <c r="B111" s="122">
        <v>-13</v>
      </c>
      <c r="C111" s="122">
        <v>-22</v>
      </c>
      <c r="D111" s="122">
        <v>-28</v>
      </c>
      <c r="E111" s="122">
        <v>-19.600000000000001</v>
      </c>
      <c r="F111" s="122">
        <v>-26.1</v>
      </c>
      <c r="G111" s="122">
        <v>-11.7</v>
      </c>
      <c r="H111" s="122">
        <v>3</v>
      </c>
      <c r="I111" s="122">
        <v>0</v>
      </c>
      <c r="J111" s="122">
        <v>22.6</v>
      </c>
      <c r="K111" s="122">
        <v>32</v>
      </c>
      <c r="L111" s="122">
        <v>43.6</v>
      </c>
      <c r="M111" s="122">
        <v>67</v>
      </c>
      <c r="N111" s="122">
        <v>49</v>
      </c>
      <c r="O111" s="122">
        <v>45</v>
      </c>
      <c r="P111" s="122">
        <f>14.8+16.5</f>
        <v>31.3</v>
      </c>
      <c r="Q111" s="122">
        <v>28</v>
      </c>
      <c r="R111" s="122">
        <v>25</v>
      </c>
      <c r="S111" s="122">
        <v>25.5</v>
      </c>
      <c r="T111" s="122">
        <v>32</v>
      </c>
      <c r="U111" s="122">
        <v>30</v>
      </c>
      <c r="V111" s="122">
        <v>34</v>
      </c>
      <c r="W111" s="122">
        <v>43</v>
      </c>
      <c r="X111" s="122">
        <v>35</v>
      </c>
      <c r="Y111" s="122">
        <v>45</v>
      </c>
      <c r="Z111" s="122">
        <v>72</v>
      </c>
      <c r="AA111" s="122">
        <v>45.6</v>
      </c>
      <c r="AB111" s="122">
        <f>16+17.1</f>
        <v>33.1</v>
      </c>
      <c r="AC111" s="122">
        <f>14.8+15.7</f>
        <v>30.5</v>
      </c>
      <c r="AD111" s="122">
        <v>20</v>
      </c>
      <c r="AE111" s="122">
        <v>-18</v>
      </c>
      <c r="AF111" s="122">
        <v>-30</v>
      </c>
      <c r="AG111" s="121">
        <v>240</v>
      </c>
      <c r="AH111" s="52">
        <f t="shared" si="13"/>
        <v>72</v>
      </c>
      <c r="AI111" s="53">
        <f t="shared" si="14"/>
        <v>-30</v>
      </c>
    </row>
    <row r="112" spans="1:88" x14ac:dyDescent="0.25">
      <c r="A112" s="110" t="s">
        <v>116</v>
      </c>
      <c r="B112" s="122">
        <v>11.4</v>
      </c>
      <c r="C112" s="122">
        <v>11</v>
      </c>
      <c r="D112" s="122">
        <v>12.4</v>
      </c>
      <c r="E112" s="122">
        <v>0</v>
      </c>
      <c r="F112" s="122">
        <v>5.8</v>
      </c>
      <c r="G112" s="122">
        <v>5.7</v>
      </c>
      <c r="H112" s="122">
        <v>5.5</v>
      </c>
      <c r="I112" s="122">
        <v>5.3</v>
      </c>
      <c r="J112" s="122">
        <v>6.9</v>
      </c>
      <c r="K112" s="122">
        <v>6.9</v>
      </c>
      <c r="L112" s="122">
        <v>7.6</v>
      </c>
      <c r="M112" s="122">
        <v>8.6999999999999993</v>
      </c>
      <c r="N112" s="122">
        <v>10</v>
      </c>
      <c r="O112" s="122">
        <v>-1.2</v>
      </c>
      <c r="P112" s="122">
        <v>15.5</v>
      </c>
      <c r="Q112" s="122">
        <v>14</v>
      </c>
      <c r="R112" s="122">
        <v>15</v>
      </c>
      <c r="S112" s="122">
        <v>13.6</v>
      </c>
      <c r="T112" s="122">
        <v>15.5</v>
      </c>
      <c r="U112" s="122">
        <v>16.100000000000001</v>
      </c>
      <c r="V112" s="122">
        <v>25.5</v>
      </c>
      <c r="W112" s="122">
        <v>30.3</v>
      </c>
      <c r="X112" s="122">
        <v>48.6</v>
      </c>
      <c r="Y112" s="122">
        <v>48</v>
      </c>
      <c r="Z112" s="122">
        <v>26</v>
      </c>
      <c r="AA112" s="122">
        <v>15.6</v>
      </c>
      <c r="AB112" s="122">
        <v>15.8</v>
      </c>
      <c r="AC112" s="122">
        <v>16.100000000000001</v>
      </c>
      <c r="AD112" s="122">
        <v>16.399999999999999</v>
      </c>
      <c r="AE112" s="122">
        <v>5</v>
      </c>
      <c r="AF112" s="122">
        <v>-4</v>
      </c>
      <c r="AG112" s="121">
        <v>60</v>
      </c>
      <c r="AH112" s="52">
        <f t="shared" si="13"/>
        <v>48.6</v>
      </c>
      <c r="AI112" s="53">
        <f t="shared" si="14"/>
        <v>-4</v>
      </c>
    </row>
    <row r="113" spans="1:37" x14ac:dyDescent="0.25">
      <c r="A113" s="123" t="s">
        <v>117</v>
      </c>
      <c r="B113" s="124">
        <v>98.4</v>
      </c>
      <c r="C113" s="124">
        <v>73</v>
      </c>
      <c r="D113" s="124">
        <v>74.900000000000006</v>
      </c>
      <c r="E113" s="124">
        <v>76.599999999999994</v>
      </c>
      <c r="F113" s="124">
        <v>67.7</v>
      </c>
      <c r="G113" s="124">
        <v>90.1</v>
      </c>
      <c r="H113" s="124">
        <v>110</v>
      </c>
      <c r="I113" s="124">
        <v>93.6</v>
      </c>
      <c r="J113" s="124">
        <v>111.1</v>
      </c>
      <c r="K113" s="124">
        <v>102.9</v>
      </c>
      <c r="L113" s="124">
        <v>112</v>
      </c>
      <c r="M113" s="124">
        <v>96</v>
      </c>
      <c r="N113" s="124">
        <v>101.3</v>
      </c>
      <c r="O113" s="124">
        <v>115</v>
      </c>
      <c r="P113" s="124">
        <v>118.9</v>
      </c>
      <c r="Q113" s="124">
        <v>115</v>
      </c>
      <c r="R113" s="124">
        <v>111</v>
      </c>
      <c r="S113" s="124">
        <v>114.7</v>
      </c>
      <c r="T113" s="124">
        <v>122.1</v>
      </c>
      <c r="U113" s="124">
        <v>114</v>
      </c>
      <c r="V113" s="124">
        <v>112.8</v>
      </c>
      <c r="W113" s="124">
        <v>106.7</v>
      </c>
      <c r="X113" s="124">
        <v>101</v>
      </c>
      <c r="Y113" s="124">
        <v>118.4</v>
      </c>
      <c r="Z113" s="124">
        <v>109.7</v>
      </c>
      <c r="AA113" s="124">
        <v>113.3</v>
      </c>
      <c r="AB113" s="124">
        <v>97.4</v>
      </c>
      <c r="AC113" s="124">
        <v>84.6</v>
      </c>
      <c r="AD113" s="124">
        <v>50</v>
      </c>
      <c r="AE113" s="124">
        <v>90</v>
      </c>
      <c r="AF113" s="124">
        <v>83</v>
      </c>
      <c r="AG113" s="125">
        <v>120</v>
      </c>
      <c r="AH113" s="52">
        <f t="shared" si="13"/>
        <v>122.1</v>
      </c>
      <c r="AI113" s="53">
        <f t="shared" si="14"/>
        <v>50</v>
      </c>
    </row>
    <row r="114" spans="1:37" x14ac:dyDescent="0.25">
      <c r="A114" s="123" t="s">
        <v>118</v>
      </c>
      <c r="B114" s="124">
        <v>93.4</v>
      </c>
      <c r="C114" s="124">
        <v>64</v>
      </c>
      <c r="D114" s="124">
        <v>68.8</v>
      </c>
      <c r="E114" s="124">
        <v>69.099999999999994</v>
      </c>
      <c r="F114" s="124">
        <v>60.2</v>
      </c>
      <c r="G114" s="124">
        <v>76.099999999999994</v>
      </c>
      <c r="H114" s="124">
        <v>90.3</v>
      </c>
      <c r="I114" s="124">
        <v>73.8</v>
      </c>
      <c r="J114" s="124">
        <v>82.5</v>
      </c>
      <c r="K114" s="124">
        <v>73.2</v>
      </c>
      <c r="L114" s="124">
        <v>82.9</v>
      </c>
      <c r="M114" s="124">
        <v>102</v>
      </c>
      <c r="N114" s="124">
        <v>91</v>
      </c>
      <c r="O114" s="124">
        <v>82</v>
      </c>
      <c r="P114" s="124">
        <v>92.4</v>
      </c>
      <c r="Q114" s="124">
        <v>87</v>
      </c>
      <c r="R114" s="124">
        <v>88</v>
      </c>
      <c r="S114" s="124">
        <v>89.6</v>
      </c>
      <c r="T114" s="124">
        <v>96.9</v>
      </c>
      <c r="U114" s="124">
        <v>85.6</v>
      </c>
      <c r="V114" s="124">
        <v>81.3</v>
      </c>
      <c r="W114" s="124">
        <v>78.099999999999994</v>
      </c>
      <c r="X114" s="124">
        <v>69.7</v>
      </c>
      <c r="Y114" s="124">
        <v>80.3</v>
      </c>
      <c r="Z114" s="124">
        <v>94.9</v>
      </c>
      <c r="AA114" s="124">
        <v>71.400000000000006</v>
      </c>
      <c r="AB114" s="124">
        <v>60.3</v>
      </c>
      <c r="AC114" s="124">
        <v>71.5</v>
      </c>
      <c r="AD114" s="124">
        <v>78</v>
      </c>
      <c r="AE114" s="124">
        <v>90</v>
      </c>
      <c r="AF114" s="124">
        <v>78</v>
      </c>
      <c r="AG114" s="125"/>
      <c r="AH114" s="52">
        <f t="shared" si="13"/>
        <v>102</v>
      </c>
      <c r="AI114" s="53">
        <f t="shared" si="14"/>
        <v>60.2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>
        <v>3.6</v>
      </c>
      <c r="AB115" s="124"/>
      <c r="AC115" s="124"/>
      <c r="AD115" s="124"/>
      <c r="AE115" s="124"/>
      <c r="AF115" s="124"/>
      <c r="AG115" s="126"/>
      <c r="AH115" s="52">
        <f t="shared" si="13"/>
        <v>3.6</v>
      </c>
      <c r="AI115" s="53">
        <f t="shared" si="14"/>
        <v>3.6</v>
      </c>
    </row>
    <row r="116" spans="1:37" x14ac:dyDescent="0.25">
      <c r="A116" s="127" t="s">
        <v>120</v>
      </c>
      <c r="B116" s="113">
        <v>41.6</v>
      </c>
      <c r="C116" s="113">
        <v>37.5</v>
      </c>
      <c r="D116" s="113">
        <v>-43.5</v>
      </c>
      <c r="E116" s="113">
        <v>48.7</v>
      </c>
      <c r="F116" s="113">
        <v>45</v>
      </c>
      <c r="G116" s="113">
        <v>35.200000000000003</v>
      </c>
      <c r="H116" s="113">
        <v>23.1</v>
      </c>
      <c r="I116" s="113">
        <v>13.3</v>
      </c>
      <c r="J116" s="113">
        <v>1.3</v>
      </c>
      <c r="K116" s="113">
        <v>-11.3</v>
      </c>
      <c r="L116" s="113">
        <v>-8.3000000000000007</v>
      </c>
      <c r="M116" s="113">
        <v>-10.7</v>
      </c>
      <c r="N116" s="113">
        <v>-14</v>
      </c>
      <c r="O116" s="113">
        <v>-15</v>
      </c>
      <c r="P116" s="113">
        <v>-4.8</v>
      </c>
      <c r="Q116" s="113">
        <v>0</v>
      </c>
      <c r="R116" s="113">
        <v>5.3</v>
      </c>
      <c r="S116" s="113">
        <v>0</v>
      </c>
      <c r="T116" s="113">
        <v>-7.3</v>
      </c>
      <c r="U116" s="113">
        <v>-14.9</v>
      </c>
      <c r="V116" s="113">
        <v>-18.7</v>
      </c>
      <c r="W116" s="113">
        <v>-25.6</v>
      </c>
      <c r="X116" s="113">
        <v>-36.700000000000003</v>
      </c>
      <c r="Y116" s="113">
        <v>-39.299999999999997</v>
      </c>
      <c r="Z116" s="113">
        <v>-21.1</v>
      </c>
      <c r="AA116" s="113">
        <v>-5.9</v>
      </c>
      <c r="AB116" s="113">
        <v>-8.3000000000000007</v>
      </c>
      <c r="AC116" s="113">
        <v>-5</v>
      </c>
      <c r="AD116" s="113">
        <v>24</v>
      </c>
      <c r="AE116" s="113">
        <v>43</v>
      </c>
      <c r="AF116" s="113">
        <v>59</v>
      </c>
      <c r="AG116" s="126"/>
      <c r="AH116" s="52">
        <f t="shared" si="13"/>
        <v>59</v>
      </c>
      <c r="AI116" s="53">
        <f t="shared" si="14"/>
        <v>-43.5</v>
      </c>
    </row>
    <row r="117" spans="1:37" ht="15.75" thickBot="1" x14ac:dyDescent="0.3">
      <c r="A117" s="127" t="s">
        <v>121</v>
      </c>
      <c r="B117" s="113">
        <v>55.4</v>
      </c>
      <c r="C117" s="113">
        <v>50.7</v>
      </c>
      <c r="D117" s="113">
        <v>49.6</v>
      </c>
      <c r="E117" s="113">
        <v>49</v>
      </c>
      <c r="F117" s="113">
        <v>47.7</v>
      </c>
      <c r="G117" s="113">
        <v>59.9</v>
      </c>
      <c r="H117" s="113">
        <v>60.5</v>
      </c>
      <c r="I117" s="113">
        <v>63.2</v>
      </c>
      <c r="J117" s="113">
        <v>65.900000000000006</v>
      </c>
      <c r="K117" s="113">
        <v>68.8</v>
      </c>
      <c r="L117" s="113">
        <v>66</v>
      </c>
      <c r="M117" s="113">
        <v>66.900000000000006</v>
      </c>
      <c r="N117" s="113">
        <v>76</v>
      </c>
      <c r="O117" s="113">
        <v>82</v>
      </c>
      <c r="P117" s="113">
        <v>78.2</v>
      </c>
      <c r="Q117" s="113">
        <v>76</v>
      </c>
      <c r="R117" s="113">
        <v>78</v>
      </c>
      <c r="S117" s="113">
        <v>78.7</v>
      </c>
      <c r="T117" s="113">
        <v>79.099999999999994</v>
      </c>
      <c r="U117" s="113">
        <v>75.7</v>
      </c>
      <c r="V117" s="113">
        <v>81.7</v>
      </c>
      <c r="W117" s="113">
        <v>67.900000000000006</v>
      </c>
      <c r="X117" s="113">
        <v>77.2</v>
      </c>
      <c r="Y117" s="113">
        <v>92.3</v>
      </c>
      <c r="Z117" s="113">
        <v>80.599999999999994</v>
      </c>
      <c r="AA117" s="113">
        <v>83.7</v>
      </c>
      <c r="AB117" s="113"/>
      <c r="AC117" s="113">
        <v>72.599999999999994</v>
      </c>
      <c r="AD117" s="113">
        <v>62</v>
      </c>
      <c r="AE117" s="113">
        <v>44</v>
      </c>
      <c r="AF117" s="113">
        <v>78</v>
      </c>
      <c r="AG117" s="126"/>
      <c r="AH117" s="52">
        <f t="shared" si="13"/>
        <v>92.3</v>
      </c>
      <c r="AI117" s="53">
        <f t="shared" si="14"/>
        <v>44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5">SUM(B119:B223)</f>
        <v>0</v>
      </c>
      <c r="C224" s="144">
        <f t="shared" si="25"/>
        <v>0</v>
      </c>
      <c r="D224" s="144">
        <f t="shared" si="25"/>
        <v>0</v>
      </c>
      <c r="E224" s="144">
        <f t="shared" si="25"/>
        <v>0</v>
      </c>
      <c r="F224" s="144">
        <f t="shared" si="25"/>
        <v>0</v>
      </c>
      <c r="G224" s="144">
        <f t="shared" si="25"/>
        <v>0</v>
      </c>
      <c r="H224" s="144">
        <f t="shared" si="25"/>
        <v>0</v>
      </c>
      <c r="I224" s="144">
        <f t="shared" si="25"/>
        <v>0</v>
      </c>
      <c r="J224" s="144">
        <f t="shared" si="25"/>
        <v>0</v>
      </c>
      <c r="K224" s="144">
        <f t="shared" si="25"/>
        <v>0</v>
      </c>
      <c r="L224" s="144">
        <f t="shared" si="25"/>
        <v>0</v>
      </c>
      <c r="M224" s="144">
        <f t="shared" si="25"/>
        <v>0</v>
      </c>
      <c r="N224" s="144">
        <f t="shared" si="25"/>
        <v>0</v>
      </c>
      <c r="O224" s="144">
        <f t="shared" si="25"/>
        <v>0</v>
      </c>
      <c r="P224" s="144">
        <f t="shared" si="25"/>
        <v>0</v>
      </c>
      <c r="Q224" s="144">
        <f t="shared" si="25"/>
        <v>0</v>
      </c>
      <c r="R224" s="144">
        <f t="shared" si="25"/>
        <v>0</v>
      </c>
      <c r="S224" s="144">
        <f t="shared" si="25"/>
        <v>0</v>
      </c>
      <c r="T224" s="144">
        <f t="shared" si="25"/>
        <v>0</v>
      </c>
      <c r="U224" s="144">
        <f t="shared" si="25"/>
        <v>0</v>
      </c>
      <c r="V224" s="144">
        <f t="shared" si="25"/>
        <v>0</v>
      </c>
      <c r="W224" s="144">
        <f t="shared" si="25"/>
        <v>0</v>
      </c>
      <c r="X224" s="144">
        <f t="shared" si="25"/>
        <v>0</v>
      </c>
      <c r="Y224" s="144">
        <f t="shared" si="25"/>
        <v>0</v>
      </c>
      <c r="Z224" s="144">
        <f t="shared" si="25"/>
        <v>0</v>
      </c>
      <c r="AA224" s="144">
        <f t="shared" si="25"/>
        <v>0</v>
      </c>
      <c r="AB224" s="144">
        <f t="shared" si="25"/>
        <v>0</v>
      </c>
      <c r="AC224" s="144">
        <f t="shared" si="25"/>
        <v>0</v>
      </c>
      <c r="AD224" s="144">
        <f t="shared" si="25"/>
        <v>0</v>
      </c>
      <c r="AE224" s="144">
        <f t="shared" si="25"/>
        <v>0</v>
      </c>
      <c r="AF224" s="145">
        <f t="shared" si="25"/>
        <v>0</v>
      </c>
      <c r="AG224" s="146">
        <f t="shared" si="25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6">AF226</f>
        <v>0</v>
      </c>
      <c r="C226" s="149">
        <v>0.3</v>
      </c>
      <c r="D226" s="149">
        <f t="shared" ref="D226:P231" si="27">C226</f>
        <v>0.3</v>
      </c>
      <c r="E226" s="149">
        <f t="shared" si="27"/>
        <v>0.3</v>
      </c>
      <c r="F226" s="149">
        <f t="shared" si="27"/>
        <v>0.3</v>
      </c>
      <c r="G226" s="149">
        <f t="shared" si="27"/>
        <v>0.3</v>
      </c>
      <c r="H226" s="149">
        <f t="shared" si="27"/>
        <v>0.3</v>
      </c>
      <c r="I226" s="149">
        <f t="shared" si="27"/>
        <v>0.3</v>
      </c>
      <c r="J226" s="149">
        <f t="shared" si="27"/>
        <v>0.3</v>
      </c>
      <c r="K226" s="149">
        <f t="shared" si="27"/>
        <v>0.3</v>
      </c>
      <c r="L226" s="149">
        <f t="shared" si="27"/>
        <v>0.3</v>
      </c>
      <c r="M226" s="149">
        <f t="shared" si="27"/>
        <v>0.3</v>
      </c>
      <c r="N226" s="149">
        <f t="shared" si="27"/>
        <v>0.3</v>
      </c>
      <c r="O226" s="149">
        <f t="shared" si="27"/>
        <v>0.3</v>
      </c>
      <c r="P226" s="149">
        <f t="shared" si="27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6"/>
        <v>0</v>
      </c>
      <c r="C227" s="136">
        <v>0.4</v>
      </c>
      <c r="D227" s="136">
        <f t="shared" si="27"/>
        <v>0.4</v>
      </c>
      <c r="E227" s="136">
        <f t="shared" si="27"/>
        <v>0.4</v>
      </c>
      <c r="F227" s="136">
        <f t="shared" si="27"/>
        <v>0.4</v>
      </c>
      <c r="G227" s="136">
        <f t="shared" si="27"/>
        <v>0.4</v>
      </c>
      <c r="H227" s="136">
        <f t="shared" si="27"/>
        <v>0.4</v>
      </c>
      <c r="I227" s="136">
        <f t="shared" si="27"/>
        <v>0.4</v>
      </c>
      <c r="J227" s="136">
        <f t="shared" si="27"/>
        <v>0.4</v>
      </c>
      <c r="K227" s="136">
        <f t="shared" si="27"/>
        <v>0.4</v>
      </c>
      <c r="L227" s="136">
        <f t="shared" si="27"/>
        <v>0.4</v>
      </c>
      <c r="M227" s="136">
        <f t="shared" si="27"/>
        <v>0.4</v>
      </c>
      <c r="N227" s="136">
        <f t="shared" si="27"/>
        <v>0.4</v>
      </c>
      <c r="O227" s="136">
        <f t="shared" si="27"/>
        <v>0.4</v>
      </c>
      <c r="P227" s="136">
        <f t="shared" si="27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6"/>
        <v>0</v>
      </c>
      <c r="C228" s="136">
        <v>1.5</v>
      </c>
      <c r="D228" s="136">
        <f t="shared" si="27"/>
        <v>1.5</v>
      </c>
      <c r="E228" s="136">
        <f t="shared" si="27"/>
        <v>1.5</v>
      </c>
      <c r="F228" s="136">
        <f t="shared" si="27"/>
        <v>1.5</v>
      </c>
      <c r="G228" s="136">
        <f t="shared" si="27"/>
        <v>1.5</v>
      </c>
      <c r="H228" s="136">
        <f t="shared" si="27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7"/>
        <v>1.5</v>
      </c>
      <c r="K228" s="136">
        <f t="shared" ca="1" si="27"/>
        <v>1.5</v>
      </c>
      <c r="L228" s="136">
        <f t="shared" ca="1" si="27"/>
        <v>1.5</v>
      </c>
      <c r="M228" s="136">
        <f t="shared" ca="1" si="27"/>
        <v>1.5</v>
      </c>
      <c r="N228" s="136">
        <f t="shared" ca="1" si="27"/>
        <v>1.5</v>
      </c>
      <c r="O228" s="136">
        <f t="shared" ca="1" si="27"/>
        <v>1.5</v>
      </c>
      <c r="P228" s="136">
        <f t="shared" ca="1" si="27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6"/>
        <v>0</v>
      </c>
      <c r="C229" s="136">
        <v>0.3</v>
      </c>
      <c r="D229" s="136">
        <f t="shared" si="27"/>
        <v>0.3</v>
      </c>
      <c r="E229" s="136">
        <f t="shared" si="27"/>
        <v>0.3</v>
      </c>
      <c r="F229" s="136">
        <f t="shared" si="27"/>
        <v>0.3</v>
      </c>
      <c r="G229" s="136">
        <f t="shared" si="27"/>
        <v>0.3</v>
      </c>
      <c r="H229" s="136">
        <f t="shared" si="27"/>
        <v>0.3</v>
      </c>
      <c r="I229" s="136">
        <f t="shared" si="27"/>
        <v>0.3</v>
      </c>
      <c r="J229" s="136">
        <f t="shared" si="27"/>
        <v>0.3</v>
      </c>
      <c r="K229" s="136">
        <f t="shared" si="27"/>
        <v>0.3</v>
      </c>
      <c r="L229" s="136">
        <f t="shared" si="27"/>
        <v>0.3</v>
      </c>
      <c r="M229" s="136">
        <f t="shared" si="27"/>
        <v>0.3</v>
      </c>
      <c r="N229" s="136">
        <f t="shared" si="27"/>
        <v>0.3</v>
      </c>
      <c r="O229" s="136">
        <f t="shared" si="27"/>
        <v>0.3</v>
      </c>
      <c r="P229" s="136">
        <f t="shared" si="27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6"/>
        <v>0</v>
      </c>
      <c r="C230" s="136">
        <v>0.4</v>
      </c>
      <c r="D230" s="136">
        <f t="shared" si="27"/>
        <v>0.4</v>
      </c>
      <c r="E230" s="136">
        <f t="shared" si="27"/>
        <v>0.4</v>
      </c>
      <c r="F230" s="136">
        <f t="shared" si="27"/>
        <v>0.4</v>
      </c>
      <c r="G230" s="136">
        <f t="shared" si="27"/>
        <v>0.4</v>
      </c>
      <c r="H230" s="136">
        <f t="shared" si="27"/>
        <v>0.4</v>
      </c>
      <c r="I230" s="136">
        <f t="shared" si="27"/>
        <v>0.4</v>
      </c>
      <c r="J230" s="136">
        <f t="shared" si="27"/>
        <v>0.4</v>
      </c>
      <c r="K230" s="136">
        <f t="shared" si="27"/>
        <v>0.4</v>
      </c>
      <c r="L230" s="136">
        <f t="shared" si="27"/>
        <v>0.4</v>
      </c>
      <c r="M230" s="136">
        <f t="shared" si="27"/>
        <v>0.4</v>
      </c>
      <c r="N230" s="136">
        <f t="shared" si="27"/>
        <v>0.4</v>
      </c>
      <c r="O230" s="136">
        <f t="shared" si="27"/>
        <v>0.4</v>
      </c>
      <c r="P230" s="136">
        <f t="shared" si="27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6"/>
        <v>0</v>
      </c>
      <c r="C231" s="140">
        <v>0.64</v>
      </c>
      <c r="D231" s="140">
        <f t="shared" si="27"/>
        <v>0.64</v>
      </c>
      <c r="E231" s="140">
        <f t="shared" si="27"/>
        <v>0.64</v>
      </c>
      <c r="F231" s="140">
        <f t="shared" si="27"/>
        <v>0.64</v>
      </c>
      <c r="G231" s="140">
        <f t="shared" si="27"/>
        <v>0.64</v>
      </c>
      <c r="H231" s="140">
        <f t="shared" si="27"/>
        <v>0.64</v>
      </c>
      <c r="I231" s="140">
        <f t="shared" si="27"/>
        <v>0.64</v>
      </c>
      <c r="J231" s="140">
        <f t="shared" si="27"/>
        <v>0.64</v>
      </c>
      <c r="K231" s="140">
        <f t="shared" si="27"/>
        <v>0.64</v>
      </c>
      <c r="L231" s="140">
        <f t="shared" si="27"/>
        <v>0.64</v>
      </c>
      <c r="M231" s="140">
        <f t="shared" si="27"/>
        <v>0.64</v>
      </c>
      <c r="N231" s="140">
        <f t="shared" si="27"/>
        <v>0.64</v>
      </c>
      <c r="O231" s="140">
        <f t="shared" si="27"/>
        <v>0.64</v>
      </c>
      <c r="P231" s="140">
        <f t="shared" si="27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8">SUM(B226:B231)</f>
        <v>0</v>
      </c>
      <c r="C232" s="144">
        <f t="shared" si="28"/>
        <v>3.54</v>
      </c>
      <c r="D232" s="144">
        <f t="shared" si="28"/>
        <v>3.54</v>
      </c>
      <c r="E232" s="144">
        <f t="shared" si="28"/>
        <v>3.54</v>
      </c>
      <c r="F232" s="144">
        <f t="shared" si="28"/>
        <v>3.54</v>
      </c>
      <c r="G232" s="144">
        <f t="shared" si="28"/>
        <v>3.54</v>
      </c>
      <c r="H232" s="144">
        <f t="shared" si="28"/>
        <v>3.54</v>
      </c>
      <c r="I232" s="144">
        <f t="shared" ca="1" si="28"/>
        <v>3.54</v>
      </c>
      <c r="J232" s="144">
        <f t="shared" ca="1" si="28"/>
        <v>3.54</v>
      </c>
      <c r="K232" s="144">
        <f t="shared" ca="1" si="28"/>
        <v>3.54</v>
      </c>
      <c r="L232" s="144">
        <f t="shared" ca="1" si="28"/>
        <v>3.54</v>
      </c>
      <c r="M232" s="144">
        <f t="shared" ca="1" si="28"/>
        <v>3.54</v>
      </c>
      <c r="N232" s="144">
        <f t="shared" ca="1" si="28"/>
        <v>3.54</v>
      </c>
      <c r="O232" s="144">
        <f t="shared" ca="1" si="28"/>
        <v>3.54</v>
      </c>
      <c r="P232" s="144">
        <f t="shared" ca="1" si="28"/>
        <v>3.54</v>
      </c>
      <c r="Q232" s="144">
        <f t="shared" si="28"/>
        <v>0</v>
      </c>
      <c r="R232" s="144">
        <f t="shared" si="28"/>
        <v>0</v>
      </c>
      <c r="S232" s="144">
        <f t="shared" si="28"/>
        <v>0</v>
      </c>
      <c r="T232" s="144">
        <f t="shared" si="28"/>
        <v>0</v>
      </c>
      <c r="U232" s="144">
        <f t="shared" si="28"/>
        <v>0</v>
      </c>
      <c r="V232" s="144">
        <f t="shared" si="28"/>
        <v>0</v>
      </c>
      <c r="W232" s="144">
        <f t="shared" si="28"/>
        <v>0</v>
      </c>
      <c r="X232" s="144">
        <f t="shared" si="28"/>
        <v>0</v>
      </c>
      <c r="Y232" s="144">
        <f t="shared" si="28"/>
        <v>0</v>
      </c>
      <c r="Z232" s="144">
        <f t="shared" si="28"/>
        <v>0</v>
      </c>
      <c r="AA232" s="144">
        <f t="shared" si="28"/>
        <v>0</v>
      </c>
      <c r="AB232" s="144">
        <f t="shared" si="28"/>
        <v>0</v>
      </c>
      <c r="AC232" s="144">
        <f t="shared" si="28"/>
        <v>0</v>
      </c>
      <c r="AD232" s="144">
        <f t="shared" si="28"/>
        <v>0</v>
      </c>
      <c r="AE232" s="144">
        <f t="shared" si="28"/>
        <v>0</v>
      </c>
      <c r="AF232" s="144">
        <f t="shared" si="28"/>
        <v>0</v>
      </c>
      <c r="AG232" s="154">
        <f t="shared" si="28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1410.44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06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2079/12/6)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2079/12/6)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9">B89</f>
        <v>956.44</v>
      </c>
      <c r="U246" s="180">
        <f t="shared" si="29"/>
        <v>886.44</v>
      </c>
      <c r="V246" s="180">
        <f t="shared" si="29"/>
        <v>927.44</v>
      </c>
      <c r="W246" s="180">
        <f t="shared" si="29"/>
        <v>914.54</v>
      </c>
      <c r="X246" s="180">
        <f t="shared" si="29"/>
        <v>905.14</v>
      </c>
      <c r="Y246" s="180">
        <f t="shared" si="29"/>
        <v>935.64</v>
      </c>
      <c r="Z246" s="180">
        <f t="shared" si="29"/>
        <v>1022.04</v>
      </c>
      <c r="AA246" s="180">
        <f t="shared" si="29"/>
        <v>1053.44</v>
      </c>
      <c r="AB246" s="180">
        <f t="shared" si="29"/>
        <v>1095.54</v>
      </c>
      <c r="AC246" s="180">
        <f t="shared" si="29"/>
        <v>1136.24</v>
      </c>
      <c r="AD246" s="180">
        <f t="shared" si="29"/>
        <v>1343.1399999999999</v>
      </c>
      <c r="AE246" s="180">
        <f t="shared" si="29"/>
        <v>1401.14</v>
      </c>
      <c r="AF246" s="180">
        <f t="shared" si="29"/>
        <v>1410.44</v>
      </c>
      <c r="AG246" s="180">
        <f t="shared" si="29"/>
        <v>1345.2399999999998</v>
      </c>
      <c r="AH246" s="180">
        <f t="shared" si="29"/>
        <v>1271.54</v>
      </c>
      <c r="AI246" s="180">
        <f t="shared" si="29"/>
        <v>1264.1399999999999</v>
      </c>
      <c r="AJ246" s="180">
        <f t="shared" si="29"/>
        <v>1245.74</v>
      </c>
      <c r="AK246" s="180">
        <f t="shared" si="29"/>
        <v>1258.94</v>
      </c>
      <c r="AL246" s="180">
        <f t="shared" si="29"/>
        <v>1303.04</v>
      </c>
      <c r="AM246" s="180">
        <f t="shared" si="29"/>
        <v>1306.04</v>
      </c>
      <c r="AN246" s="180">
        <f t="shared" si="29"/>
        <v>1314.24</v>
      </c>
      <c r="AO246" s="180">
        <f t="shared" si="29"/>
        <v>1348.8400000000001</v>
      </c>
      <c r="AP246" s="180">
        <f t="shared" si="29"/>
        <v>1398.2399999999998</v>
      </c>
      <c r="AQ246" s="180">
        <f t="shared" si="29"/>
        <v>1495.14</v>
      </c>
      <c r="AR246" s="180">
        <f t="shared" si="29"/>
        <v>1436.04</v>
      </c>
      <c r="AS246" s="180">
        <f t="shared" si="29"/>
        <v>1358.74</v>
      </c>
      <c r="AT246" s="180">
        <f t="shared" si="29"/>
        <v>1182.3399999999999</v>
      </c>
      <c r="AU246" s="180">
        <f t="shared" si="29"/>
        <v>1109.74</v>
      </c>
      <c r="AV246" s="180">
        <f t="shared" si="29"/>
        <v>1168.74</v>
      </c>
      <c r="AW246" s="180">
        <f t="shared" si="29"/>
        <v>916.04</v>
      </c>
      <c r="AX246" s="180">
        <f t="shared" si="29"/>
        <v>902.04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0">C231</f>
        <v>0.64</v>
      </c>
      <c r="C267" s="183">
        <f t="shared" si="30"/>
        <v>0.64</v>
      </c>
      <c r="D267" s="183">
        <f t="shared" si="30"/>
        <v>0.64</v>
      </c>
      <c r="E267" s="183">
        <f t="shared" si="30"/>
        <v>0.64</v>
      </c>
      <c r="F267" s="183">
        <f t="shared" si="30"/>
        <v>0.64</v>
      </c>
      <c r="G267" s="183">
        <f t="shared" si="30"/>
        <v>0.64</v>
      </c>
      <c r="H267" s="183">
        <f t="shared" si="30"/>
        <v>0.64</v>
      </c>
      <c r="I267" s="183">
        <f t="shared" si="30"/>
        <v>0.64</v>
      </c>
      <c r="J267" s="183">
        <f t="shared" si="30"/>
        <v>0.64</v>
      </c>
      <c r="K267" s="183">
        <f t="shared" si="30"/>
        <v>0.64</v>
      </c>
      <c r="L267" s="183">
        <f t="shared" si="30"/>
        <v>0.64</v>
      </c>
      <c r="M267" s="183">
        <f t="shared" si="30"/>
        <v>0.64</v>
      </c>
      <c r="N267" s="183">
        <f t="shared" si="30"/>
        <v>0.64</v>
      </c>
      <c r="O267" s="183">
        <f t="shared" si="30"/>
        <v>0.64</v>
      </c>
      <c r="P267" s="183">
        <f t="shared" si="30"/>
        <v>0</v>
      </c>
      <c r="Q267" s="183">
        <f t="shared" si="30"/>
        <v>0</v>
      </c>
      <c r="R267" s="183">
        <f t="shared" si="30"/>
        <v>0</v>
      </c>
      <c r="S267" s="183">
        <f t="shared" si="30"/>
        <v>0</v>
      </c>
      <c r="T267" s="183">
        <f t="shared" si="30"/>
        <v>0</v>
      </c>
      <c r="U267" s="183">
        <f t="shared" si="30"/>
        <v>0</v>
      </c>
      <c r="V267" s="183">
        <f t="shared" si="30"/>
        <v>0</v>
      </c>
      <c r="W267" s="183">
        <f t="shared" si="30"/>
        <v>0</v>
      </c>
      <c r="X267" s="183">
        <f t="shared" si="30"/>
        <v>0</v>
      </c>
      <c r="Y267" s="183">
        <f t="shared" si="30"/>
        <v>0</v>
      </c>
      <c r="Z267" s="183">
        <f t="shared" si="30"/>
        <v>0</v>
      </c>
      <c r="AA267" s="183">
        <f t="shared" si="30"/>
        <v>0</v>
      </c>
      <c r="AB267" s="183">
        <f t="shared" si="30"/>
        <v>0</v>
      </c>
      <c r="AC267" s="183">
        <f t="shared" si="30"/>
        <v>0</v>
      </c>
      <c r="AD267" s="183">
        <f t="shared" si="30"/>
        <v>0</v>
      </c>
      <c r="AE267" s="183">
        <f t="shared" si="30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1">IF(B235&lt;100,"",B235-520)</f>
        <v/>
      </c>
      <c r="C268" s="184" t="str">
        <f t="shared" si="31"/>
        <v/>
      </c>
      <c r="D268" s="184" t="str">
        <f t="shared" si="31"/>
        <v/>
      </c>
      <c r="E268" s="184" t="str">
        <f t="shared" si="31"/>
        <v/>
      </c>
      <c r="F268" s="184" t="str">
        <f t="shared" si="31"/>
        <v/>
      </c>
      <c r="G268" s="184" t="str">
        <f t="shared" si="31"/>
        <v/>
      </c>
      <c r="H268" s="184" t="str">
        <f t="shared" si="31"/>
        <v/>
      </c>
      <c r="I268" s="184" t="str">
        <f t="shared" si="31"/>
        <v/>
      </c>
      <c r="J268" s="184" t="str">
        <f t="shared" si="31"/>
        <v/>
      </c>
      <c r="K268" s="184" t="str">
        <f t="shared" si="31"/>
        <v/>
      </c>
      <c r="L268" s="184" t="str">
        <f t="shared" si="31"/>
        <v/>
      </c>
      <c r="M268" s="184" t="str">
        <f t="shared" si="31"/>
        <v/>
      </c>
      <c r="N268" s="184" t="str">
        <f t="shared" si="31"/>
        <v/>
      </c>
      <c r="O268" s="184" t="str">
        <f t="shared" si="31"/>
        <v/>
      </c>
      <c r="P268" s="184" t="str">
        <f t="shared" si="31"/>
        <v/>
      </c>
      <c r="Q268" s="184" t="str">
        <f t="shared" si="31"/>
        <v/>
      </c>
      <c r="R268" s="184" t="str">
        <f t="shared" si="31"/>
        <v/>
      </c>
      <c r="S268" s="184" t="str">
        <f t="shared" si="31"/>
        <v/>
      </c>
      <c r="T268" s="184" t="str">
        <f t="shared" si="31"/>
        <v/>
      </c>
      <c r="U268" s="184" t="str">
        <f t="shared" si="31"/>
        <v/>
      </c>
      <c r="V268" s="184" t="str">
        <f t="shared" si="31"/>
        <v/>
      </c>
      <c r="W268" s="184" t="str">
        <f t="shared" si="31"/>
        <v/>
      </c>
      <c r="X268" s="184" t="str">
        <f t="shared" si="31"/>
        <v/>
      </c>
      <c r="Y268" s="184" t="str">
        <f t="shared" si="31"/>
        <v/>
      </c>
      <c r="Z268" s="184" t="str">
        <f t="shared" si="31"/>
        <v/>
      </c>
      <c r="AA268" s="184" t="str">
        <f t="shared" si="31"/>
        <v/>
      </c>
      <c r="AB268" s="184" t="str">
        <f t="shared" si="31"/>
        <v/>
      </c>
      <c r="AC268" s="184" t="str">
        <f t="shared" si="31"/>
        <v/>
      </c>
      <c r="AD268" s="184" t="str">
        <f t="shared" si="31"/>
        <v/>
      </c>
      <c r="AE268" s="184" t="str">
        <f t="shared" si="31"/>
        <v/>
      </c>
      <c r="AF268" s="184" t="str">
        <f t="shared" si="31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2">IF(B236&lt;100,"",B236-620)</f>
        <v/>
      </c>
      <c r="C269" s="184" t="str">
        <f t="shared" si="32"/>
        <v/>
      </c>
      <c r="D269" s="184" t="str">
        <f t="shared" si="32"/>
        <v/>
      </c>
      <c r="E269" s="184" t="str">
        <f t="shared" si="32"/>
        <v/>
      </c>
      <c r="F269" s="184" t="str">
        <f t="shared" si="32"/>
        <v/>
      </c>
      <c r="G269" s="184" t="str">
        <f t="shared" si="32"/>
        <v/>
      </c>
      <c r="H269" s="184" t="str">
        <f t="shared" si="32"/>
        <v/>
      </c>
      <c r="I269" s="184" t="str">
        <f t="shared" si="32"/>
        <v/>
      </c>
      <c r="J269" s="184" t="str">
        <f t="shared" si="32"/>
        <v/>
      </c>
      <c r="K269" s="184" t="str">
        <f t="shared" si="32"/>
        <v/>
      </c>
      <c r="L269" s="184" t="str">
        <f t="shared" si="32"/>
        <v/>
      </c>
      <c r="M269" s="184" t="str">
        <f t="shared" si="32"/>
        <v/>
      </c>
      <c r="N269" s="184" t="str">
        <f t="shared" si="32"/>
        <v/>
      </c>
      <c r="O269" s="184" t="str">
        <f t="shared" si="32"/>
        <v/>
      </c>
      <c r="P269" s="184" t="str">
        <f t="shared" si="32"/>
        <v/>
      </c>
      <c r="Q269" s="184" t="str">
        <f t="shared" si="32"/>
        <v/>
      </c>
      <c r="R269" s="184" t="str">
        <f t="shared" si="32"/>
        <v/>
      </c>
      <c r="S269" s="184" t="str">
        <f t="shared" si="32"/>
        <v/>
      </c>
      <c r="T269" s="184" t="str">
        <f t="shared" si="32"/>
        <v/>
      </c>
      <c r="U269" s="184" t="str">
        <f t="shared" si="32"/>
        <v/>
      </c>
      <c r="V269" s="184" t="str">
        <f t="shared" si="32"/>
        <v/>
      </c>
      <c r="W269" s="184" t="str">
        <f t="shared" si="32"/>
        <v/>
      </c>
      <c r="X269" s="184" t="str">
        <f t="shared" si="32"/>
        <v/>
      </c>
      <c r="Y269" s="184" t="str">
        <f t="shared" si="32"/>
        <v/>
      </c>
      <c r="Z269" s="184" t="str">
        <f t="shared" si="32"/>
        <v/>
      </c>
      <c r="AA269" s="184" t="str">
        <f t="shared" si="32"/>
        <v/>
      </c>
      <c r="AB269" s="184" t="str">
        <f t="shared" si="32"/>
        <v/>
      </c>
      <c r="AC269" s="184" t="str">
        <f t="shared" si="32"/>
        <v/>
      </c>
      <c r="AD269" s="184" t="str">
        <f t="shared" si="32"/>
        <v/>
      </c>
      <c r="AE269" s="184" t="str">
        <f t="shared" si="32"/>
        <v/>
      </c>
      <c r="AF269" s="184" t="str">
        <f t="shared" si="32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3">IF(B237&lt;100,"",B237-330)</f>
        <v/>
      </c>
      <c r="C270" s="184" t="str">
        <f t="shared" si="33"/>
        <v/>
      </c>
      <c r="D270" s="184" t="str">
        <f t="shared" si="33"/>
        <v/>
      </c>
      <c r="E270" s="184" t="str">
        <f t="shared" si="33"/>
        <v/>
      </c>
      <c r="F270" s="184" t="str">
        <f t="shared" si="33"/>
        <v/>
      </c>
      <c r="G270" s="184" t="str">
        <f t="shared" si="33"/>
        <v/>
      </c>
      <c r="H270" s="184" t="str">
        <f t="shared" si="33"/>
        <v/>
      </c>
      <c r="I270" s="184" t="str">
        <f t="shared" si="33"/>
        <v/>
      </c>
      <c r="J270" s="184" t="str">
        <f t="shared" si="33"/>
        <v/>
      </c>
      <c r="K270" s="184" t="str">
        <f t="shared" si="33"/>
        <v/>
      </c>
      <c r="L270" s="184" t="str">
        <f t="shared" si="33"/>
        <v/>
      </c>
      <c r="M270" s="184" t="str">
        <f t="shared" si="33"/>
        <v/>
      </c>
      <c r="N270" s="184" t="str">
        <f t="shared" si="33"/>
        <v/>
      </c>
      <c r="O270" s="184" t="str">
        <f t="shared" si="33"/>
        <v/>
      </c>
      <c r="P270" s="184" t="str">
        <f t="shared" si="33"/>
        <v/>
      </c>
      <c r="Q270" s="184" t="str">
        <f t="shared" si="33"/>
        <v/>
      </c>
      <c r="R270" s="184" t="str">
        <f t="shared" si="33"/>
        <v/>
      </c>
      <c r="S270" s="184" t="str">
        <f t="shared" si="33"/>
        <v/>
      </c>
      <c r="T270" s="184" t="str">
        <f t="shared" si="33"/>
        <v/>
      </c>
      <c r="U270" s="184" t="str">
        <f t="shared" si="33"/>
        <v/>
      </c>
      <c r="V270" s="184" t="str">
        <f t="shared" si="33"/>
        <v/>
      </c>
      <c r="W270" s="184" t="str">
        <f t="shared" si="33"/>
        <v/>
      </c>
      <c r="X270" s="184" t="str">
        <f t="shared" si="33"/>
        <v/>
      </c>
      <c r="Y270" s="184" t="str">
        <f t="shared" si="33"/>
        <v/>
      </c>
      <c r="Z270" s="184" t="str">
        <f t="shared" si="33"/>
        <v/>
      </c>
      <c r="AA270" s="184" t="str">
        <f t="shared" si="33"/>
        <v/>
      </c>
      <c r="AB270" s="184" t="str">
        <f t="shared" si="33"/>
        <v/>
      </c>
      <c r="AC270" s="184" t="str">
        <f t="shared" si="33"/>
        <v/>
      </c>
      <c r="AD270" s="184" t="str">
        <f t="shared" si="33"/>
        <v/>
      </c>
      <c r="AE270" s="184" t="str">
        <f t="shared" si="33"/>
        <v/>
      </c>
      <c r="AF270" s="184" t="str">
        <f t="shared" si="33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4">IF(B238&lt;100,"",B238-1500)</f>
        <v/>
      </c>
      <c r="C271" s="184" t="str">
        <f t="shared" si="34"/>
        <v/>
      </c>
      <c r="D271" s="184" t="str">
        <f t="shared" si="34"/>
        <v/>
      </c>
      <c r="E271" s="184" t="str">
        <f t="shared" si="34"/>
        <v/>
      </c>
      <c r="F271" s="184" t="str">
        <f t="shared" si="34"/>
        <v/>
      </c>
      <c r="G271" s="184" t="str">
        <f t="shared" si="34"/>
        <v/>
      </c>
      <c r="H271" s="184" t="str">
        <f t="shared" si="34"/>
        <v/>
      </c>
      <c r="I271" s="184" t="str">
        <f t="shared" si="34"/>
        <v/>
      </c>
      <c r="J271" s="184" t="str">
        <f t="shared" si="34"/>
        <v/>
      </c>
      <c r="K271" s="184" t="str">
        <f t="shared" si="34"/>
        <v/>
      </c>
      <c r="L271" s="184" t="str">
        <f t="shared" si="34"/>
        <v/>
      </c>
      <c r="M271" s="184" t="str">
        <f t="shared" si="34"/>
        <v/>
      </c>
      <c r="N271" s="184" t="str">
        <f t="shared" si="34"/>
        <v/>
      </c>
      <c r="O271" s="184" t="str">
        <f t="shared" si="34"/>
        <v/>
      </c>
      <c r="P271" s="184" t="str">
        <f t="shared" si="34"/>
        <v/>
      </c>
      <c r="Q271" s="184" t="str">
        <f t="shared" si="34"/>
        <v/>
      </c>
      <c r="R271" s="184" t="str">
        <f t="shared" si="34"/>
        <v/>
      </c>
      <c r="S271" s="184" t="str">
        <f t="shared" si="34"/>
        <v/>
      </c>
      <c r="T271" s="184" t="str">
        <f t="shared" si="34"/>
        <v/>
      </c>
      <c r="U271" s="184" t="str">
        <f t="shared" si="34"/>
        <v/>
      </c>
      <c r="V271" s="184" t="str">
        <f t="shared" si="34"/>
        <v/>
      </c>
      <c r="W271" s="184" t="str">
        <f t="shared" si="34"/>
        <v/>
      </c>
      <c r="X271" s="184" t="str">
        <f t="shared" si="34"/>
        <v/>
      </c>
      <c r="Y271" s="184" t="str">
        <f t="shared" si="34"/>
        <v/>
      </c>
      <c r="Z271" s="184" t="str">
        <f t="shared" si="34"/>
        <v/>
      </c>
      <c r="AA271" s="184" t="str">
        <f t="shared" si="34"/>
        <v/>
      </c>
      <c r="AB271" s="184" t="str">
        <f t="shared" si="34"/>
        <v/>
      </c>
      <c r="AC271" s="184" t="str">
        <f t="shared" si="34"/>
        <v/>
      </c>
      <c r="AD271" s="184" t="str">
        <f t="shared" si="34"/>
        <v/>
      </c>
      <c r="AE271" s="184" t="str">
        <f t="shared" si="34"/>
        <v/>
      </c>
      <c r="AF271" s="184" t="str">
        <f t="shared" si="34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0083" priority="344">
      <formula>B$9&gt;=20/24</formula>
    </cfRule>
    <cfRule type="expression" dxfId="10082" priority="345">
      <formula>AND(B$9&gt;=14/24,B$9&lt;20/24)</formula>
    </cfRule>
    <cfRule type="expression" dxfId="10081" priority="346">
      <formula>AND(B$9&gt;=8/24,B$9&lt;14/24)</formula>
    </cfRule>
    <cfRule type="expression" dxfId="10080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0079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0078" priority="341">
      <formula>$AH12=0</formula>
    </cfRule>
  </conditionalFormatting>
  <conditionalFormatting sqref="A114">
    <cfRule type="expression" dxfId="10077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0076" priority="338">
      <formula>$AH45=0</formula>
    </cfRule>
  </conditionalFormatting>
  <conditionalFormatting sqref="A98">
    <cfRule type="expression" dxfId="10075" priority="337">
      <formula>$AH98=0</formula>
    </cfRule>
  </conditionalFormatting>
  <conditionalFormatting sqref="A18">
    <cfRule type="expression" dxfId="10074" priority="336">
      <formula>$AH18=0</formula>
    </cfRule>
  </conditionalFormatting>
  <conditionalFormatting sqref="A196:A201">
    <cfRule type="expression" dxfId="10073" priority="335">
      <formula>$AH196=0</formula>
    </cfRule>
  </conditionalFormatting>
  <conditionalFormatting sqref="A190:A195">
    <cfRule type="expression" dxfId="10072" priority="334">
      <formula>$AH190=0</formula>
    </cfRule>
  </conditionalFormatting>
  <conditionalFormatting sqref="A58">
    <cfRule type="expression" dxfId="10071" priority="333">
      <formula>$AH58=0</formula>
    </cfRule>
  </conditionalFormatting>
  <conditionalFormatting sqref="A94">
    <cfRule type="expression" dxfId="10070" priority="332">
      <formula>$AH94=0</formula>
    </cfRule>
  </conditionalFormatting>
  <conditionalFormatting sqref="E99:X99 AD99:AF99">
    <cfRule type="expression" dxfId="10069" priority="328">
      <formula>E$9&gt;=20/24</formula>
    </cfRule>
    <cfRule type="expression" dxfId="10068" priority="329">
      <formula>AND(E$9&gt;=14/24,E$9&lt;20/24)</formula>
    </cfRule>
    <cfRule type="expression" dxfId="10067" priority="330">
      <formula>AND(E$9&gt;=8/24,E$9&lt;14/24)</formula>
    </cfRule>
    <cfRule type="expression" dxfId="10066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065" priority="350">
      <formula>C$9&gt;=20/24</formula>
    </cfRule>
    <cfRule type="expression" dxfId="10064" priority="351">
      <formula>AND(C$9&gt;=14/24,C$9&lt;20/24)</formula>
    </cfRule>
    <cfRule type="expression" dxfId="10063" priority="352">
      <formula>AND(C$9&gt;=8/24,C$9&lt;14/24)</formula>
    </cfRule>
    <cfRule type="expression" dxfId="10062" priority="353">
      <formula>C$9&lt;8/24</formula>
    </cfRule>
  </conditionalFormatting>
  <conditionalFormatting sqref="A233">
    <cfRule type="expression" dxfId="10061" priority="354">
      <formula>$AH233=0</formula>
    </cfRule>
  </conditionalFormatting>
  <conditionalFormatting sqref="AG245">
    <cfRule type="expression" dxfId="10060" priority="355">
      <formula>B$9&gt;=20/24</formula>
    </cfRule>
    <cfRule type="expression" dxfId="10059" priority="356">
      <formula>AND(B$9&gt;=14/24,B$9&lt;20/24)</formula>
    </cfRule>
    <cfRule type="expression" dxfId="10058" priority="357">
      <formula>AND(B$9&gt;=8/24,B$9&lt;14/24)</formula>
    </cfRule>
    <cfRule type="expression" dxfId="10057" priority="358">
      <formula>B$9&lt;8/24</formula>
    </cfRule>
  </conditionalFormatting>
  <conditionalFormatting sqref="S8">
    <cfRule type="expression" dxfId="10056" priority="323">
      <formula>U$9&gt;=20/24</formula>
    </cfRule>
    <cfRule type="expression" dxfId="10055" priority="324">
      <formula>AND(U$9&gt;=14/24,U$9&lt;20/24)</formula>
    </cfRule>
    <cfRule type="expression" dxfId="10054" priority="325">
      <formula>AND(U$9&gt;=8/24,U$9&lt;14/24)</formula>
    </cfRule>
    <cfRule type="expression" dxfId="10053" priority="326">
      <formula>U$9&lt;8/24</formula>
    </cfRule>
  </conditionalFormatting>
  <conditionalFormatting sqref="AB8">
    <cfRule type="expression" dxfId="10052" priority="319">
      <formula>AD$9&gt;=20/24</formula>
    </cfRule>
    <cfRule type="expression" dxfId="10051" priority="320">
      <formula>AND(AD$9&gt;=14/24,AD$9&lt;20/24)</formula>
    </cfRule>
    <cfRule type="expression" dxfId="10050" priority="321">
      <formula>AND(AD$9&gt;=8/24,AD$9&lt;14/24)</formula>
    </cfRule>
    <cfRule type="expression" dxfId="10049" priority="322">
      <formula>AD$9&lt;8/24</formula>
    </cfRule>
  </conditionalFormatting>
  <conditionalFormatting sqref="AH245:AX245">
    <cfRule type="expression" dxfId="10048" priority="359">
      <formula>AG$9&gt;=20/24</formula>
    </cfRule>
    <cfRule type="expression" dxfId="10047" priority="360">
      <formula>AND(AG$9&gt;=14/24,AG$9&lt;20/24)</formula>
    </cfRule>
    <cfRule type="expression" dxfId="10046" priority="361">
      <formula>AND(AG$9&gt;=8/24,AG$9&lt;14/24)</formula>
    </cfRule>
    <cfRule type="expression" dxfId="10045" priority="362">
      <formula>AG$9&lt;8/24</formula>
    </cfRule>
  </conditionalFormatting>
  <conditionalFormatting sqref="T245">
    <cfRule type="expression" dxfId="10044" priority="363">
      <formula>AX$9&gt;=20/24</formula>
    </cfRule>
    <cfRule type="expression" dxfId="10043" priority="364">
      <formula>AND(AX$9&gt;=14/24,AX$9&lt;20/24)</formula>
    </cfRule>
    <cfRule type="expression" dxfId="10042" priority="365">
      <formula>AND(AX$9&gt;=8/24,AX$9&lt;14/24)</formula>
    </cfRule>
    <cfRule type="expression" dxfId="10041" priority="366">
      <formula>AX$9&lt;8/24</formula>
    </cfRule>
  </conditionalFormatting>
  <conditionalFormatting sqref="A115:A116">
    <cfRule type="expression" dxfId="10040" priority="318">
      <formula>$AH115=0</formula>
    </cfRule>
  </conditionalFormatting>
  <conditionalFormatting sqref="M54:O57 P54:R58 S56:T58 U58:V58 E71:AF71 AD54:AF55">
    <cfRule type="expression" dxfId="10039" priority="314">
      <formula>E$9&gt;=20/24</formula>
    </cfRule>
    <cfRule type="expression" dxfId="10038" priority="315">
      <formula>AND(E$9&gt;=14/24,E$9&lt;20/24)</formula>
    </cfRule>
    <cfRule type="expression" dxfId="10037" priority="316">
      <formula>AND(E$9&gt;=8/24,E$9&lt;14/24)</formula>
    </cfRule>
    <cfRule type="expression" dxfId="10036" priority="317">
      <formula>E$9&lt;8/24</formula>
    </cfRule>
  </conditionalFormatting>
  <conditionalFormatting sqref="M53:R53 AD53:AF53">
    <cfRule type="expression" dxfId="10035" priority="310">
      <formula>M$9&gt;=20/24</formula>
    </cfRule>
    <cfRule type="expression" dxfId="10034" priority="311">
      <formula>AND(M$9&gt;=14/24,M$9&lt;20/24)</formula>
    </cfRule>
    <cfRule type="expression" dxfId="10033" priority="312">
      <formula>AND(M$9&gt;=8/24,M$9&lt;14/24)</formula>
    </cfRule>
    <cfRule type="expression" dxfId="10032" priority="313">
      <formula>M$9&lt;8/24</formula>
    </cfRule>
  </conditionalFormatting>
  <conditionalFormatting sqref="M53:O57 P53:R58 S56:T58 U58:V58 AD53:AF55">
    <cfRule type="expression" dxfId="10031" priority="309">
      <formula>M53&gt;$AG53</formula>
    </cfRule>
  </conditionalFormatting>
  <conditionalFormatting sqref="M100:X106 D86:AF86 X96:AF96 E72:AF73 X47:AF47 X67:AF69 Y74:AF74 AD100:AF106">
    <cfRule type="expression" dxfId="10030" priority="305">
      <formula>D$9&gt;=20/24</formula>
    </cfRule>
    <cfRule type="expression" dxfId="10029" priority="306">
      <formula>AND(D$9&gt;=14/24,D$9&lt;20/24)</formula>
    </cfRule>
    <cfRule type="expression" dxfId="10028" priority="307">
      <formula>AND(D$9&gt;=8/24,D$9&lt;14/24)</formula>
    </cfRule>
    <cfRule type="expression" dxfId="10027" priority="308">
      <formula>D$9&lt;8/24</formula>
    </cfRule>
  </conditionalFormatting>
  <conditionalFormatting sqref="X47:AF47 X67:AF69">
    <cfRule type="expression" dxfId="10026" priority="304">
      <formula>X47&gt;$AG47</formula>
    </cfRule>
  </conditionalFormatting>
  <conditionalFormatting sqref="S53:AA55 W58:Z58 U56:Z57 AA56:AA58 AB53:AC58 AD56:AF58">
    <cfRule type="expression" dxfId="10025" priority="300">
      <formula>S$9&gt;=20/24</formula>
    </cfRule>
    <cfRule type="expression" dxfId="10024" priority="301">
      <formula>AND(S$9&gt;=14/24,S$9&lt;20/24)</formula>
    </cfRule>
    <cfRule type="expression" dxfId="10023" priority="302">
      <formula>AND(S$9&gt;=8/24,S$9&lt;14/24)</formula>
    </cfRule>
    <cfRule type="expression" dxfId="10022" priority="303">
      <formula>S$9&lt;8/24</formula>
    </cfRule>
  </conditionalFormatting>
  <conditionalFormatting sqref="S53:AA55 W58:Z58 U56:Z57 AA56:AA58 AB53:AC58 AD56:AF58">
    <cfRule type="expression" dxfId="10021" priority="299">
      <formula>S53&gt;$AG53</formula>
    </cfRule>
  </conditionalFormatting>
  <conditionalFormatting sqref="C97:AF97 D88:AF88">
    <cfRule type="expression" dxfId="10020" priority="295">
      <formula>C$9&gt;=20/24</formula>
    </cfRule>
    <cfRule type="expression" dxfId="10019" priority="296">
      <formula>AND(C$9&gt;=14/24,C$9&lt;20/24)</formula>
    </cfRule>
    <cfRule type="expression" dxfId="10018" priority="297">
      <formula>AND(C$9&gt;=8/24,C$9&lt;14/24)</formula>
    </cfRule>
    <cfRule type="expression" dxfId="10017" priority="298">
      <formula>C$9&lt;8/24</formula>
    </cfRule>
  </conditionalFormatting>
  <conditionalFormatting sqref="T47:W47">
    <cfRule type="expression" dxfId="10016" priority="291">
      <formula>T$9&gt;=20/24</formula>
    </cfRule>
    <cfRule type="expression" dxfId="10015" priority="292">
      <formula>AND(T$9&gt;=14/24,T$9&lt;20/24)</formula>
    </cfRule>
    <cfRule type="expression" dxfId="10014" priority="293">
      <formula>AND(T$9&gt;=8/24,T$9&lt;14/24)</formula>
    </cfRule>
    <cfRule type="expression" dxfId="10013" priority="294">
      <formula>T$9&lt;8/24</formula>
    </cfRule>
  </conditionalFormatting>
  <conditionalFormatting sqref="T47:W47">
    <cfRule type="expression" dxfId="10012" priority="290">
      <formula>T47&gt;$AG47</formula>
    </cfRule>
  </conditionalFormatting>
  <conditionalFormatting sqref="E54:L55">
    <cfRule type="expression" dxfId="10011" priority="286">
      <formula>E$9&gt;=20/24</formula>
    </cfRule>
    <cfRule type="expression" dxfId="10010" priority="287">
      <formula>AND(E$9&gt;=14/24,E$9&lt;20/24)</formula>
    </cfRule>
    <cfRule type="expression" dxfId="10009" priority="288">
      <formula>AND(E$9&gt;=8/24,E$9&lt;14/24)</formula>
    </cfRule>
    <cfRule type="expression" dxfId="10008" priority="289">
      <formula>E$9&lt;8/24</formula>
    </cfRule>
  </conditionalFormatting>
  <conditionalFormatting sqref="E53:L53">
    <cfRule type="expression" dxfId="10007" priority="282">
      <formula>E$9&gt;=20/24</formula>
    </cfRule>
    <cfRule type="expression" dxfId="10006" priority="283">
      <formula>AND(E$9&gt;=14/24,E$9&lt;20/24)</formula>
    </cfRule>
    <cfRule type="expression" dxfId="10005" priority="284">
      <formula>AND(E$9&gt;=8/24,E$9&lt;14/24)</formula>
    </cfRule>
    <cfRule type="expression" dxfId="10004" priority="285">
      <formula>E$9&lt;8/24</formula>
    </cfRule>
  </conditionalFormatting>
  <conditionalFormatting sqref="E53:L55">
    <cfRule type="expression" dxfId="10003" priority="281">
      <formula>E53&gt;$AG53</formula>
    </cfRule>
  </conditionalFormatting>
  <conditionalFormatting sqref="AG70 AG87 E100:L106 Q67:W69">
    <cfRule type="expression" dxfId="10002" priority="277">
      <formula>E$9&gt;=20/24</formula>
    </cfRule>
    <cfRule type="expression" dxfId="10001" priority="278">
      <formula>AND(E$9&gt;=14/24,E$9&lt;20/24)</formula>
    </cfRule>
    <cfRule type="expression" dxfId="10000" priority="279">
      <formula>AND(E$9&gt;=8/24,E$9&lt;14/24)</formula>
    </cfRule>
    <cfRule type="expression" dxfId="9999" priority="280">
      <formula>E$9&lt;8/24</formula>
    </cfRule>
  </conditionalFormatting>
  <conditionalFormatting sqref="AG48 AG66 AG70 Q67:W69">
    <cfRule type="expression" dxfId="9998" priority="276">
      <formula>Q48&gt;$AG48</formula>
    </cfRule>
  </conditionalFormatting>
  <conditionalFormatting sqref="A43">
    <cfRule type="expression" dxfId="9997" priority="270">
      <formula>$AH43=0</formula>
    </cfRule>
  </conditionalFormatting>
  <conditionalFormatting sqref="X91:AF95">
    <cfRule type="expression" dxfId="9996" priority="266">
      <formula>X$9&gt;=20/24</formula>
    </cfRule>
    <cfRule type="expression" dxfId="9995" priority="267">
      <formula>AND(X$9&gt;=14/24,X$9&lt;20/24)</formula>
    </cfRule>
    <cfRule type="expression" dxfId="9994" priority="268">
      <formula>AND(X$9&gt;=8/24,X$9&lt;14/24)</formula>
    </cfRule>
    <cfRule type="expression" dxfId="9993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9992" priority="262">
      <formula>E$9&gt;=20/24</formula>
    </cfRule>
    <cfRule type="expression" dxfId="9991" priority="263">
      <formula>AND(E$9&gt;=14/24,E$9&lt;20/24)</formula>
    </cfRule>
    <cfRule type="expression" dxfId="9990" priority="264">
      <formula>AND(E$9&gt;=8/24,E$9&lt;14/24)</formula>
    </cfRule>
    <cfRule type="expression" dxfId="9989" priority="265">
      <formula>E$9&lt;8/24</formula>
    </cfRule>
  </conditionalFormatting>
  <conditionalFormatting sqref="E49:AF51">
    <cfRule type="expression" dxfId="9988" priority="261">
      <formula>E49&gt;$AG49</formula>
    </cfRule>
  </conditionalFormatting>
  <conditionalFormatting sqref="AG52">
    <cfRule type="expression" dxfId="9987" priority="257">
      <formula>AG$9&gt;=20/24</formula>
    </cfRule>
    <cfRule type="expression" dxfId="9986" priority="258">
      <formula>AND(AG$9&gt;=14/24,AG$9&lt;20/24)</formula>
    </cfRule>
    <cfRule type="expression" dxfId="9985" priority="259">
      <formula>AND(AG$9&gt;=8/24,AG$9&lt;14/24)</formula>
    </cfRule>
    <cfRule type="expression" dxfId="9984" priority="260">
      <formula>AG$9&lt;8/24</formula>
    </cfRule>
  </conditionalFormatting>
  <conditionalFormatting sqref="AG52">
    <cfRule type="expression" dxfId="9983" priority="256">
      <formula>AG52&gt;$AG52</formula>
    </cfRule>
  </conditionalFormatting>
  <conditionalFormatting sqref="C107:AF107">
    <cfRule type="expression" dxfId="9982" priority="252">
      <formula>C$9&gt;=20/24</formula>
    </cfRule>
    <cfRule type="expression" dxfId="9981" priority="253">
      <formula>AND(C$9&gt;=14/24,C$9&lt;20/24)</formula>
    </cfRule>
    <cfRule type="expression" dxfId="9980" priority="254">
      <formula>AND(C$9&gt;=8/24,C$9&lt;14/24)</formula>
    </cfRule>
    <cfRule type="expression" dxfId="9979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978" priority="250">
      <formula>$AH40=0</formula>
    </cfRule>
  </conditionalFormatting>
  <conditionalFormatting sqref="A90">
    <cfRule type="expression" dxfId="9977" priority="248">
      <formula>$AH90=0</formula>
    </cfRule>
  </conditionalFormatting>
  <conditionalFormatting sqref="A87">
    <cfRule type="expression" dxfId="9976" priority="249">
      <formula>$AH87=0</formula>
    </cfRule>
  </conditionalFormatting>
  <conditionalFormatting sqref="D110:AF110">
    <cfRule type="expression" dxfId="9975" priority="244">
      <formula>D$9&gt;=20/24</formula>
    </cfRule>
    <cfRule type="expression" dxfId="9974" priority="245">
      <formula>AND(D$9&gt;=14/24,D$9&lt;20/24)</formula>
    </cfRule>
    <cfRule type="expression" dxfId="9973" priority="246">
      <formula>AND(D$9&gt;=8/24,D$9&lt;14/24)</formula>
    </cfRule>
    <cfRule type="expression" dxfId="9972" priority="247">
      <formula>D$9&lt;8/24</formula>
    </cfRule>
  </conditionalFormatting>
  <conditionalFormatting sqref="A110">
    <cfRule type="expression" dxfId="9971" priority="243">
      <formula>$AH110=0</formula>
    </cfRule>
  </conditionalFormatting>
  <conditionalFormatting sqref="A21">
    <cfRule type="expression" dxfId="9970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969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9968" priority="235">
      <formula>Y$9&gt;=20/24</formula>
    </cfRule>
    <cfRule type="expression" dxfId="9967" priority="236">
      <formula>AND(Y$9&gt;=14/24,Y$9&lt;20/24)</formula>
    </cfRule>
    <cfRule type="expression" dxfId="9966" priority="237">
      <formula>AND(Y$9&gt;=8/24,Y$9&lt;14/24)</formula>
    </cfRule>
    <cfRule type="expression" dxfId="9965" priority="238">
      <formula>Y$9&lt;8/24</formula>
    </cfRule>
  </conditionalFormatting>
  <conditionalFormatting sqref="Y100:AC106">
    <cfRule type="expression" dxfId="9964" priority="231">
      <formula>Y$9&gt;=20/24</formula>
    </cfRule>
    <cfRule type="expression" dxfId="9963" priority="232">
      <formula>AND(Y$9&gt;=14/24,Y$9&lt;20/24)</formula>
    </cfRule>
    <cfRule type="expression" dxfId="9962" priority="233">
      <formula>AND(Y$9&gt;=8/24,Y$9&lt;14/24)</formula>
    </cfRule>
    <cfRule type="expression" dxfId="9961" priority="234">
      <formula>Y$9&lt;8/24</formula>
    </cfRule>
  </conditionalFormatting>
  <conditionalFormatting sqref="C109 C111:C116">
    <cfRule type="expression" dxfId="9960" priority="227">
      <formula>C$9&gt;=20/24</formula>
    </cfRule>
    <cfRule type="expression" dxfId="9959" priority="228">
      <formula>AND(C$9&gt;=14/24,C$9&lt;20/24)</formula>
    </cfRule>
    <cfRule type="expression" dxfId="9958" priority="229">
      <formula>AND(C$9&gt;=8/24,C$9&lt;14/24)</formula>
    </cfRule>
    <cfRule type="expression" dxfId="9957" priority="230">
      <formula>C$9&lt;8/24</formula>
    </cfRule>
  </conditionalFormatting>
  <conditionalFormatting sqref="C47:S47">
    <cfRule type="expression" dxfId="9956" priority="223">
      <formula>C$9&gt;=20/24</formula>
    </cfRule>
    <cfRule type="expression" dxfId="9955" priority="224">
      <formula>AND(C$9&gt;=14/24,C$9&lt;20/24)</formula>
    </cfRule>
    <cfRule type="expression" dxfId="9954" priority="225">
      <formula>AND(C$9&gt;=8/24,C$9&lt;14/24)</formula>
    </cfRule>
    <cfRule type="expression" dxfId="9953" priority="226">
      <formula>C$9&lt;8/24</formula>
    </cfRule>
  </conditionalFormatting>
  <conditionalFormatting sqref="C47:S47">
    <cfRule type="expression" dxfId="9952" priority="222">
      <formula>C47&gt;$AG47</formula>
    </cfRule>
  </conditionalFormatting>
  <conditionalFormatting sqref="C99:D99">
    <cfRule type="expression" dxfId="9951" priority="218">
      <formula>C$9&gt;=20/24</formula>
    </cfRule>
    <cfRule type="expression" dxfId="9950" priority="219">
      <formula>AND(C$9&gt;=14/24,C$9&lt;20/24)</formula>
    </cfRule>
    <cfRule type="expression" dxfId="9949" priority="220">
      <formula>AND(C$9&gt;=8/24,C$9&lt;14/24)</formula>
    </cfRule>
    <cfRule type="expression" dxfId="9948" priority="221">
      <formula>C$9&lt;8/24</formula>
    </cfRule>
  </conditionalFormatting>
  <conditionalFormatting sqref="C86 C96:W96 C100:D106 J67:P69 E74:X76 C83:AF85 Y75:AF76">
    <cfRule type="expression" dxfId="9947" priority="214">
      <formula>C$9&gt;=20/24</formula>
    </cfRule>
    <cfRule type="expression" dxfId="9946" priority="215">
      <formula>AND(C$9&gt;=14/24,C$9&lt;20/24)</formula>
    </cfRule>
    <cfRule type="expression" dxfId="9945" priority="216">
      <formula>AND(C$9&gt;=8/24,C$9&lt;14/24)</formula>
    </cfRule>
    <cfRule type="expression" dxfId="9944" priority="217">
      <formula>C$9&lt;8/24</formula>
    </cfRule>
  </conditionalFormatting>
  <conditionalFormatting sqref="E56:L57 J67:P69">
    <cfRule type="expression" dxfId="9943" priority="213">
      <formula>E56&gt;$AG56</formula>
    </cfRule>
  </conditionalFormatting>
  <conditionalFormatting sqref="E58:O58">
    <cfRule type="expression" dxfId="9942" priority="209">
      <formula>E$9&gt;=20/24</formula>
    </cfRule>
    <cfRule type="expression" dxfId="9941" priority="210">
      <formula>AND(E$9&gt;=14/24,E$9&lt;20/24)</formula>
    </cfRule>
    <cfRule type="expression" dxfId="9940" priority="211">
      <formula>AND(E$9&gt;=8/24,E$9&lt;14/24)</formula>
    </cfRule>
    <cfRule type="expression" dxfId="9939" priority="212">
      <formula>E$9&lt;8/24</formula>
    </cfRule>
  </conditionalFormatting>
  <conditionalFormatting sqref="E58:O58">
    <cfRule type="expression" dxfId="9938" priority="208">
      <formula>E58&gt;$AG58</formula>
    </cfRule>
  </conditionalFormatting>
  <conditionalFormatting sqref="B54:D57 B71:D71">
    <cfRule type="expression" dxfId="9937" priority="132">
      <formula>B$9&gt;=20/24</formula>
    </cfRule>
    <cfRule type="expression" dxfId="9936" priority="133">
      <formula>AND(B$9&gt;=14/24,B$9&lt;20/24)</formula>
    </cfRule>
    <cfRule type="expression" dxfId="9935" priority="134">
      <formula>AND(B$9&gt;=8/24,B$9&lt;14/24)</formula>
    </cfRule>
    <cfRule type="expression" dxfId="9934" priority="135">
      <formula>B$9&lt;8/24</formula>
    </cfRule>
  </conditionalFormatting>
  <conditionalFormatting sqref="Q46:AF46">
    <cfRule type="expression" dxfId="9933" priority="204">
      <formula>Q$9&gt;=20/24</formula>
    </cfRule>
    <cfRule type="expression" dxfId="9932" priority="205">
      <formula>AND(Q$9&gt;=14/24,Q$9&lt;20/24)</formula>
    </cfRule>
    <cfRule type="expression" dxfId="9931" priority="206">
      <formula>AND(Q$9&gt;=8/24,Q$9&lt;14/24)</formula>
    </cfRule>
    <cfRule type="expression" dxfId="9930" priority="207">
      <formula>Q$9&lt;8/24</formula>
    </cfRule>
  </conditionalFormatting>
  <conditionalFormatting sqref="Q46:AF46">
    <cfRule type="expression" dxfId="9929" priority="203">
      <formula>Q46&gt;$AG46</formula>
    </cfRule>
  </conditionalFormatting>
  <conditionalFormatting sqref="C98:AF98 C87:AF87 C89:AF89 C70:AF70">
    <cfRule type="expression" dxfId="9928" priority="199">
      <formula>C$9&gt;=20/24</formula>
    </cfRule>
    <cfRule type="expression" dxfId="9927" priority="200">
      <formula>AND(C$9&gt;=14/24,C$9&lt;20/24)</formula>
    </cfRule>
    <cfRule type="expression" dxfId="9926" priority="201">
      <formula>AND(C$9&gt;=8/24,C$9&lt;14/24)</formula>
    </cfRule>
    <cfRule type="expression" dxfId="9925" priority="202">
      <formula>C$9&lt;8/24</formula>
    </cfRule>
  </conditionalFormatting>
  <conditionalFormatting sqref="C70:AF70 C48:AF48 C65:AF66">
    <cfRule type="expression" dxfId="9924" priority="198">
      <formula>C48&gt;$AG48</formula>
    </cfRule>
  </conditionalFormatting>
  <conditionalFormatting sqref="C82:AF82">
    <cfRule type="expression" dxfId="9923" priority="194">
      <formula>C$9&gt;=20/24</formula>
    </cfRule>
    <cfRule type="expression" dxfId="9922" priority="195">
      <formula>AND(C$9&gt;=14/24,C$9&lt;20/24)</formula>
    </cfRule>
    <cfRule type="expression" dxfId="9921" priority="196">
      <formula>AND(C$9&gt;=8/24,C$9&lt;14/24)</formula>
    </cfRule>
    <cfRule type="expression" dxfId="9920" priority="197">
      <formula>C$9&lt;8/24</formula>
    </cfRule>
  </conditionalFormatting>
  <conditionalFormatting sqref="C91:W95">
    <cfRule type="expression" dxfId="9919" priority="190">
      <formula>C$9&gt;=20/24</formula>
    </cfRule>
    <cfRule type="expression" dxfId="9918" priority="191">
      <formula>AND(C$9&gt;=14/24,C$9&lt;20/24)</formula>
    </cfRule>
    <cfRule type="expression" dxfId="9917" priority="192">
      <formula>AND(C$9&gt;=8/24,C$9&lt;14/24)</formula>
    </cfRule>
    <cfRule type="expression" dxfId="9916" priority="193">
      <formula>C$9&lt;8/24</formula>
    </cfRule>
  </conditionalFormatting>
  <conditionalFormatting sqref="C52:AF52">
    <cfRule type="expression" dxfId="9915" priority="186">
      <formula>C$9&gt;=20/24</formula>
    </cfRule>
    <cfRule type="expression" dxfId="9914" priority="187">
      <formula>AND(C$9&gt;=14/24,C$9&lt;20/24)</formula>
    </cfRule>
    <cfRule type="expression" dxfId="9913" priority="188">
      <formula>AND(C$9&gt;=8/24,C$9&lt;14/24)</formula>
    </cfRule>
    <cfRule type="expression" dxfId="9912" priority="189">
      <formula>C$9&lt;8/24</formula>
    </cfRule>
  </conditionalFormatting>
  <conditionalFormatting sqref="C52:AF52">
    <cfRule type="expression" dxfId="9911" priority="185">
      <formula>C52&gt;$AG52</formula>
    </cfRule>
  </conditionalFormatting>
  <conditionalFormatting sqref="B49:D51">
    <cfRule type="expression" dxfId="9910" priority="100">
      <formula>B$9&gt;=20/24</formula>
    </cfRule>
    <cfRule type="expression" dxfId="9909" priority="101">
      <formula>AND(B$9&gt;=14/24,B$9&lt;20/24)</formula>
    </cfRule>
    <cfRule type="expression" dxfId="9908" priority="102">
      <formula>AND(B$9&gt;=8/24,B$9&lt;14/24)</formula>
    </cfRule>
    <cfRule type="expression" dxfId="9907" priority="103">
      <formula>B$9&lt;8/24</formula>
    </cfRule>
  </conditionalFormatting>
  <conditionalFormatting sqref="C110">
    <cfRule type="expression" dxfId="9906" priority="177">
      <formula>C$9&gt;=20/24</formula>
    </cfRule>
    <cfRule type="expression" dxfId="9905" priority="178">
      <formula>AND(C$9&gt;=14/24,C$9&lt;20/24)</formula>
    </cfRule>
    <cfRule type="expression" dxfId="9904" priority="179">
      <formula>AND(C$9&gt;=8/24,C$9&lt;14/24)</formula>
    </cfRule>
    <cfRule type="expression" dxfId="9903" priority="180">
      <formula>C$9&lt;8/24</formula>
    </cfRule>
  </conditionalFormatting>
  <conditionalFormatting sqref="I59:M60 E59:H59 J62:L64 I61:L61 M61:M64 N59:AF64">
    <cfRule type="expression" dxfId="9902" priority="173">
      <formula>E$9&gt;=20/24</formula>
    </cfRule>
    <cfRule type="expression" dxfId="9901" priority="174">
      <formula>AND(E$9&gt;=14/24,E$9&lt;20/24)</formula>
    </cfRule>
    <cfRule type="expression" dxfId="9900" priority="175">
      <formula>AND(E$9&gt;=8/24,E$9&lt;14/24)</formula>
    </cfRule>
    <cfRule type="expression" dxfId="9899" priority="176">
      <formula>E$9&lt;8/24</formula>
    </cfRule>
  </conditionalFormatting>
  <conditionalFormatting sqref="I59:M60 E59:H59 J62:L64 I61:L61 M61:M64 N59:AF64">
    <cfRule type="expression" dxfId="9898" priority="172">
      <formula>E59&gt;$AG59</formula>
    </cfRule>
  </conditionalFormatting>
  <conditionalFormatting sqref="E12:AF12">
    <cfRule type="expression" dxfId="9897" priority="167">
      <formula>E$9&gt;=20/24</formula>
    </cfRule>
    <cfRule type="expression" dxfId="9896" priority="168">
      <formula>AND(E$9&gt;=14/24,E$9&lt;20/24)</formula>
    </cfRule>
    <cfRule type="expression" dxfId="9895" priority="169">
      <formula>AND(E$9&gt;=8/24,E$9&lt;14/24)</formula>
    </cfRule>
    <cfRule type="expression" dxfId="9894" priority="170">
      <formula>E$9&lt;8/24</formula>
    </cfRule>
  </conditionalFormatting>
  <conditionalFormatting sqref="E12:AF12">
    <cfRule type="expression" dxfId="9893" priority="166">
      <formula>E12&gt;$AG12</formula>
    </cfRule>
  </conditionalFormatting>
  <conditionalFormatting sqref="E77:AF81">
    <cfRule type="expression" dxfId="9892" priority="154">
      <formula>E$9&gt;=20/24</formula>
    </cfRule>
    <cfRule type="expression" dxfId="9891" priority="155">
      <formula>AND(E$9&gt;=14/24,E$9&lt;20/24)</formula>
    </cfRule>
    <cfRule type="expression" dxfId="9890" priority="156">
      <formula>AND(E$9&gt;=8/24,E$9&lt;14/24)</formula>
    </cfRule>
    <cfRule type="expression" dxfId="9889" priority="157">
      <formula>E$9&lt;8/24</formula>
    </cfRule>
  </conditionalFormatting>
  <conditionalFormatting sqref="AL78:AN78 AL84:AN84 AN79:AN80">
    <cfRule type="expression" dxfId="9888" priority="150">
      <formula>AL$9&gt;=20/24</formula>
    </cfRule>
    <cfRule type="expression" dxfId="9887" priority="151">
      <formula>AND(AL$9&gt;=14/24,AL$9&lt;20/24)</formula>
    </cfRule>
    <cfRule type="expression" dxfId="9886" priority="152">
      <formula>AND(AL$9&gt;=8/24,AL$9&lt;14/24)</formula>
    </cfRule>
    <cfRule type="expression" dxfId="9885" priority="153">
      <formula>AL$9&lt;8/24</formula>
    </cfRule>
  </conditionalFormatting>
  <conditionalFormatting sqref="AN81:AN82">
    <cfRule type="expression" dxfId="9884" priority="146">
      <formula>AN$9&gt;=20/24</formula>
    </cfRule>
    <cfRule type="expression" dxfId="9883" priority="147">
      <formula>AND(AN$9&gt;=14/24,AN$9&lt;20/24)</formula>
    </cfRule>
    <cfRule type="expression" dxfId="9882" priority="148">
      <formula>AND(AN$9&gt;=8/24,AN$9&lt;14/24)</formula>
    </cfRule>
    <cfRule type="expression" dxfId="9881" priority="149">
      <formula>AN$9&lt;8/24</formula>
    </cfRule>
  </conditionalFormatting>
  <conditionalFormatting sqref="AL79:AM83">
    <cfRule type="expression" dxfId="9880" priority="368">
      <formula>AJ$9&gt;=20/24</formula>
    </cfRule>
    <cfRule type="expression" dxfId="9879" priority="369">
      <formula>AND(AJ$9&gt;=14/24,AJ$9&lt;20/24)</formula>
    </cfRule>
    <cfRule type="expression" dxfId="9878" priority="370">
      <formula>AND(AJ$9&gt;=8/24,AJ$9&lt;14/24)</formula>
    </cfRule>
    <cfRule type="expression" dxfId="9877" priority="371">
      <formula>AJ$9&lt;8/24</formula>
    </cfRule>
  </conditionalFormatting>
  <conditionalFormatting sqref="A117">
    <cfRule type="expression" dxfId="9876" priority="145">
      <formula>$AH117=0</formula>
    </cfRule>
  </conditionalFormatting>
  <conditionalFormatting sqref="B109 B111:B116 B12:D15 B45:AF45 E13:AF15 B17:AF32 B34:AF43">
    <cfRule type="expression" dxfId="9875" priority="141">
      <formula>B$9&gt;=20/24</formula>
    </cfRule>
    <cfRule type="expression" dxfId="9874" priority="142">
      <formula>AND(B$9&gt;=14/24,B$9&lt;20/24)</formula>
    </cfRule>
    <cfRule type="expression" dxfId="9873" priority="143">
      <formula>AND(B$9&gt;=8/24,B$9&lt;14/24)</formula>
    </cfRule>
    <cfRule type="expression" dxfId="9872" priority="144">
      <formula>B$9&lt;8/24</formula>
    </cfRule>
  </conditionalFormatting>
  <conditionalFormatting sqref="B12:D15 B45:AF45 E13:AF15 B17:AF32 B34:AF43">
    <cfRule type="expression" dxfId="9871" priority="140">
      <formula>B12&gt;$AG12</formula>
    </cfRule>
  </conditionalFormatting>
  <conditionalFormatting sqref="B99">
    <cfRule type="expression" dxfId="9870" priority="136">
      <formula>B$9&gt;=20/24</formula>
    </cfRule>
    <cfRule type="expression" dxfId="9869" priority="137">
      <formula>AND(B$9&gt;=14/24,B$9&lt;20/24)</formula>
    </cfRule>
    <cfRule type="expression" dxfId="9868" priority="138">
      <formula>AND(B$9&gt;=8/24,B$9&lt;14/24)</formula>
    </cfRule>
    <cfRule type="expression" dxfId="9867" priority="139">
      <formula>B$9&lt;8/24</formula>
    </cfRule>
  </conditionalFormatting>
  <conditionalFormatting sqref="B53:D53">
    <cfRule type="expression" dxfId="9866" priority="128">
      <formula>B$9&gt;=20/24</formula>
    </cfRule>
    <cfRule type="expression" dxfId="9865" priority="129">
      <formula>AND(B$9&gt;=14/24,B$9&lt;20/24)</formula>
    </cfRule>
    <cfRule type="expression" dxfId="9864" priority="130">
      <formula>AND(B$9&gt;=8/24,B$9&lt;14/24)</formula>
    </cfRule>
    <cfRule type="expression" dxfId="9863" priority="131">
      <formula>B$9&lt;8/24</formula>
    </cfRule>
  </conditionalFormatting>
  <conditionalFormatting sqref="B53:D57">
    <cfRule type="expression" dxfId="9862" priority="127">
      <formula>B53&gt;$AG53</formula>
    </cfRule>
  </conditionalFormatting>
  <conditionalFormatting sqref="B96 B100:B106 B86 B47 B72:D74 B67:I69">
    <cfRule type="expression" dxfId="9861" priority="123">
      <formula>B$9&gt;=20/24</formula>
    </cfRule>
    <cfRule type="expression" dxfId="9860" priority="124">
      <formula>AND(B$9&gt;=14/24,B$9&lt;20/24)</formula>
    </cfRule>
    <cfRule type="expression" dxfId="9859" priority="125">
      <formula>AND(B$9&gt;=8/24,B$9&lt;14/24)</formula>
    </cfRule>
    <cfRule type="expression" dxfId="9858" priority="126">
      <formula>B$9&lt;8/24</formula>
    </cfRule>
  </conditionalFormatting>
  <conditionalFormatting sqref="B47 B67:I69">
    <cfRule type="expression" dxfId="9857" priority="122">
      <formula>B47&gt;$AG47</formula>
    </cfRule>
  </conditionalFormatting>
  <conditionalFormatting sqref="B97 B88:C88">
    <cfRule type="expression" dxfId="9856" priority="118">
      <formula>B$9&gt;=20/24</formula>
    </cfRule>
    <cfRule type="expression" dxfId="9855" priority="119">
      <formula>AND(B$9&gt;=14/24,B$9&lt;20/24)</formula>
    </cfRule>
    <cfRule type="expression" dxfId="9854" priority="120">
      <formula>AND(B$9&gt;=8/24,B$9&lt;14/24)</formula>
    </cfRule>
    <cfRule type="expression" dxfId="9853" priority="121">
      <formula>B$9&lt;8/24</formula>
    </cfRule>
  </conditionalFormatting>
  <conditionalFormatting sqref="B46:P46">
    <cfRule type="expression" dxfId="9852" priority="114">
      <formula>B$9&gt;=20/24</formula>
    </cfRule>
    <cfRule type="expression" dxfId="9851" priority="115">
      <formula>AND(B$9&gt;=14/24,B$9&lt;20/24)</formula>
    </cfRule>
    <cfRule type="expression" dxfId="9850" priority="116">
      <formula>AND(B$9&gt;=8/24,B$9&lt;14/24)</formula>
    </cfRule>
    <cfRule type="expression" dxfId="9849" priority="117">
      <formula>B$9&lt;8/24</formula>
    </cfRule>
  </conditionalFormatting>
  <conditionalFormatting sqref="B46:P46">
    <cfRule type="expression" dxfId="9848" priority="113">
      <formula>B46&gt;$AG46</formula>
    </cfRule>
  </conditionalFormatting>
  <conditionalFormatting sqref="B58:D58">
    <cfRule type="expression" dxfId="9847" priority="109">
      <formula>B$9&gt;=20/24</formula>
    </cfRule>
    <cfRule type="expression" dxfId="9846" priority="110">
      <formula>AND(B$9&gt;=14/24,B$9&lt;20/24)</formula>
    </cfRule>
    <cfRule type="expression" dxfId="9845" priority="111">
      <formula>AND(B$9&gt;=8/24,B$9&lt;14/24)</formula>
    </cfRule>
    <cfRule type="expression" dxfId="9844" priority="112">
      <formula>B$9&lt;8/24</formula>
    </cfRule>
  </conditionalFormatting>
  <conditionalFormatting sqref="B58:D58">
    <cfRule type="expression" dxfId="9843" priority="108">
      <formula>B58&gt;$AG58</formula>
    </cfRule>
  </conditionalFormatting>
  <conditionalFormatting sqref="B91:B95">
    <cfRule type="expression" dxfId="9842" priority="104">
      <formula>B$9&gt;=20/24</formula>
    </cfRule>
    <cfRule type="expression" dxfId="9841" priority="105">
      <formula>AND(B$9&gt;=14/24,B$9&lt;20/24)</formula>
    </cfRule>
    <cfRule type="expression" dxfId="9840" priority="106">
      <formula>AND(B$9&gt;=8/24,B$9&lt;14/24)</formula>
    </cfRule>
    <cfRule type="expression" dxfId="9839" priority="107">
      <formula>B$9&lt;8/24</formula>
    </cfRule>
  </conditionalFormatting>
  <conditionalFormatting sqref="B49:D51">
    <cfRule type="expression" dxfId="9838" priority="99">
      <formula>B49&gt;$AG49</formula>
    </cfRule>
  </conditionalFormatting>
  <conditionalFormatting sqref="B107">
    <cfRule type="expression" dxfId="9837" priority="95">
      <formula>B$9&gt;=20/24</formula>
    </cfRule>
    <cfRule type="expression" dxfId="9836" priority="96">
      <formula>AND(B$9&gt;=14/24,B$9&lt;20/24)</formula>
    </cfRule>
    <cfRule type="expression" dxfId="9835" priority="97">
      <formula>AND(B$9&gt;=8/24,B$9&lt;14/24)</formula>
    </cfRule>
    <cfRule type="expression" dxfId="9834" priority="98">
      <formula>B$9&lt;8/24</formula>
    </cfRule>
  </conditionalFormatting>
  <conditionalFormatting sqref="B110">
    <cfRule type="expression" dxfId="9833" priority="91">
      <formula>B$9&gt;=20/24</formula>
    </cfRule>
    <cfRule type="expression" dxfId="9832" priority="92">
      <formula>AND(B$9&gt;=14/24,B$9&lt;20/24)</formula>
    </cfRule>
    <cfRule type="expression" dxfId="9831" priority="93">
      <formula>AND(B$9&gt;=8/24,B$9&lt;14/24)</formula>
    </cfRule>
    <cfRule type="expression" dxfId="9830" priority="94">
      <formula>B$9&lt;8/24</formula>
    </cfRule>
  </conditionalFormatting>
  <conditionalFormatting sqref="B83:B85 B75:D76">
    <cfRule type="expression" dxfId="9829" priority="87">
      <formula>B$9&gt;=20/24</formula>
    </cfRule>
    <cfRule type="expression" dxfId="9828" priority="88">
      <formula>AND(B$9&gt;=14/24,B$9&lt;20/24)</formula>
    </cfRule>
    <cfRule type="expression" dxfId="9827" priority="89">
      <formula>AND(B$9&gt;=8/24,B$9&lt;14/24)</formula>
    </cfRule>
    <cfRule type="expression" dxfId="9826" priority="90">
      <formula>B$9&lt;8/24</formula>
    </cfRule>
  </conditionalFormatting>
  <conditionalFormatting sqref="B89 B98 B70 B87">
    <cfRule type="expression" dxfId="9825" priority="83">
      <formula>B$9&gt;=20/24</formula>
    </cfRule>
    <cfRule type="expression" dxfId="9824" priority="84">
      <formula>AND(B$9&gt;=14/24,B$9&lt;20/24)</formula>
    </cfRule>
    <cfRule type="expression" dxfId="9823" priority="85">
      <formula>AND(B$9&gt;=8/24,B$9&lt;14/24)</formula>
    </cfRule>
    <cfRule type="expression" dxfId="9822" priority="86">
      <formula>B$9&lt;8/24</formula>
    </cfRule>
  </conditionalFormatting>
  <conditionalFormatting sqref="B48 B65:B66 B70">
    <cfRule type="expression" dxfId="9821" priority="82">
      <formula>B48&gt;$AG48</formula>
    </cfRule>
  </conditionalFormatting>
  <conditionalFormatting sqref="B82">
    <cfRule type="expression" dxfId="9820" priority="78">
      <formula>B$9&gt;=20/24</formula>
    </cfRule>
    <cfRule type="expression" dxfId="9819" priority="79">
      <formula>AND(B$9&gt;=14/24,B$9&lt;20/24)</formula>
    </cfRule>
    <cfRule type="expression" dxfId="9818" priority="80">
      <formula>AND(B$9&gt;=8/24,B$9&lt;14/24)</formula>
    </cfRule>
    <cfRule type="expression" dxfId="9817" priority="81">
      <formula>B$9&lt;8/24</formula>
    </cfRule>
  </conditionalFormatting>
  <conditionalFormatting sqref="B52">
    <cfRule type="expression" dxfId="9816" priority="74">
      <formula>B$9&gt;=20/24</formula>
    </cfRule>
    <cfRule type="expression" dxfId="9815" priority="75">
      <formula>AND(B$9&gt;=14/24,B$9&lt;20/24)</formula>
    </cfRule>
    <cfRule type="expression" dxfId="9814" priority="76">
      <formula>AND(B$9&gt;=8/24,B$9&lt;14/24)</formula>
    </cfRule>
    <cfRule type="expression" dxfId="9813" priority="77">
      <formula>B$9&lt;8/24</formula>
    </cfRule>
  </conditionalFormatting>
  <conditionalFormatting sqref="B52">
    <cfRule type="expression" dxfId="9812" priority="73">
      <formula>B52&gt;$AG52</formula>
    </cfRule>
  </conditionalFormatting>
  <conditionalFormatting sqref="B59:D60 E60:H60 B61:H64 I62:I64">
    <cfRule type="expression" dxfId="9811" priority="65">
      <formula>B$9&gt;=20/24</formula>
    </cfRule>
    <cfRule type="expression" dxfId="9810" priority="66">
      <formula>AND(B$9&gt;=14/24,B$9&lt;20/24)</formula>
    </cfRule>
    <cfRule type="expression" dxfId="9809" priority="67">
      <formula>AND(B$9&gt;=8/24,B$9&lt;14/24)</formula>
    </cfRule>
    <cfRule type="expression" dxfId="9808" priority="68">
      <formula>B$9&lt;8/24</formula>
    </cfRule>
  </conditionalFormatting>
  <conditionalFormatting sqref="B59:D60 E60:H60 B61:H64 I62:I64">
    <cfRule type="expression" dxfId="9807" priority="64">
      <formula>B59&gt;$AG59</formula>
    </cfRule>
  </conditionalFormatting>
  <conditionalFormatting sqref="B77:D81">
    <cfRule type="expression" dxfId="9806" priority="60">
      <formula>B$9&gt;=20/24</formula>
    </cfRule>
    <cfRule type="expression" dxfId="9805" priority="61">
      <formula>AND(B$9&gt;=14/24,B$9&lt;20/24)</formula>
    </cfRule>
    <cfRule type="expression" dxfId="9804" priority="62">
      <formula>AND(B$9&gt;=8/24,B$9&lt;14/24)</formula>
    </cfRule>
    <cfRule type="expression" dxfId="9803" priority="63">
      <formula>B$9&lt;8/24</formula>
    </cfRule>
  </conditionalFormatting>
  <conditionalFormatting sqref="A11">
    <cfRule type="expression" dxfId="9802" priority="59">
      <formula>$AH11=0</formula>
    </cfRule>
  </conditionalFormatting>
  <conditionalFormatting sqref="E11:AF11">
    <cfRule type="expression" dxfId="9801" priority="55">
      <formula>E$9&gt;=20/24</formula>
    </cfRule>
    <cfRule type="expression" dxfId="9800" priority="56">
      <formula>AND(E$9&gt;=14/24,E$9&lt;20/24)</formula>
    </cfRule>
    <cfRule type="expression" dxfId="9799" priority="57">
      <formula>AND(E$9&gt;=8/24,E$9&lt;14/24)</formula>
    </cfRule>
    <cfRule type="expression" dxfId="9798" priority="58">
      <formula>E$9&lt;8/24</formula>
    </cfRule>
  </conditionalFormatting>
  <conditionalFormatting sqref="E11:AF11">
    <cfRule type="expression" dxfId="9797" priority="54">
      <formula>E11&gt;$AG11</formula>
    </cfRule>
  </conditionalFormatting>
  <conditionalFormatting sqref="B11:D11">
    <cfRule type="expression" dxfId="9796" priority="50">
      <formula>B$9&gt;=20/24</formula>
    </cfRule>
    <cfRule type="expression" dxfId="9795" priority="51">
      <formula>AND(B$9&gt;=14/24,B$9&lt;20/24)</formula>
    </cfRule>
    <cfRule type="expression" dxfId="9794" priority="52">
      <formula>AND(B$9&gt;=8/24,B$9&lt;14/24)</formula>
    </cfRule>
    <cfRule type="expression" dxfId="9793" priority="53">
      <formula>B$9&lt;8/24</formula>
    </cfRule>
  </conditionalFormatting>
  <conditionalFormatting sqref="B11:D11">
    <cfRule type="expression" dxfId="9792" priority="49">
      <formula>B11&gt;$AG11</formula>
    </cfRule>
  </conditionalFormatting>
  <conditionalFormatting sqref="A16">
    <cfRule type="expression" dxfId="9791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9790" priority="38">
      <formula>B$9&gt;=20/24</formula>
    </cfRule>
    <cfRule type="expression" dxfId="9789" priority="39">
      <formula>AND(B$9&gt;=14/24,B$9&lt;20/24)</formula>
    </cfRule>
    <cfRule type="expression" dxfId="9788" priority="40">
      <formula>AND(B$9&gt;=8/24,B$9&lt;14/24)</formula>
    </cfRule>
    <cfRule type="expression" dxfId="9787" priority="41">
      <formula>B$9&lt;8/24</formula>
    </cfRule>
  </conditionalFormatting>
  <conditionalFormatting sqref="B16:AF16">
    <cfRule type="expression" dxfId="9786" priority="37">
      <formula>B16&gt;$AG16</formula>
    </cfRule>
  </conditionalFormatting>
  <conditionalFormatting sqref="A33">
    <cfRule type="expression" dxfId="9785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9784" priority="26">
      <formula>B$9&gt;=20/24</formula>
    </cfRule>
    <cfRule type="expression" dxfId="9783" priority="27">
      <formula>AND(B$9&gt;=14/24,B$9&lt;20/24)</formula>
    </cfRule>
    <cfRule type="expression" dxfId="9782" priority="28">
      <formula>AND(B$9&gt;=8/24,B$9&lt;14/24)</formula>
    </cfRule>
    <cfRule type="expression" dxfId="9781" priority="29">
      <formula>B$9&lt;8/24</formula>
    </cfRule>
  </conditionalFormatting>
  <conditionalFormatting sqref="B33:AF33">
    <cfRule type="expression" dxfId="9780" priority="25">
      <formula>B33&gt;$AG33</formula>
    </cfRule>
  </conditionalFormatting>
  <conditionalFormatting sqref="A44">
    <cfRule type="expression" dxfId="9779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9778" priority="14">
      <formula>B$9&gt;=20/24</formula>
    </cfRule>
    <cfRule type="expression" dxfId="9777" priority="15">
      <formula>AND(B$9&gt;=14/24,B$9&lt;20/24)</formula>
    </cfRule>
    <cfRule type="expression" dxfId="9776" priority="16">
      <formula>AND(B$9&gt;=8/24,B$9&lt;14/24)</formula>
    </cfRule>
    <cfRule type="expression" dxfId="9775" priority="17">
      <formula>B$9&lt;8/24</formula>
    </cfRule>
  </conditionalFormatting>
  <conditionalFormatting sqref="B44:AF44">
    <cfRule type="expression" dxfId="9774" priority="13">
      <formula>B44&gt;$AG44</formula>
    </cfRule>
  </conditionalFormatting>
  <conditionalFormatting sqref="B117">
    <cfRule type="expression" dxfId="9773" priority="1">
      <formula>B$9&gt;=20/24</formula>
    </cfRule>
    <cfRule type="expression" dxfId="9772" priority="2">
      <formula>AND(B$9&gt;=14/24,B$9&lt;20/24)</formula>
    </cfRule>
    <cfRule type="expression" dxfId="9771" priority="3">
      <formula>AND(B$9&gt;=8/24,B$9&lt;14/24)</formula>
    </cfRule>
    <cfRule type="expression" dxfId="9770" priority="4">
      <formula>B$9&lt;8/24</formula>
    </cfRule>
  </conditionalFormatting>
  <conditionalFormatting sqref="D117:AF117">
    <cfRule type="expression" dxfId="9769" priority="9">
      <formula>D$9&gt;=20/24</formula>
    </cfRule>
    <cfRule type="expression" dxfId="9768" priority="10">
      <formula>AND(D$9&gt;=14/24,D$9&lt;20/24)</formula>
    </cfRule>
    <cfRule type="expression" dxfId="9767" priority="11">
      <formula>AND(D$9&gt;=8/24,D$9&lt;14/24)</formula>
    </cfRule>
    <cfRule type="expression" dxfId="9766" priority="12">
      <formula>D$9&lt;8/24</formula>
    </cfRule>
  </conditionalFormatting>
  <conditionalFormatting sqref="C117">
    <cfRule type="expression" dxfId="9765" priority="5">
      <formula>C$9&gt;=20/24</formula>
    </cfRule>
    <cfRule type="expression" dxfId="9764" priority="6">
      <formula>AND(C$9&gt;=14/24,C$9&lt;20/24)</formula>
    </cfRule>
    <cfRule type="expression" dxfId="9763" priority="7">
      <formula>AND(C$9&gt;=8/24,C$9&lt;14/24)</formula>
    </cfRule>
    <cfRule type="expression" dxfId="9762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FB776D07-C68A-4FBE-8C3D-96E1E1A1E59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7F464982-5143-4907-916B-F087774E07E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836478F5-968E-4943-9951-A35FAABC3AF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15FE5196-7B84-4422-A60F-AC4F135165D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2931BDC7-088F-453D-AE01-D5FE21B6A47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D25CD949-10FE-4467-BD5E-2D7C2F5E5FF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C697FCB6-7984-434E-906E-DAC87CA515F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1178EBAA-D7A5-4304-94F0-A2933A53FA4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60" zoomScaleNormal="60" workbookViewId="0">
      <pane ySplit="10" topLeftCell="A68" activePane="bottomLeft" state="frozen"/>
      <selection activeCell="Z85" sqref="Z85"/>
      <selection pane="bottomLeft" activeCell="T115" sqref="T115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2079/12/7</v>
      </c>
      <c r="C4" s="196"/>
      <c r="D4" s="196"/>
      <c r="E4" s="197" t="str">
        <f ca="1">"2079/"&amp;"12/"&amp;INT(MID(CELL("filename",G6),FIND("]",CELL("filename",G6))+1,200))</f>
        <v>2079/12/7</v>
      </c>
      <c r="F4" s="197"/>
      <c r="G4" s="197"/>
      <c r="H4" s="197" t="str">
        <f ca="1">TEXT(E4,"dddd")</f>
        <v>Thursday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292</v>
      </c>
      <c r="C5" s="33">
        <f t="shared" si="0"/>
        <v>292</v>
      </c>
      <c r="D5" s="33">
        <f t="shared" si="0"/>
        <v>279</v>
      </c>
      <c r="E5" s="33">
        <f t="shared" si="0"/>
        <v>246</v>
      </c>
      <c r="F5" s="33">
        <f t="shared" si="0"/>
        <v>282</v>
      </c>
      <c r="G5" s="33">
        <f t="shared" si="0"/>
        <v>311</v>
      </c>
      <c r="H5" s="33">
        <f t="shared" si="0"/>
        <v>338</v>
      </c>
      <c r="I5" s="33">
        <f t="shared" si="0"/>
        <v>372.2</v>
      </c>
      <c r="J5" s="33">
        <f t="shared" si="0"/>
        <v>350</v>
      </c>
      <c r="K5" s="33">
        <f t="shared" si="0"/>
        <v>358</v>
      </c>
      <c r="L5" s="33">
        <f t="shared" si="0"/>
        <v>362.7</v>
      </c>
      <c r="M5" s="33">
        <f t="shared" si="0"/>
        <v>458.40000000000003</v>
      </c>
      <c r="N5" s="33">
        <f t="shared" si="0"/>
        <v>477.4</v>
      </c>
      <c r="O5" s="33">
        <f t="shared" si="0"/>
        <v>449</v>
      </c>
      <c r="P5" s="33">
        <f t="shared" si="0"/>
        <v>468.79999999999995</v>
      </c>
      <c r="Q5" s="33">
        <f t="shared" si="0"/>
        <v>474.6</v>
      </c>
      <c r="R5" s="33">
        <f t="shared" si="0"/>
        <v>466.8</v>
      </c>
      <c r="S5" s="33">
        <f t="shared" si="0"/>
        <v>438.59999999999997</v>
      </c>
      <c r="T5" s="33">
        <f t="shared" si="0"/>
        <v>489.1</v>
      </c>
      <c r="U5" s="33">
        <f t="shared" si="0"/>
        <v>425.5</v>
      </c>
      <c r="V5" s="33">
        <f t="shared" si="0"/>
        <v>448</v>
      </c>
      <c r="W5" s="33">
        <f t="shared" si="0"/>
        <v>455.00000000000006</v>
      </c>
      <c r="X5" s="33">
        <f t="shared" si="0"/>
        <v>428.3</v>
      </c>
      <c r="Y5" s="33">
        <f t="shared" si="0"/>
        <v>437.7</v>
      </c>
      <c r="Z5" s="33">
        <f t="shared" si="0"/>
        <v>369.8</v>
      </c>
      <c r="AA5" s="33">
        <f t="shared" si="0"/>
        <v>363.70000000000005</v>
      </c>
      <c r="AB5" s="33">
        <f t="shared" si="0"/>
        <v>354.3</v>
      </c>
      <c r="AC5" s="33">
        <f t="shared" si="0"/>
        <v>380.20000000000005</v>
      </c>
      <c r="AD5" s="33">
        <f t="shared" si="0"/>
        <v>276.60000000000002</v>
      </c>
      <c r="AE5" s="33">
        <f t="shared" si="0"/>
        <v>291.90000000000003</v>
      </c>
      <c r="AF5" s="33">
        <f>B82</f>
        <v>341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1238MW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Load=733</v>
      </c>
      <c r="B7" s="38">
        <f t="shared" ref="B7:AF7" si="1">B89</f>
        <v>888.04</v>
      </c>
      <c r="C7" s="38">
        <f t="shared" si="1"/>
        <v>820.04</v>
      </c>
      <c r="D7" s="38">
        <f t="shared" si="1"/>
        <v>809.04</v>
      </c>
      <c r="E7" s="38">
        <f t="shared" si="1"/>
        <v>779.04</v>
      </c>
      <c r="F7" s="38">
        <f t="shared" si="1"/>
        <v>733.33999999999992</v>
      </c>
      <c r="G7" s="38">
        <f t="shared" si="1"/>
        <v>776.14</v>
      </c>
      <c r="H7" s="38">
        <f t="shared" si="1"/>
        <v>859.64</v>
      </c>
      <c r="I7" s="38">
        <f t="shared" si="1"/>
        <v>889.94</v>
      </c>
      <c r="J7" s="38">
        <f t="shared" si="1"/>
        <v>949.1400000000001</v>
      </c>
      <c r="K7" s="38">
        <f t="shared" si="1"/>
        <v>976.94</v>
      </c>
      <c r="L7" s="38">
        <f t="shared" si="1"/>
        <v>1079.94</v>
      </c>
      <c r="M7" s="38">
        <f t="shared" si="1"/>
        <v>1204.74</v>
      </c>
      <c r="N7" s="38">
        <f>N89</f>
        <v>1237.6399999999999</v>
      </c>
      <c r="O7" s="38">
        <f t="shared" si="1"/>
        <v>1187.3399999999999</v>
      </c>
      <c r="P7" s="38">
        <f t="shared" si="1"/>
        <v>1195.74</v>
      </c>
      <c r="Q7" s="38">
        <f t="shared" si="1"/>
        <v>1188.6399999999999</v>
      </c>
      <c r="R7" s="38">
        <f t="shared" si="1"/>
        <v>1186.8399999999999</v>
      </c>
      <c r="S7" s="38">
        <f t="shared" si="1"/>
        <v>1209.1399999999999</v>
      </c>
      <c r="T7" s="38">
        <f t="shared" si="1"/>
        <v>1214.8399999999999</v>
      </c>
      <c r="U7" s="38">
        <f t="shared" si="1"/>
        <v>1277.2399999999998</v>
      </c>
      <c r="V7" s="38">
        <f t="shared" si="1"/>
        <v>1179.54</v>
      </c>
      <c r="W7" s="38">
        <f t="shared" si="1"/>
        <v>1167.24</v>
      </c>
      <c r="X7" s="38">
        <f t="shared" si="1"/>
        <v>1231.04</v>
      </c>
      <c r="Y7" s="38">
        <f t="shared" si="1"/>
        <v>1329.34</v>
      </c>
      <c r="Z7" s="38">
        <f t="shared" si="1"/>
        <v>1353.04</v>
      </c>
      <c r="AA7" s="38">
        <f t="shared" si="1"/>
        <v>1312.2399999999998</v>
      </c>
      <c r="AB7" s="38">
        <f t="shared" si="1"/>
        <v>1277.04</v>
      </c>
      <c r="AC7" s="38">
        <f t="shared" si="1"/>
        <v>1203.8399999999999</v>
      </c>
      <c r="AD7" s="38">
        <f t="shared" si="1"/>
        <v>1182.54</v>
      </c>
      <c r="AE7" s="38">
        <f t="shared" si="1"/>
        <v>1031.2399999999998</v>
      </c>
      <c r="AF7" s="38">
        <f t="shared" si="1"/>
        <v>970.6400000000001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26</v>
      </c>
      <c r="C11" s="50">
        <v>26</v>
      </c>
      <c r="D11" s="50">
        <v>26</v>
      </c>
      <c r="E11" s="50">
        <v>26</v>
      </c>
      <c r="F11" s="50">
        <v>26</v>
      </c>
      <c r="G11" s="50">
        <v>26</v>
      </c>
      <c r="H11" s="50">
        <v>26</v>
      </c>
      <c r="I11" s="50">
        <v>26</v>
      </c>
      <c r="J11" s="50">
        <v>26</v>
      </c>
      <c r="K11" s="50">
        <v>26</v>
      </c>
      <c r="L11" s="50">
        <v>26</v>
      </c>
      <c r="M11" s="50">
        <v>29</v>
      </c>
      <c r="N11" s="50">
        <v>29</v>
      </c>
      <c r="O11" s="50">
        <v>29</v>
      </c>
      <c r="P11" s="50">
        <v>29</v>
      </c>
      <c r="Q11" s="50">
        <v>29</v>
      </c>
      <c r="R11" s="50">
        <v>29</v>
      </c>
      <c r="S11" s="50">
        <v>29</v>
      </c>
      <c r="T11" s="50">
        <v>29</v>
      </c>
      <c r="U11" s="50">
        <v>29</v>
      </c>
      <c r="V11" s="50">
        <v>29</v>
      </c>
      <c r="W11" s="50">
        <v>29</v>
      </c>
      <c r="X11" s="50">
        <v>29</v>
      </c>
      <c r="Y11" s="50">
        <v>29</v>
      </c>
      <c r="Z11" s="50">
        <v>29</v>
      </c>
      <c r="AA11" s="50">
        <v>29</v>
      </c>
      <c r="AB11" s="50">
        <v>29</v>
      </c>
      <c r="AC11" s="50">
        <v>29</v>
      </c>
      <c r="AD11" s="50">
        <v>28</v>
      </c>
      <c r="AE11" s="50">
        <v>28</v>
      </c>
      <c r="AF11" s="50">
        <v>28</v>
      </c>
      <c r="AG11" s="51">
        <v>86</v>
      </c>
      <c r="AH11" s="52">
        <f t="shared" ref="AH11:AH74" si="2">MAX(B11:AF11)</f>
        <v>29</v>
      </c>
      <c r="AI11" s="53">
        <f t="shared" ref="AI11:AI74" si="3">MIN(B11:AF11)</f>
        <v>26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18</v>
      </c>
      <c r="C12" s="50">
        <v>18</v>
      </c>
      <c r="D12" s="50">
        <v>18</v>
      </c>
      <c r="E12" s="50">
        <v>18</v>
      </c>
      <c r="F12" s="50">
        <v>18</v>
      </c>
      <c r="G12" s="50">
        <v>18</v>
      </c>
      <c r="H12" s="50">
        <v>18</v>
      </c>
      <c r="I12" s="50">
        <v>18</v>
      </c>
      <c r="J12" s="50">
        <v>18</v>
      </c>
      <c r="K12" s="50">
        <v>18</v>
      </c>
      <c r="L12" s="50">
        <v>18</v>
      </c>
      <c r="M12" s="50">
        <v>21.5</v>
      </c>
      <c r="N12" s="50">
        <v>19.100000000000001</v>
      </c>
      <c r="O12" s="50">
        <v>19.100000000000001</v>
      </c>
      <c r="P12" s="50">
        <v>19.100000000000001</v>
      </c>
      <c r="Q12" s="50">
        <v>19.100000000000001</v>
      </c>
      <c r="R12" s="50">
        <v>19.100000000000001</v>
      </c>
      <c r="S12" s="50">
        <v>19.100000000000001</v>
      </c>
      <c r="T12" s="50">
        <v>19.100000000000001</v>
      </c>
      <c r="U12" s="50">
        <v>19.100000000000001</v>
      </c>
      <c r="V12" s="50">
        <v>19.100000000000001</v>
      </c>
      <c r="W12" s="50">
        <v>19.100000000000001</v>
      </c>
      <c r="X12" s="50">
        <v>19.100000000000001</v>
      </c>
      <c r="Y12" s="50">
        <v>19.100000000000001</v>
      </c>
      <c r="Z12" s="50">
        <v>19.100000000000001</v>
      </c>
      <c r="AA12" s="50">
        <v>17.100000000000001</v>
      </c>
      <c r="AB12" s="50">
        <v>17.100000000000001</v>
      </c>
      <c r="AC12" s="50">
        <v>17.100000000000001</v>
      </c>
      <c r="AD12" s="50">
        <v>17.100000000000001</v>
      </c>
      <c r="AE12" s="50">
        <v>17</v>
      </c>
      <c r="AF12" s="50">
        <v>20</v>
      </c>
      <c r="AG12" s="51">
        <v>52.4</v>
      </c>
      <c r="AH12" s="52">
        <f t="shared" si="2"/>
        <v>21.5</v>
      </c>
      <c r="AI12" s="53">
        <f t="shared" si="3"/>
        <v>17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30</v>
      </c>
      <c r="C13" s="50">
        <v>31</v>
      </c>
      <c r="D13" s="50">
        <v>33</v>
      </c>
      <c r="E13" s="50">
        <v>36</v>
      </c>
      <c r="F13" s="50">
        <v>36</v>
      </c>
      <c r="G13" s="50">
        <v>36</v>
      </c>
      <c r="H13" s="50">
        <v>36</v>
      </c>
      <c r="I13" s="50">
        <v>36</v>
      </c>
      <c r="J13" s="50">
        <v>36</v>
      </c>
      <c r="K13" s="50">
        <v>36</v>
      </c>
      <c r="L13" s="50">
        <v>36</v>
      </c>
      <c r="M13" s="50">
        <v>39.9</v>
      </c>
      <c r="N13" s="50">
        <v>39.6</v>
      </c>
      <c r="O13" s="50">
        <v>39.6</v>
      </c>
      <c r="P13" s="50">
        <v>39.6</v>
      </c>
      <c r="Q13" s="50">
        <v>39.6</v>
      </c>
      <c r="R13" s="50">
        <v>39.6</v>
      </c>
      <c r="S13" s="50">
        <v>39.6</v>
      </c>
      <c r="T13" s="50">
        <v>39.6</v>
      </c>
      <c r="U13" s="50">
        <v>39.6</v>
      </c>
      <c r="V13" s="50">
        <v>39.6</v>
      </c>
      <c r="W13" s="50">
        <v>39.6</v>
      </c>
      <c r="X13" s="50">
        <v>39.6</v>
      </c>
      <c r="Y13" s="50">
        <v>39.6</v>
      </c>
      <c r="Z13" s="50">
        <v>39.6</v>
      </c>
      <c r="AA13" s="50">
        <v>32.1</v>
      </c>
      <c r="AB13" s="50">
        <v>32.1</v>
      </c>
      <c r="AC13" s="50">
        <v>0</v>
      </c>
      <c r="AD13" s="50">
        <v>0</v>
      </c>
      <c r="AE13" s="50">
        <v>0</v>
      </c>
      <c r="AF13" s="50">
        <v>0</v>
      </c>
      <c r="AG13" s="55">
        <v>50</v>
      </c>
      <c r="AH13" s="52">
        <f t="shared" si="2"/>
        <v>39.9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15.4</v>
      </c>
      <c r="C14" s="50">
        <v>15.4</v>
      </c>
      <c r="D14" s="50">
        <v>15.4</v>
      </c>
      <c r="E14" s="50">
        <v>15.4</v>
      </c>
      <c r="F14" s="50">
        <v>15.4</v>
      </c>
      <c r="G14" s="50">
        <v>15.4</v>
      </c>
      <c r="H14" s="50">
        <v>15.4</v>
      </c>
      <c r="I14" s="50">
        <v>15.4</v>
      </c>
      <c r="J14" s="50">
        <v>15.4</v>
      </c>
      <c r="K14" s="50">
        <v>15.4</v>
      </c>
      <c r="L14" s="50">
        <v>15.4</v>
      </c>
      <c r="M14" s="50">
        <v>18.2</v>
      </c>
      <c r="N14" s="50">
        <v>15.8</v>
      </c>
      <c r="O14" s="50">
        <v>15.8</v>
      </c>
      <c r="P14" s="50">
        <v>15.8</v>
      </c>
      <c r="Q14" s="50">
        <v>15.8</v>
      </c>
      <c r="R14" s="50">
        <v>15.8</v>
      </c>
      <c r="S14" s="50">
        <v>15.8</v>
      </c>
      <c r="T14" s="50">
        <v>15.8</v>
      </c>
      <c r="U14" s="50">
        <v>15.8</v>
      </c>
      <c r="V14" s="50">
        <v>15.8</v>
      </c>
      <c r="W14" s="50">
        <v>15.8</v>
      </c>
      <c r="X14" s="50">
        <v>15.8</v>
      </c>
      <c r="Y14" s="50">
        <v>15.8</v>
      </c>
      <c r="Z14" s="50">
        <v>15.8</v>
      </c>
      <c r="AA14" s="50">
        <v>16.7</v>
      </c>
      <c r="AB14" s="50">
        <v>16.7</v>
      </c>
      <c r="AC14" s="50">
        <v>16.7</v>
      </c>
      <c r="AD14" s="50">
        <v>19</v>
      </c>
      <c r="AE14" s="50">
        <v>18.8</v>
      </c>
      <c r="AF14" s="50">
        <v>18.899999999999999</v>
      </c>
      <c r="AG14" s="55">
        <v>45</v>
      </c>
      <c r="AH14" s="52">
        <f t="shared" si="2"/>
        <v>19</v>
      </c>
      <c r="AI14" s="53">
        <f t="shared" si="3"/>
        <v>15.4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8.5</v>
      </c>
      <c r="C15" s="50">
        <v>8.5</v>
      </c>
      <c r="D15" s="50">
        <v>8.5</v>
      </c>
      <c r="E15" s="50">
        <v>8.5</v>
      </c>
      <c r="F15" s="50">
        <v>8.5</v>
      </c>
      <c r="G15" s="50">
        <v>8.5</v>
      </c>
      <c r="H15" s="50">
        <v>8.5</v>
      </c>
      <c r="I15" s="50">
        <v>8.5</v>
      </c>
      <c r="J15" s="50">
        <v>8.5</v>
      </c>
      <c r="K15" s="50">
        <v>8.5</v>
      </c>
      <c r="L15" s="50">
        <v>8.5</v>
      </c>
      <c r="M15" s="50">
        <v>9.5</v>
      </c>
      <c r="N15" s="50">
        <v>9.5</v>
      </c>
      <c r="O15" s="50">
        <v>9.5</v>
      </c>
      <c r="P15" s="50">
        <v>9.5</v>
      </c>
      <c r="Q15" s="50">
        <v>9.5</v>
      </c>
      <c r="R15" s="50">
        <v>9.5</v>
      </c>
      <c r="S15" s="50">
        <v>9.5</v>
      </c>
      <c r="T15" s="50">
        <v>9.5</v>
      </c>
      <c r="U15" s="50">
        <v>9.5</v>
      </c>
      <c r="V15" s="50">
        <v>9.5</v>
      </c>
      <c r="W15" s="50">
        <v>9.5</v>
      </c>
      <c r="X15" s="50">
        <v>9.5</v>
      </c>
      <c r="Y15" s="50">
        <v>9.5</v>
      </c>
      <c r="Z15" s="50">
        <v>9.5</v>
      </c>
      <c r="AA15" s="50">
        <v>10</v>
      </c>
      <c r="AB15" s="50">
        <v>10</v>
      </c>
      <c r="AC15" s="50">
        <v>10</v>
      </c>
      <c r="AD15" s="50">
        <v>10</v>
      </c>
      <c r="AE15" s="50">
        <v>10</v>
      </c>
      <c r="AF15" s="50">
        <v>11</v>
      </c>
      <c r="AG15" s="55">
        <v>42</v>
      </c>
      <c r="AH15" s="52">
        <f t="shared" si="2"/>
        <v>11</v>
      </c>
      <c r="AI15" s="53">
        <f t="shared" si="3"/>
        <v>8.5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7.8</v>
      </c>
      <c r="C18" s="50">
        <v>7.8</v>
      </c>
      <c r="D18" s="50">
        <v>7.8</v>
      </c>
      <c r="E18" s="50">
        <v>7.8</v>
      </c>
      <c r="F18" s="50">
        <v>7.8</v>
      </c>
      <c r="G18" s="50">
        <v>7.8</v>
      </c>
      <c r="H18" s="50">
        <v>7.8</v>
      </c>
      <c r="I18" s="50">
        <v>7.8</v>
      </c>
      <c r="J18" s="50">
        <v>7.8</v>
      </c>
      <c r="K18" s="50">
        <v>7.8</v>
      </c>
      <c r="L18" s="50">
        <v>7.8</v>
      </c>
      <c r="M18" s="50">
        <v>13.4</v>
      </c>
      <c r="N18" s="50">
        <v>11.1</v>
      </c>
      <c r="O18" s="50">
        <v>11.1</v>
      </c>
      <c r="P18" s="50">
        <v>11.1</v>
      </c>
      <c r="Q18" s="50">
        <v>11.1</v>
      </c>
      <c r="R18" s="50">
        <v>11.1</v>
      </c>
      <c r="S18" s="50">
        <v>11.1</v>
      </c>
      <c r="T18" s="50">
        <v>11.1</v>
      </c>
      <c r="U18" s="50">
        <v>11.1</v>
      </c>
      <c r="V18" s="50">
        <v>11.1</v>
      </c>
      <c r="W18" s="50">
        <v>11.1</v>
      </c>
      <c r="X18" s="50">
        <v>11.1</v>
      </c>
      <c r="Y18" s="50">
        <v>11.1</v>
      </c>
      <c r="Z18" s="50">
        <v>11.1</v>
      </c>
      <c r="AA18" s="50">
        <v>9.5</v>
      </c>
      <c r="AB18" s="50">
        <v>9.5</v>
      </c>
      <c r="AC18" s="50">
        <v>9.5</v>
      </c>
      <c r="AD18" s="50">
        <v>9.5</v>
      </c>
      <c r="AE18" s="50">
        <v>9.5</v>
      </c>
      <c r="AF18" s="50">
        <v>9.6999999999999993</v>
      </c>
      <c r="AG18" s="56">
        <v>30</v>
      </c>
      <c r="AH18" s="52">
        <f t="shared" si="2"/>
        <v>13.4</v>
      </c>
      <c r="AI18" s="53">
        <f t="shared" si="3"/>
        <v>7.8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9</v>
      </c>
      <c r="N19" s="50">
        <v>9</v>
      </c>
      <c r="O19" s="50">
        <v>9</v>
      </c>
      <c r="P19" s="50">
        <v>9</v>
      </c>
      <c r="Q19" s="50">
        <v>9</v>
      </c>
      <c r="R19" s="50">
        <v>9</v>
      </c>
      <c r="S19" s="50">
        <v>9</v>
      </c>
      <c r="T19" s="50">
        <v>9</v>
      </c>
      <c r="U19" s="50">
        <v>9</v>
      </c>
      <c r="V19" s="50">
        <v>9</v>
      </c>
      <c r="W19" s="50">
        <v>9</v>
      </c>
      <c r="X19" s="50">
        <v>9</v>
      </c>
      <c r="Y19" s="50">
        <v>9</v>
      </c>
      <c r="Z19" s="50">
        <v>9</v>
      </c>
      <c r="AA19" s="50">
        <v>8</v>
      </c>
      <c r="AB19" s="50">
        <v>8</v>
      </c>
      <c r="AC19" s="50">
        <v>8</v>
      </c>
      <c r="AD19" s="50">
        <v>9.9</v>
      </c>
      <c r="AE19" s="50">
        <v>10</v>
      </c>
      <c r="AF19" s="50">
        <v>10</v>
      </c>
      <c r="AG19" s="55">
        <v>24.2</v>
      </c>
      <c r="AH19" s="52">
        <f t="shared" si="2"/>
        <v>10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9</v>
      </c>
      <c r="C22" s="50">
        <v>9</v>
      </c>
      <c r="D22" s="50">
        <v>9</v>
      </c>
      <c r="E22" s="50">
        <v>9</v>
      </c>
      <c r="F22" s="50">
        <v>9</v>
      </c>
      <c r="G22" s="50">
        <v>9</v>
      </c>
      <c r="H22" s="50">
        <v>9</v>
      </c>
      <c r="I22" s="50">
        <v>9</v>
      </c>
      <c r="J22" s="50">
        <v>9</v>
      </c>
      <c r="K22" s="50">
        <v>9</v>
      </c>
      <c r="L22" s="50">
        <v>9</v>
      </c>
      <c r="M22" s="50">
        <v>11.1</v>
      </c>
      <c r="N22" s="50">
        <v>11.2</v>
      </c>
      <c r="O22" s="50">
        <v>11.2</v>
      </c>
      <c r="P22" s="50">
        <v>11.2</v>
      </c>
      <c r="Q22" s="50">
        <v>11.2</v>
      </c>
      <c r="R22" s="50">
        <v>11.2</v>
      </c>
      <c r="S22" s="50">
        <v>11.2</v>
      </c>
      <c r="T22" s="50">
        <v>11.2</v>
      </c>
      <c r="U22" s="50">
        <v>11.2</v>
      </c>
      <c r="V22" s="50">
        <v>11.2</v>
      </c>
      <c r="W22" s="50">
        <v>11.2</v>
      </c>
      <c r="X22" s="50">
        <v>11.2</v>
      </c>
      <c r="Y22" s="50">
        <v>11.2</v>
      </c>
      <c r="Z22" s="50">
        <v>11.2</v>
      </c>
      <c r="AA22" s="50">
        <v>10.5</v>
      </c>
      <c r="AB22" s="50">
        <v>10.5</v>
      </c>
      <c r="AC22" s="50">
        <v>10.5</v>
      </c>
      <c r="AD22" s="50">
        <v>10.9</v>
      </c>
      <c r="AE22" s="50">
        <v>13.2</v>
      </c>
      <c r="AF22" s="50">
        <v>13.2</v>
      </c>
      <c r="AG22" s="55">
        <v>25</v>
      </c>
      <c r="AH22" s="52">
        <f t="shared" si="2"/>
        <v>13.2</v>
      </c>
      <c r="AI22" s="53">
        <f t="shared" si="3"/>
        <v>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6.6</v>
      </c>
      <c r="C26" s="50">
        <v>6.6</v>
      </c>
      <c r="D26" s="50">
        <v>6.6</v>
      </c>
      <c r="E26" s="50">
        <v>6.6</v>
      </c>
      <c r="F26" s="50">
        <v>6.6</v>
      </c>
      <c r="G26" s="50">
        <v>6.6</v>
      </c>
      <c r="H26" s="50">
        <v>6.6</v>
      </c>
      <c r="I26" s="50">
        <v>6.6</v>
      </c>
      <c r="J26" s="50">
        <v>6.6</v>
      </c>
      <c r="K26" s="50">
        <v>6.6</v>
      </c>
      <c r="L26" s="50">
        <v>6.6</v>
      </c>
      <c r="M26" s="50">
        <v>9.6</v>
      </c>
      <c r="N26" s="50">
        <v>7.7</v>
      </c>
      <c r="O26" s="50">
        <v>7.7</v>
      </c>
      <c r="P26" s="50">
        <v>7.7</v>
      </c>
      <c r="Q26" s="50">
        <v>7.7</v>
      </c>
      <c r="R26" s="50">
        <v>7.7</v>
      </c>
      <c r="S26" s="50">
        <v>7.7</v>
      </c>
      <c r="T26" s="50">
        <v>7.7</v>
      </c>
      <c r="U26" s="50">
        <v>7.7</v>
      </c>
      <c r="V26" s="50">
        <v>7.7</v>
      </c>
      <c r="W26" s="50">
        <v>7.7</v>
      </c>
      <c r="X26" s="50">
        <v>7.7</v>
      </c>
      <c r="Y26" s="50">
        <v>7.7</v>
      </c>
      <c r="Z26" s="50">
        <v>7.7</v>
      </c>
      <c r="AA26" s="50">
        <v>7.7</v>
      </c>
      <c r="AB26" s="50">
        <v>7.7</v>
      </c>
      <c r="AC26" s="50">
        <v>7.7</v>
      </c>
      <c r="AD26" s="50">
        <v>9.1999999999999993</v>
      </c>
      <c r="AE26" s="50">
        <v>9.6999999999999993</v>
      </c>
      <c r="AF26" s="50">
        <v>9.4</v>
      </c>
      <c r="AG26" s="55">
        <v>23.5</v>
      </c>
      <c r="AH26" s="52">
        <f t="shared" si="2"/>
        <v>9.6999999999999993</v>
      </c>
      <c r="AI26" s="53">
        <f t="shared" si="3"/>
        <v>6.6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0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8</v>
      </c>
      <c r="C29" s="50">
        <v>8</v>
      </c>
      <c r="D29" s="50">
        <v>8</v>
      </c>
      <c r="E29" s="50">
        <v>8</v>
      </c>
      <c r="F29" s="50">
        <v>8</v>
      </c>
      <c r="G29" s="50">
        <v>8</v>
      </c>
      <c r="H29" s="50">
        <v>8</v>
      </c>
      <c r="I29" s="50">
        <v>8</v>
      </c>
      <c r="J29" s="50">
        <v>8</v>
      </c>
      <c r="K29" s="50">
        <v>8</v>
      </c>
      <c r="L29" s="50">
        <v>8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8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15</v>
      </c>
      <c r="C30" s="50">
        <v>15</v>
      </c>
      <c r="D30" s="50">
        <v>15</v>
      </c>
      <c r="E30" s="50">
        <v>15</v>
      </c>
      <c r="F30" s="50">
        <v>15</v>
      </c>
      <c r="G30" s="50">
        <v>15</v>
      </c>
      <c r="H30" s="50">
        <v>15</v>
      </c>
      <c r="I30" s="50">
        <v>15</v>
      </c>
      <c r="J30" s="50">
        <v>15</v>
      </c>
      <c r="K30" s="50">
        <v>15</v>
      </c>
      <c r="L30" s="50">
        <v>15</v>
      </c>
      <c r="M30" s="50">
        <v>17</v>
      </c>
      <c r="N30" s="50">
        <v>17</v>
      </c>
      <c r="O30" s="50">
        <v>17</v>
      </c>
      <c r="P30" s="50">
        <v>17</v>
      </c>
      <c r="Q30" s="50">
        <v>17</v>
      </c>
      <c r="R30" s="50">
        <v>17</v>
      </c>
      <c r="S30" s="50">
        <v>17</v>
      </c>
      <c r="T30" s="50">
        <v>17</v>
      </c>
      <c r="U30" s="50">
        <v>17</v>
      </c>
      <c r="V30" s="50">
        <v>17</v>
      </c>
      <c r="W30" s="50">
        <v>17</v>
      </c>
      <c r="X30" s="50">
        <v>17</v>
      </c>
      <c r="Y30" s="50">
        <v>17</v>
      </c>
      <c r="Z30" s="50">
        <v>17</v>
      </c>
      <c r="AA30" s="50">
        <v>17</v>
      </c>
      <c r="AB30" s="50">
        <v>17</v>
      </c>
      <c r="AC30" s="50">
        <v>17</v>
      </c>
      <c r="AD30" s="50">
        <v>20</v>
      </c>
      <c r="AE30" s="50">
        <v>19.5</v>
      </c>
      <c r="AF30" s="50">
        <v>20</v>
      </c>
      <c r="AG30" s="55">
        <v>22</v>
      </c>
      <c r="AH30" s="52">
        <f t="shared" si="2"/>
        <v>20</v>
      </c>
      <c r="AI30" s="53">
        <f t="shared" si="3"/>
        <v>15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4.8</v>
      </c>
      <c r="C38" s="50">
        <v>4.8</v>
      </c>
      <c r="D38" s="50">
        <v>4.8</v>
      </c>
      <c r="E38" s="50">
        <v>4.8</v>
      </c>
      <c r="F38" s="50">
        <v>4.8</v>
      </c>
      <c r="G38" s="50">
        <v>4.8</v>
      </c>
      <c r="H38" s="50">
        <v>4.8</v>
      </c>
      <c r="I38" s="50">
        <v>4.8</v>
      </c>
      <c r="J38" s="50">
        <v>4.8</v>
      </c>
      <c r="K38" s="50">
        <v>4.8</v>
      </c>
      <c r="L38" s="50">
        <v>4.8</v>
      </c>
      <c r="M38" s="50">
        <v>12</v>
      </c>
      <c r="N38" s="50">
        <v>12</v>
      </c>
      <c r="O38" s="50">
        <v>12</v>
      </c>
      <c r="P38" s="50">
        <v>12</v>
      </c>
      <c r="Q38" s="50">
        <v>12</v>
      </c>
      <c r="R38" s="50">
        <v>12</v>
      </c>
      <c r="S38" s="50">
        <v>12</v>
      </c>
      <c r="T38" s="50">
        <v>12</v>
      </c>
      <c r="U38" s="50">
        <v>12</v>
      </c>
      <c r="V38" s="50">
        <v>12</v>
      </c>
      <c r="W38" s="50">
        <v>12</v>
      </c>
      <c r="X38" s="50">
        <v>12</v>
      </c>
      <c r="Y38" s="50">
        <v>12</v>
      </c>
      <c r="Z38" s="50">
        <v>12</v>
      </c>
      <c r="AA38" s="50">
        <v>12</v>
      </c>
      <c r="AB38" s="50">
        <v>12</v>
      </c>
      <c r="AC38" s="50">
        <v>12</v>
      </c>
      <c r="AD38" s="50">
        <v>12</v>
      </c>
      <c r="AE38" s="50">
        <v>12</v>
      </c>
      <c r="AF38" s="50">
        <v>12</v>
      </c>
      <c r="AG38" s="55">
        <v>12</v>
      </c>
      <c r="AH38" s="52">
        <f t="shared" si="2"/>
        <v>12</v>
      </c>
      <c r="AI38" s="53">
        <f t="shared" si="3"/>
        <v>4.8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4.9000000000000004</v>
      </c>
      <c r="N41" s="50">
        <v>4.9000000000000004</v>
      </c>
      <c r="O41" s="50">
        <v>4.9000000000000004</v>
      </c>
      <c r="P41" s="50">
        <v>4.9000000000000004</v>
      </c>
      <c r="Q41" s="50">
        <v>4.9000000000000004</v>
      </c>
      <c r="R41" s="50">
        <v>4.9000000000000004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4.9000000000000004</v>
      </c>
      <c r="AC41" s="50">
        <v>4.9000000000000004</v>
      </c>
      <c r="AD41" s="50">
        <v>4.9000000000000004</v>
      </c>
      <c r="AE41" s="50">
        <v>4.9000000000000004</v>
      </c>
      <c r="AF41" s="50">
        <v>4.9000000000000004</v>
      </c>
      <c r="AG41" s="56">
        <v>11.88</v>
      </c>
      <c r="AH41" s="52">
        <f t="shared" si="2"/>
        <v>4.9000000000000004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3.5</v>
      </c>
      <c r="C44" s="50">
        <v>3.5</v>
      </c>
      <c r="D44" s="50">
        <v>3.5</v>
      </c>
      <c r="E44" s="50">
        <v>3.5</v>
      </c>
      <c r="F44" s="50">
        <v>3.5</v>
      </c>
      <c r="G44" s="50">
        <v>3.5</v>
      </c>
      <c r="H44" s="50">
        <v>3.5</v>
      </c>
      <c r="I44" s="50">
        <v>3.5</v>
      </c>
      <c r="J44" s="50">
        <v>3.5</v>
      </c>
      <c r="K44" s="50">
        <v>3.5</v>
      </c>
      <c r="L44" s="50">
        <v>3.5</v>
      </c>
      <c r="M44" s="50">
        <v>3.5</v>
      </c>
      <c r="N44" s="50">
        <v>3.5</v>
      </c>
      <c r="O44" s="50">
        <v>3.5</v>
      </c>
      <c r="P44" s="50">
        <v>3.5</v>
      </c>
      <c r="Q44" s="50">
        <v>3.5</v>
      </c>
      <c r="R44" s="50">
        <v>3.5</v>
      </c>
      <c r="S44" s="50">
        <v>3.5</v>
      </c>
      <c r="T44" s="50">
        <v>3.5</v>
      </c>
      <c r="U44" s="50">
        <v>3.5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3.5</v>
      </c>
      <c r="AI44" s="53">
        <f t="shared" si="3"/>
        <v>0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1</v>
      </c>
      <c r="T45" s="50">
        <v>1</v>
      </c>
      <c r="U45" s="50">
        <v>1</v>
      </c>
      <c r="V45" s="50">
        <v>1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1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>
        <f>43+28</f>
        <v>71</v>
      </c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71</v>
      </c>
      <c r="AI47" s="53">
        <f t="shared" si="3"/>
        <v>71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352.5</v>
      </c>
      <c r="C48" s="67">
        <f t="shared" si="4"/>
        <v>353.5</v>
      </c>
      <c r="D48" s="67">
        <f t="shared" si="4"/>
        <v>355.5</v>
      </c>
      <c r="E48" s="67">
        <f t="shared" si="4"/>
        <v>358.5</v>
      </c>
      <c r="F48" s="67">
        <f t="shared" si="4"/>
        <v>358.5</v>
      </c>
      <c r="G48" s="67">
        <f t="shared" si="4"/>
        <v>358.5</v>
      </c>
      <c r="H48" s="67">
        <f t="shared" si="4"/>
        <v>358.5</v>
      </c>
      <c r="I48" s="67">
        <f t="shared" si="4"/>
        <v>358.5</v>
      </c>
      <c r="J48" s="67">
        <f t="shared" ref="J48:L48" si="5">SUM(J12:J46)</f>
        <v>358.5</v>
      </c>
      <c r="K48" s="67">
        <f t="shared" si="5"/>
        <v>358.5</v>
      </c>
      <c r="L48" s="67">
        <f t="shared" si="5"/>
        <v>358.5</v>
      </c>
      <c r="M48" s="67">
        <f t="shared" si="4"/>
        <v>404.9</v>
      </c>
      <c r="N48" s="67">
        <f t="shared" si="4"/>
        <v>395.69999999999993</v>
      </c>
      <c r="O48" s="67">
        <f t="shared" si="4"/>
        <v>395.69999999999993</v>
      </c>
      <c r="P48" s="67">
        <f t="shared" si="4"/>
        <v>395.69999999999993</v>
      </c>
      <c r="Q48" s="67">
        <f t="shared" si="4"/>
        <v>395.69999999999993</v>
      </c>
      <c r="R48" s="67">
        <f t="shared" si="4"/>
        <v>395.69999999999993</v>
      </c>
      <c r="S48" s="67">
        <f t="shared" si="4"/>
        <v>391.79999999999995</v>
      </c>
      <c r="T48" s="67">
        <f t="shared" si="4"/>
        <v>391.79999999999995</v>
      </c>
      <c r="U48" s="67">
        <f t="shared" si="4"/>
        <v>391.79999999999995</v>
      </c>
      <c r="V48" s="67">
        <f t="shared" si="4"/>
        <v>388.29999999999995</v>
      </c>
      <c r="W48" s="67">
        <f t="shared" si="4"/>
        <v>387.29999999999995</v>
      </c>
      <c r="X48" s="67">
        <f t="shared" si="4"/>
        <v>387.29999999999995</v>
      </c>
      <c r="Y48" s="67">
        <f t="shared" si="4"/>
        <v>387.29999999999995</v>
      </c>
      <c r="Z48" s="67">
        <f t="shared" si="4"/>
        <v>387.29999999999995</v>
      </c>
      <c r="AA48" s="67">
        <f t="shared" si="4"/>
        <v>375.9</v>
      </c>
      <c r="AB48" s="67">
        <f t="shared" si="4"/>
        <v>383.79999999999995</v>
      </c>
      <c r="AC48" s="67">
        <f t="shared" si="4"/>
        <v>351.7</v>
      </c>
      <c r="AD48" s="67">
        <f t="shared" si="4"/>
        <v>360.8</v>
      </c>
      <c r="AE48" s="67">
        <f t="shared" ref="AE48:AF48" si="6">SUM(AE12:AE46)</f>
        <v>362.9</v>
      </c>
      <c r="AF48" s="67">
        <f t="shared" si="6"/>
        <v>367.40000000000003</v>
      </c>
      <c r="AG48" s="68">
        <f t="shared" si="4"/>
        <v>875.68</v>
      </c>
      <c r="AH48" s="52">
        <f t="shared" si="2"/>
        <v>404.9</v>
      </c>
      <c r="AI48" s="53">
        <f t="shared" si="3"/>
        <v>351.7</v>
      </c>
      <c r="AK48" s="54"/>
    </row>
    <row r="49" spans="1:41" x14ac:dyDescent="0.25">
      <c r="A49" s="69" t="s">
        <v>53</v>
      </c>
      <c r="B49" s="50">
        <v>60</v>
      </c>
      <c r="C49" s="50">
        <v>40</v>
      </c>
      <c r="D49" s="50">
        <v>50</v>
      </c>
      <c r="E49" s="50">
        <v>30</v>
      </c>
      <c r="F49" s="50">
        <v>15</v>
      </c>
      <c r="G49" s="50">
        <v>15</v>
      </c>
      <c r="H49" s="50">
        <v>15</v>
      </c>
      <c r="I49" s="50">
        <v>15</v>
      </c>
      <c r="J49" s="50">
        <v>40</v>
      </c>
      <c r="K49" s="50">
        <v>40</v>
      </c>
      <c r="L49" s="50">
        <v>100</v>
      </c>
      <c r="M49" s="70">
        <v>120</v>
      </c>
      <c r="N49" s="70">
        <v>70</v>
      </c>
      <c r="O49" s="50">
        <v>15</v>
      </c>
      <c r="P49" s="50">
        <v>25</v>
      </c>
      <c r="Q49" s="50">
        <v>25</v>
      </c>
      <c r="R49" s="50">
        <v>25</v>
      </c>
      <c r="S49" s="50">
        <v>60</v>
      </c>
      <c r="T49" s="50">
        <v>76</v>
      </c>
      <c r="U49" s="50">
        <v>76</v>
      </c>
      <c r="V49" s="50">
        <v>65</v>
      </c>
      <c r="W49" s="50">
        <v>50</v>
      </c>
      <c r="X49" s="50">
        <v>50</v>
      </c>
      <c r="Y49" s="50">
        <v>120</v>
      </c>
      <c r="Z49" s="50">
        <v>130</v>
      </c>
      <c r="AA49" s="50">
        <v>165</v>
      </c>
      <c r="AB49" s="50">
        <v>145</v>
      </c>
      <c r="AC49" s="50">
        <v>130</v>
      </c>
      <c r="AD49" s="50">
        <v>120</v>
      </c>
      <c r="AE49" s="50">
        <v>145</v>
      </c>
      <c r="AF49" s="50">
        <v>90</v>
      </c>
      <c r="AG49" s="56">
        <v>456</v>
      </c>
      <c r="AH49" s="52">
        <f t="shared" si="2"/>
        <v>165</v>
      </c>
      <c r="AI49" s="53">
        <f t="shared" si="3"/>
        <v>15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45</v>
      </c>
      <c r="O50" s="72">
        <v>45</v>
      </c>
      <c r="P50" s="72">
        <v>38</v>
      </c>
      <c r="Q50" s="72">
        <v>38</v>
      </c>
      <c r="R50" s="72">
        <v>38</v>
      </c>
      <c r="S50" s="72">
        <v>33</v>
      </c>
      <c r="T50" s="72">
        <v>33</v>
      </c>
      <c r="U50" s="72">
        <v>33</v>
      </c>
      <c r="V50" s="72">
        <v>33</v>
      </c>
      <c r="W50" s="72">
        <v>33</v>
      </c>
      <c r="X50" s="72">
        <v>33</v>
      </c>
      <c r="Y50" s="72">
        <v>33</v>
      </c>
      <c r="Z50" s="72">
        <v>33</v>
      </c>
      <c r="AA50" s="72">
        <v>33</v>
      </c>
      <c r="AB50" s="72">
        <v>33</v>
      </c>
      <c r="AC50" s="72">
        <v>33</v>
      </c>
      <c r="AD50" s="72">
        <v>33</v>
      </c>
      <c r="AE50" s="72">
        <v>33</v>
      </c>
      <c r="AF50" s="72">
        <v>33</v>
      </c>
      <c r="AG50" s="61">
        <v>60</v>
      </c>
      <c r="AH50" s="52">
        <f t="shared" si="2"/>
        <v>45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10.199999999999999</v>
      </c>
      <c r="C51" s="74">
        <v>10.199999999999999</v>
      </c>
      <c r="D51" s="74">
        <v>10.199999999999999</v>
      </c>
      <c r="E51" s="74">
        <v>10.199999999999999</v>
      </c>
      <c r="F51" s="74">
        <v>10.199999999999999</v>
      </c>
      <c r="G51" s="74">
        <v>10.199999999999999</v>
      </c>
      <c r="H51" s="74">
        <v>10.199999999999999</v>
      </c>
      <c r="I51" s="74">
        <v>10.199999999999999</v>
      </c>
      <c r="J51" s="74">
        <v>10.199999999999999</v>
      </c>
      <c r="K51" s="74">
        <v>10.199999999999999</v>
      </c>
      <c r="L51" s="74">
        <v>10.199999999999999</v>
      </c>
      <c r="M51" s="74">
        <v>12.1</v>
      </c>
      <c r="N51" s="74">
        <v>12.1</v>
      </c>
      <c r="O51" s="74">
        <v>12.1</v>
      </c>
      <c r="P51" s="74">
        <v>12.1</v>
      </c>
      <c r="Q51" s="74">
        <v>12.1</v>
      </c>
      <c r="R51" s="74">
        <v>12.1</v>
      </c>
      <c r="S51" s="74">
        <v>12.1</v>
      </c>
      <c r="T51" s="74">
        <v>12.1</v>
      </c>
      <c r="U51" s="74">
        <v>11.2</v>
      </c>
      <c r="V51" s="74">
        <v>11.2</v>
      </c>
      <c r="W51" s="74">
        <v>11.2</v>
      </c>
      <c r="X51" s="74">
        <v>11.2</v>
      </c>
      <c r="Y51" s="74">
        <v>11.2</v>
      </c>
      <c r="Z51" s="74">
        <v>11.2</v>
      </c>
      <c r="AA51" s="74">
        <v>11.2</v>
      </c>
      <c r="AB51" s="74">
        <v>11.2</v>
      </c>
      <c r="AC51" s="74">
        <v>11.2</v>
      </c>
      <c r="AD51" s="74">
        <v>11.2</v>
      </c>
      <c r="AE51" s="74">
        <v>11.2</v>
      </c>
      <c r="AF51" s="74">
        <v>11.2</v>
      </c>
      <c r="AG51" s="75">
        <v>22.1</v>
      </c>
      <c r="AH51" s="52">
        <f t="shared" si="2"/>
        <v>12.1</v>
      </c>
      <c r="AI51" s="53">
        <f t="shared" si="3"/>
        <v>10.199999999999999</v>
      </c>
      <c r="AK51" s="54"/>
    </row>
    <row r="52" spans="1:41" ht="15.75" thickBot="1" x14ac:dyDescent="0.3">
      <c r="A52" s="76" t="s">
        <v>56</v>
      </c>
      <c r="B52" s="67">
        <f t="shared" ref="B52:AG52" si="7">SUM(B49:B51)</f>
        <v>95.2</v>
      </c>
      <c r="C52" s="67">
        <f t="shared" si="7"/>
        <v>75.2</v>
      </c>
      <c r="D52" s="67">
        <f t="shared" si="7"/>
        <v>85.2</v>
      </c>
      <c r="E52" s="67">
        <f t="shared" si="7"/>
        <v>65.2</v>
      </c>
      <c r="F52" s="67">
        <f t="shared" si="7"/>
        <v>50.2</v>
      </c>
      <c r="G52" s="67">
        <f t="shared" si="7"/>
        <v>50.2</v>
      </c>
      <c r="H52" s="67">
        <f t="shared" si="7"/>
        <v>50.2</v>
      </c>
      <c r="I52" s="67">
        <f t="shared" si="7"/>
        <v>50.2</v>
      </c>
      <c r="J52" s="67">
        <f t="shared" ref="J52:L52" si="8">SUM(J49:J51)</f>
        <v>75.2</v>
      </c>
      <c r="K52" s="67">
        <f t="shared" si="8"/>
        <v>75.2</v>
      </c>
      <c r="L52" s="67">
        <f t="shared" si="8"/>
        <v>135.19999999999999</v>
      </c>
      <c r="M52" s="67">
        <f t="shared" si="7"/>
        <v>157.1</v>
      </c>
      <c r="N52" s="67">
        <f t="shared" si="7"/>
        <v>127.1</v>
      </c>
      <c r="O52" s="67">
        <f t="shared" si="7"/>
        <v>72.099999999999994</v>
      </c>
      <c r="P52" s="67">
        <f t="shared" si="7"/>
        <v>75.099999999999994</v>
      </c>
      <c r="Q52" s="67">
        <f t="shared" si="7"/>
        <v>75.099999999999994</v>
      </c>
      <c r="R52" s="67">
        <f t="shared" si="7"/>
        <v>75.099999999999994</v>
      </c>
      <c r="S52" s="67">
        <f t="shared" si="7"/>
        <v>105.1</v>
      </c>
      <c r="T52" s="67">
        <f t="shared" si="7"/>
        <v>121.1</v>
      </c>
      <c r="U52" s="67">
        <f t="shared" si="7"/>
        <v>120.2</v>
      </c>
      <c r="V52" s="67">
        <f t="shared" si="7"/>
        <v>109.2</v>
      </c>
      <c r="W52" s="67">
        <f t="shared" si="7"/>
        <v>94.2</v>
      </c>
      <c r="X52" s="67">
        <f t="shared" si="7"/>
        <v>94.2</v>
      </c>
      <c r="Y52" s="67">
        <f t="shared" si="7"/>
        <v>164.2</v>
      </c>
      <c r="Z52" s="67">
        <f t="shared" si="7"/>
        <v>174.2</v>
      </c>
      <c r="AA52" s="67">
        <f t="shared" si="7"/>
        <v>209.2</v>
      </c>
      <c r="AB52" s="67">
        <f t="shared" si="7"/>
        <v>189.2</v>
      </c>
      <c r="AC52" s="67">
        <f t="shared" si="7"/>
        <v>174.2</v>
      </c>
      <c r="AD52" s="67">
        <f t="shared" si="7"/>
        <v>164.2</v>
      </c>
      <c r="AE52" s="67">
        <f t="shared" ref="AE52:AF52" si="9">SUM(AE49:AE51)</f>
        <v>189.2</v>
      </c>
      <c r="AF52" s="67">
        <f t="shared" si="9"/>
        <v>134.19999999999999</v>
      </c>
      <c r="AG52" s="68">
        <f t="shared" si="7"/>
        <v>538.1</v>
      </c>
      <c r="AH52" s="52">
        <f t="shared" si="2"/>
        <v>209.2</v>
      </c>
      <c r="AI52" s="53">
        <f t="shared" si="3"/>
        <v>50.2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41.7</v>
      </c>
      <c r="I53" s="50">
        <v>45</v>
      </c>
      <c r="J53" s="50">
        <v>45</v>
      </c>
      <c r="K53" s="50">
        <v>45</v>
      </c>
      <c r="L53" s="50">
        <v>80</v>
      </c>
      <c r="M53" s="50">
        <v>81.2</v>
      </c>
      <c r="N53" s="50">
        <v>61.7</v>
      </c>
      <c r="O53" s="50">
        <v>61.3</v>
      </c>
      <c r="P53" s="50">
        <v>81.3</v>
      </c>
      <c r="Q53" s="50">
        <v>73</v>
      </c>
      <c r="R53" s="50">
        <v>65.7</v>
      </c>
      <c r="S53" s="50">
        <v>61.7</v>
      </c>
      <c r="T53" s="50">
        <v>66</v>
      </c>
      <c r="U53" s="50">
        <v>79.8</v>
      </c>
      <c r="V53" s="50">
        <v>72</v>
      </c>
      <c r="W53" s="50">
        <v>62.5</v>
      </c>
      <c r="X53" s="50">
        <v>73</v>
      </c>
      <c r="Y53" s="50">
        <v>141</v>
      </c>
      <c r="Z53" s="50">
        <v>138.9</v>
      </c>
      <c r="AA53" s="50">
        <v>138.6</v>
      </c>
      <c r="AB53" s="50">
        <v>123.6</v>
      </c>
      <c r="AC53" s="50">
        <v>117.2</v>
      </c>
      <c r="AD53" s="50">
        <v>62.4</v>
      </c>
      <c r="AE53" s="50">
        <v>30.6</v>
      </c>
      <c r="AF53" s="50">
        <v>30.5</v>
      </c>
      <c r="AG53" s="56">
        <v>144</v>
      </c>
      <c r="AH53" s="52">
        <f t="shared" si="2"/>
        <v>141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23</v>
      </c>
      <c r="C55" s="72">
        <v>23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0</v>
      </c>
      <c r="L55" s="72">
        <v>0</v>
      </c>
      <c r="M55" s="72">
        <v>45.5</v>
      </c>
      <c r="N55" s="72">
        <v>45.4</v>
      </c>
      <c r="O55" s="72">
        <v>33.700000000000003</v>
      </c>
      <c r="P55" s="72">
        <v>46.5</v>
      </c>
      <c r="Q55" s="72">
        <v>32.9</v>
      </c>
      <c r="R55" s="50">
        <v>32.4</v>
      </c>
      <c r="S55" s="50">
        <v>32.4</v>
      </c>
      <c r="T55" s="50">
        <v>46</v>
      </c>
      <c r="U55" s="50">
        <v>46.9</v>
      </c>
      <c r="V55" s="50">
        <v>37</v>
      </c>
      <c r="W55" s="50">
        <v>35.700000000000003</v>
      </c>
      <c r="X55" s="50">
        <v>52</v>
      </c>
      <c r="Y55" s="50">
        <v>69</v>
      </c>
      <c r="Z55" s="50">
        <v>70.7</v>
      </c>
      <c r="AA55" s="50">
        <v>69.5</v>
      </c>
      <c r="AB55" s="72">
        <v>62.3</v>
      </c>
      <c r="AC55" s="72">
        <v>62.2</v>
      </c>
      <c r="AD55" s="72">
        <v>62</v>
      </c>
      <c r="AE55" s="72">
        <v>53</v>
      </c>
      <c r="AF55" s="72">
        <v>32.6</v>
      </c>
      <c r="AG55" s="61">
        <v>69</v>
      </c>
      <c r="AH55" s="52">
        <f t="shared" si="2"/>
        <v>70.7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35.5</v>
      </c>
      <c r="C56" s="72">
        <v>35.5</v>
      </c>
      <c r="D56" s="72">
        <v>35.5</v>
      </c>
      <c r="E56" s="72">
        <v>35.5</v>
      </c>
      <c r="F56" s="72">
        <v>37.799999999999997</v>
      </c>
      <c r="G56" s="72">
        <v>44.6</v>
      </c>
      <c r="H56" s="63">
        <v>44.4</v>
      </c>
      <c r="I56" s="63">
        <v>44.4</v>
      </c>
      <c r="J56" s="63">
        <v>44.4</v>
      </c>
      <c r="K56" s="63">
        <v>44.4</v>
      </c>
      <c r="L56" s="63">
        <v>44.4</v>
      </c>
      <c r="M56" s="72">
        <v>45.3</v>
      </c>
      <c r="N56" s="72">
        <v>45.3</v>
      </c>
      <c r="O56" s="72">
        <v>43.1</v>
      </c>
      <c r="P56" s="72">
        <v>42.1</v>
      </c>
      <c r="Q56" s="72">
        <v>42.1</v>
      </c>
      <c r="R56" s="50">
        <v>42.3</v>
      </c>
      <c r="S56" s="50">
        <v>42.3</v>
      </c>
      <c r="T56" s="50">
        <v>42.3</v>
      </c>
      <c r="U56" s="50">
        <v>40.1</v>
      </c>
      <c r="V56" s="50">
        <v>40.1</v>
      </c>
      <c r="W56" s="50">
        <v>40.1</v>
      </c>
      <c r="X56" s="50">
        <v>40.1</v>
      </c>
      <c r="Y56" s="50">
        <v>40.1</v>
      </c>
      <c r="Z56" s="50">
        <v>40.1</v>
      </c>
      <c r="AA56" s="50">
        <v>40.1</v>
      </c>
      <c r="AB56" s="72">
        <v>40.299999999999997</v>
      </c>
      <c r="AC56" s="72">
        <v>40.299999999999997</v>
      </c>
      <c r="AD56" s="72">
        <v>42.3</v>
      </c>
      <c r="AE56" s="72">
        <v>42.3</v>
      </c>
      <c r="AF56" s="72">
        <v>41.8</v>
      </c>
      <c r="AG56" s="61">
        <v>60</v>
      </c>
      <c r="AH56" s="52">
        <f t="shared" si="2"/>
        <v>45.3</v>
      </c>
      <c r="AI56" s="53">
        <f t="shared" si="3"/>
        <v>35.5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63">
        <v>13</v>
      </c>
      <c r="I57" s="63">
        <v>13</v>
      </c>
      <c r="J57" s="63">
        <v>13</v>
      </c>
      <c r="K57" s="63">
        <v>13</v>
      </c>
      <c r="L57" s="63">
        <v>13</v>
      </c>
      <c r="M57" s="63">
        <v>13</v>
      </c>
      <c r="N57" s="72">
        <v>13</v>
      </c>
      <c r="O57" s="72">
        <v>13</v>
      </c>
      <c r="P57" s="72">
        <v>15</v>
      </c>
      <c r="Q57" s="72">
        <v>10</v>
      </c>
      <c r="R57" s="72">
        <v>10</v>
      </c>
      <c r="S57" s="72">
        <v>10</v>
      </c>
      <c r="T57" s="72">
        <v>10</v>
      </c>
      <c r="U57" s="50">
        <v>10.3</v>
      </c>
      <c r="V57" s="50">
        <v>10.3</v>
      </c>
      <c r="W57" s="50">
        <v>10.3</v>
      </c>
      <c r="X57" s="50">
        <v>10.3</v>
      </c>
      <c r="Y57" s="50">
        <v>10.3</v>
      </c>
      <c r="Z57" s="50">
        <v>15</v>
      </c>
      <c r="AA57" s="50">
        <v>20</v>
      </c>
      <c r="AB57" s="72">
        <v>25</v>
      </c>
      <c r="AC57" s="72">
        <v>14.8</v>
      </c>
      <c r="AD57" s="72">
        <v>14</v>
      </c>
      <c r="AE57" s="72">
        <v>0</v>
      </c>
      <c r="AF57" s="72">
        <v>0</v>
      </c>
      <c r="AG57" s="61">
        <v>30</v>
      </c>
      <c r="AH57" s="52">
        <f t="shared" si="2"/>
        <v>25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8</v>
      </c>
      <c r="T58" s="72">
        <v>8</v>
      </c>
      <c r="U58" s="72">
        <v>8</v>
      </c>
      <c r="V58" s="72">
        <v>8</v>
      </c>
      <c r="W58" s="72">
        <v>0</v>
      </c>
      <c r="X58" s="72">
        <v>0</v>
      </c>
      <c r="Y58" s="72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8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17</v>
      </c>
      <c r="AE59" s="72">
        <v>17</v>
      </c>
      <c r="AF59" s="72">
        <v>12</v>
      </c>
      <c r="AG59" s="61">
        <v>24</v>
      </c>
      <c r="AH59" s="52">
        <f t="shared" si="2"/>
        <v>17</v>
      </c>
      <c r="AI59" s="53">
        <f t="shared" si="3"/>
        <v>12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10.8</v>
      </c>
      <c r="C61" s="72">
        <v>10.8</v>
      </c>
      <c r="D61" s="72">
        <v>10.8</v>
      </c>
      <c r="E61" s="72">
        <v>10.8</v>
      </c>
      <c r="F61" s="72">
        <v>10.8</v>
      </c>
      <c r="G61" s="72">
        <v>10.8</v>
      </c>
      <c r="H61" s="72">
        <v>10.8</v>
      </c>
      <c r="I61" s="72">
        <v>10.8</v>
      </c>
      <c r="J61" s="72">
        <v>10.8</v>
      </c>
      <c r="K61" s="72">
        <v>10.8</v>
      </c>
      <c r="L61" s="72">
        <v>10.8</v>
      </c>
      <c r="M61" s="72">
        <v>9.9</v>
      </c>
      <c r="N61" s="72">
        <v>9.9</v>
      </c>
      <c r="O61" s="72">
        <v>9.9</v>
      </c>
      <c r="P61" s="72">
        <v>9.9</v>
      </c>
      <c r="Q61" s="72">
        <v>9.9</v>
      </c>
      <c r="R61" s="72">
        <v>9.9</v>
      </c>
      <c r="S61" s="72">
        <v>9.9</v>
      </c>
      <c r="T61" s="72">
        <v>9.9</v>
      </c>
      <c r="U61" s="72">
        <v>9.9</v>
      </c>
      <c r="V61" s="72">
        <v>9.9</v>
      </c>
      <c r="W61" s="72">
        <v>9.9</v>
      </c>
      <c r="X61" s="72">
        <v>9.9</v>
      </c>
      <c r="Y61" s="72">
        <v>9.9</v>
      </c>
      <c r="Z61" s="72">
        <v>9.9</v>
      </c>
      <c r="AA61" s="72">
        <v>9.9</v>
      </c>
      <c r="AB61" s="72">
        <v>9.9</v>
      </c>
      <c r="AC61" s="72">
        <v>9.9</v>
      </c>
      <c r="AD61" s="72">
        <v>12.6</v>
      </c>
      <c r="AE61" s="72">
        <v>12.6</v>
      </c>
      <c r="AF61" s="72">
        <v>12.7</v>
      </c>
      <c r="AG61" s="61">
        <v>14.1</v>
      </c>
      <c r="AH61" s="52">
        <f t="shared" si="2"/>
        <v>12.7</v>
      </c>
      <c r="AI61" s="53">
        <f t="shared" si="3"/>
        <v>9.9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5.5</v>
      </c>
      <c r="C62" s="72">
        <v>5.5</v>
      </c>
      <c r="D62" s="72">
        <v>5.5</v>
      </c>
      <c r="E62" s="72">
        <v>5.5</v>
      </c>
      <c r="F62" s="72">
        <v>5.5</v>
      </c>
      <c r="G62" s="72">
        <v>5.5</v>
      </c>
      <c r="H62" s="72">
        <v>5.5</v>
      </c>
      <c r="I62" s="72">
        <v>5.5</v>
      </c>
      <c r="J62" s="72">
        <v>5.5</v>
      </c>
      <c r="K62" s="72">
        <v>5.5</v>
      </c>
      <c r="L62" s="72">
        <v>5.5</v>
      </c>
      <c r="M62" s="72">
        <v>6.6</v>
      </c>
      <c r="N62" s="72">
        <v>6.6</v>
      </c>
      <c r="O62" s="72">
        <v>6.6</v>
      </c>
      <c r="P62" s="72">
        <v>6.6</v>
      </c>
      <c r="Q62" s="72">
        <v>6.6</v>
      </c>
      <c r="R62" s="72">
        <v>6.6</v>
      </c>
      <c r="S62" s="72">
        <v>6.6</v>
      </c>
      <c r="T62" s="72">
        <v>6.6</v>
      </c>
      <c r="U62" s="72">
        <v>6.6</v>
      </c>
      <c r="V62" s="72">
        <v>4.7</v>
      </c>
      <c r="W62" s="72">
        <v>4.7</v>
      </c>
      <c r="X62" s="72">
        <v>4.7</v>
      </c>
      <c r="Y62" s="72">
        <v>4.7</v>
      </c>
      <c r="Z62" s="72">
        <v>4.7</v>
      </c>
      <c r="AA62" s="72">
        <v>4.7</v>
      </c>
      <c r="AB62" s="72">
        <v>4.7</v>
      </c>
      <c r="AC62" s="72">
        <v>4.7</v>
      </c>
      <c r="AD62" s="72">
        <v>4.5</v>
      </c>
      <c r="AE62" s="72">
        <v>4.5</v>
      </c>
      <c r="AF62" s="72">
        <v>5</v>
      </c>
      <c r="AG62" s="61">
        <v>14</v>
      </c>
      <c r="AH62" s="52">
        <f t="shared" si="2"/>
        <v>6.6</v>
      </c>
      <c r="AI62" s="53">
        <f t="shared" si="3"/>
        <v>4.5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0">SUM(B53:B65)</f>
        <v>99.34</v>
      </c>
      <c r="C66" s="67">
        <f t="shared" si="10"/>
        <v>99.34</v>
      </c>
      <c r="D66" s="67">
        <f t="shared" si="10"/>
        <v>76.34</v>
      </c>
      <c r="E66" s="67">
        <f t="shared" si="10"/>
        <v>76.34</v>
      </c>
      <c r="F66" s="67">
        <f t="shared" si="10"/>
        <v>78.64</v>
      </c>
      <c r="G66" s="67">
        <f t="shared" si="10"/>
        <v>85.44</v>
      </c>
      <c r="H66" s="67">
        <f t="shared" si="10"/>
        <v>139.94</v>
      </c>
      <c r="I66" s="67">
        <f t="shared" si="10"/>
        <v>143.24</v>
      </c>
      <c r="J66" s="67">
        <f t="shared" ref="J66:L66" si="11">SUM(J53:J65)</f>
        <v>143.24</v>
      </c>
      <c r="K66" s="67">
        <f t="shared" si="11"/>
        <v>143.24</v>
      </c>
      <c r="L66" s="67">
        <f t="shared" si="11"/>
        <v>178.24</v>
      </c>
      <c r="M66" s="67">
        <f t="shared" si="10"/>
        <v>226.04</v>
      </c>
      <c r="N66" s="67">
        <f t="shared" si="10"/>
        <v>206.43999999999997</v>
      </c>
      <c r="O66" s="67">
        <f t="shared" si="10"/>
        <v>192.14</v>
      </c>
      <c r="P66" s="67">
        <f t="shared" si="10"/>
        <v>225.94</v>
      </c>
      <c r="Q66" s="67">
        <f t="shared" si="10"/>
        <v>199.04</v>
      </c>
      <c r="R66" s="67">
        <f t="shared" si="10"/>
        <v>191.43999999999997</v>
      </c>
      <c r="S66" s="67">
        <f t="shared" si="10"/>
        <v>195.43999999999997</v>
      </c>
      <c r="T66" s="67">
        <f t="shared" si="10"/>
        <v>213.34</v>
      </c>
      <c r="U66" s="67">
        <f t="shared" si="10"/>
        <v>226.14</v>
      </c>
      <c r="V66" s="67">
        <f t="shared" si="10"/>
        <v>206.54</v>
      </c>
      <c r="W66" s="67">
        <f t="shared" si="10"/>
        <v>187.74</v>
      </c>
      <c r="X66" s="67">
        <f t="shared" si="10"/>
        <v>214.54</v>
      </c>
      <c r="Y66" s="67">
        <f t="shared" si="10"/>
        <v>299.53999999999996</v>
      </c>
      <c r="Z66" s="67">
        <f t="shared" si="10"/>
        <v>303.84000000000003</v>
      </c>
      <c r="AA66" s="67">
        <f t="shared" si="10"/>
        <v>307.33999999999997</v>
      </c>
      <c r="AB66" s="67">
        <f t="shared" si="10"/>
        <v>290.33999999999997</v>
      </c>
      <c r="AC66" s="67">
        <f t="shared" si="10"/>
        <v>273.64000000000004</v>
      </c>
      <c r="AD66" s="67">
        <f t="shared" si="10"/>
        <v>227.33999999999997</v>
      </c>
      <c r="AE66" s="67">
        <f t="shared" si="10"/>
        <v>172.53999999999996</v>
      </c>
      <c r="AF66" s="67">
        <f t="shared" ref="AF66" si="12">SUM(AF53:AF65)</f>
        <v>147.13999999999999</v>
      </c>
      <c r="AG66" s="68">
        <f t="shared" si="10"/>
        <v>489.91</v>
      </c>
      <c r="AH66" s="52">
        <f t="shared" si="2"/>
        <v>307.33999999999997</v>
      </c>
      <c r="AI66" s="53">
        <f t="shared" si="3"/>
        <v>76.34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2.9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2.9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1.1000000000000001</v>
      </c>
      <c r="N69" s="74">
        <v>0</v>
      </c>
      <c r="O69" s="74">
        <v>0</v>
      </c>
      <c r="P69" s="74">
        <v>0</v>
      </c>
      <c r="Q69" s="74">
        <v>0</v>
      </c>
      <c r="R69" s="74">
        <v>0</v>
      </c>
      <c r="S69" s="74">
        <v>0</v>
      </c>
      <c r="T69" s="74">
        <v>0</v>
      </c>
      <c r="U69" s="74">
        <v>0</v>
      </c>
      <c r="V69" s="74">
        <v>0</v>
      </c>
      <c r="W69" s="74">
        <v>0</v>
      </c>
      <c r="X69" s="74">
        <v>0</v>
      </c>
      <c r="Y69" s="74">
        <v>0</v>
      </c>
      <c r="Z69" s="74">
        <v>0</v>
      </c>
      <c r="AA69" s="74">
        <v>0</v>
      </c>
      <c r="AB69" s="74">
        <v>0</v>
      </c>
      <c r="AC69" s="74">
        <v>0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1.1000000000000001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3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E70" si="14">M67+M68+M69</f>
        <v>4</v>
      </c>
      <c r="N70" s="67">
        <f t="shared" si="14"/>
        <v>0</v>
      </c>
      <c r="O70" s="67">
        <f t="shared" si="14"/>
        <v>0</v>
      </c>
      <c r="P70" s="67">
        <f t="shared" si="14"/>
        <v>0</v>
      </c>
      <c r="Q70" s="67">
        <f t="shared" si="14"/>
        <v>0</v>
      </c>
      <c r="R70" s="67">
        <f t="shared" si="14"/>
        <v>0</v>
      </c>
      <c r="S70" s="67">
        <f t="shared" si="14"/>
        <v>0</v>
      </c>
      <c r="T70" s="67">
        <f t="shared" si="14"/>
        <v>0</v>
      </c>
      <c r="U70" s="67">
        <f t="shared" si="14"/>
        <v>0</v>
      </c>
      <c r="V70" s="67">
        <f t="shared" si="14"/>
        <v>0</v>
      </c>
      <c r="W70" s="67">
        <f t="shared" si="14"/>
        <v>0</v>
      </c>
      <c r="X70" s="67">
        <f t="shared" si="14"/>
        <v>0</v>
      </c>
      <c r="Y70" s="67">
        <f t="shared" si="14"/>
        <v>0</v>
      </c>
      <c r="Z70" s="67">
        <f t="shared" si="14"/>
        <v>0</v>
      </c>
      <c r="AA70" s="67">
        <f t="shared" si="14"/>
        <v>0</v>
      </c>
      <c r="AB70" s="67">
        <f t="shared" si="14"/>
        <v>0</v>
      </c>
      <c r="AC70" s="67">
        <f t="shared" si="14"/>
        <v>0</v>
      </c>
      <c r="AD70" s="67">
        <f t="shared" si="14"/>
        <v>0</v>
      </c>
      <c r="AE70" s="67">
        <f t="shared" si="14"/>
        <v>0</v>
      </c>
      <c r="AF70" s="67">
        <f t="shared" ref="AF70" si="15">AF67+AF68+AF69</f>
        <v>0</v>
      </c>
      <c r="AG70" s="68">
        <f>SUM(AG67:AG69)</f>
        <v>106</v>
      </c>
      <c r="AH70" s="52">
        <f t="shared" si="2"/>
        <v>4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52</v>
      </c>
      <c r="C71" s="50">
        <v>55</v>
      </c>
      <c r="D71" s="50">
        <v>51</v>
      </c>
      <c r="E71" s="50">
        <v>48</v>
      </c>
      <c r="F71" s="50">
        <v>45</v>
      </c>
      <c r="G71" s="50">
        <v>46</v>
      </c>
      <c r="H71" s="50">
        <v>40</v>
      </c>
      <c r="I71" s="50">
        <v>57</v>
      </c>
      <c r="J71" s="50">
        <v>64.2</v>
      </c>
      <c r="K71" s="50">
        <v>40</v>
      </c>
      <c r="L71" s="50">
        <v>50</v>
      </c>
      <c r="M71" s="50">
        <v>55.2</v>
      </c>
      <c r="N71" s="50">
        <v>62</v>
      </c>
      <c r="O71" s="50">
        <v>47</v>
      </c>
      <c r="P71" s="50">
        <v>62.7</v>
      </c>
      <c r="Q71" s="50">
        <v>61</v>
      </c>
      <c r="R71" s="50">
        <v>59.1</v>
      </c>
      <c r="S71" s="50">
        <v>50.1</v>
      </c>
      <c r="T71" s="50">
        <v>36.4</v>
      </c>
      <c r="U71" s="50">
        <v>63.8</v>
      </c>
      <c r="V71" s="50">
        <v>36</v>
      </c>
      <c r="W71" s="50">
        <v>45.3</v>
      </c>
      <c r="X71" s="50">
        <v>49.6</v>
      </c>
      <c r="Y71" s="50">
        <v>52</v>
      </c>
      <c r="Z71" s="50">
        <v>64</v>
      </c>
      <c r="AA71" s="50">
        <v>65</v>
      </c>
      <c r="AB71" s="50">
        <v>60</v>
      </c>
      <c r="AC71" s="50">
        <v>52.7</v>
      </c>
      <c r="AD71" s="50">
        <v>49.8</v>
      </c>
      <c r="AE71" s="50">
        <v>57.4</v>
      </c>
      <c r="AF71" s="50">
        <v>60.5</v>
      </c>
      <c r="AG71" s="56"/>
      <c r="AH71" s="52">
        <f t="shared" si="2"/>
        <v>65</v>
      </c>
      <c r="AI71" s="53">
        <f t="shared" si="3"/>
        <v>36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244</v>
      </c>
      <c r="C73" s="72">
        <v>192</v>
      </c>
      <c r="D73" s="72">
        <v>200</v>
      </c>
      <c r="E73" s="72">
        <v>190</v>
      </c>
      <c r="F73" s="72">
        <v>160</v>
      </c>
      <c r="G73" s="72">
        <v>195</v>
      </c>
      <c r="H73" s="72">
        <v>230</v>
      </c>
      <c r="I73" s="72">
        <v>240</v>
      </c>
      <c r="J73" s="72">
        <v>200</v>
      </c>
      <c r="K73" s="72">
        <v>202</v>
      </c>
      <c r="L73" s="72">
        <v>200</v>
      </c>
      <c r="M73" s="72">
        <v>205</v>
      </c>
      <c r="N73" s="72">
        <v>271</v>
      </c>
      <c r="O73" s="72">
        <v>298.60000000000002</v>
      </c>
      <c r="P73" s="72">
        <v>315.2</v>
      </c>
      <c r="Q73" s="72">
        <v>303.8</v>
      </c>
      <c r="R73" s="72">
        <v>310.2</v>
      </c>
      <c r="S73" s="72">
        <v>318.2</v>
      </c>
      <c r="T73" s="72">
        <v>308</v>
      </c>
      <c r="U73" s="72">
        <v>320</v>
      </c>
      <c r="V73" s="72">
        <v>287</v>
      </c>
      <c r="W73" s="72">
        <v>301</v>
      </c>
      <c r="X73" s="72">
        <v>309</v>
      </c>
      <c r="Y73" s="72">
        <v>277</v>
      </c>
      <c r="Z73" s="72">
        <v>269</v>
      </c>
      <c r="AA73" s="72">
        <v>230</v>
      </c>
      <c r="AB73" s="72">
        <v>222.5</v>
      </c>
      <c r="AC73" s="72">
        <v>220.1</v>
      </c>
      <c r="AD73" s="72">
        <v>235</v>
      </c>
      <c r="AE73" s="72">
        <v>184</v>
      </c>
      <c r="AF73" s="72">
        <v>194</v>
      </c>
      <c r="AG73" s="82"/>
      <c r="AH73" s="52">
        <f t="shared" si="2"/>
        <v>320</v>
      </c>
      <c r="AI73" s="53">
        <f t="shared" si="3"/>
        <v>160</v>
      </c>
      <c r="AK73" s="54"/>
    </row>
    <row r="74" spans="1:40" x14ac:dyDescent="0.25">
      <c r="A74" s="60" t="s">
        <v>78</v>
      </c>
      <c r="B74" s="72">
        <v>45</v>
      </c>
      <c r="C74" s="72">
        <v>45</v>
      </c>
      <c r="D74" s="72">
        <v>41</v>
      </c>
      <c r="E74" s="72">
        <v>41</v>
      </c>
      <c r="F74" s="72">
        <v>41</v>
      </c>
      <c r="G74" s="72">
        <v>41</v>
      </c>
      <c r="H74" s="72">
        <v>41</v>
      </c>
      <c r="I74" s="72">
        <v>41</v>
      </c>
      <c r="J74" s="72">
        <v>41</v>
      </c>
      <c r="K74" s="72">
        <v>41</v>
      </c>
      <c r="L74" s="72">
        <v>41</v>
      </c>
      <c r="M74" s="83">
        <v>56.7</v>
      </c>
      <c r="N74" s="83">
        <v>54.6</v>
      </c>
      <c r="O74" s="83">
        <v>54.2</v>
      </c>
      <c r="P74" s="83">
        <v>3</v>
      </c>
      <c r="Q74" s="83">
        <v>16.399999999999999</v>
      </c>
      <c r="R74" s="83">
        <v>16.2</v>
      </c>
      <c r="S74" s="83">
        <v>16.2</v>
      </c>
      <c r="T74" s="83">
        <v>16.2</v>
      </c>
      <c r="U74" s="83">
        <v>16.100000000000001</v>
      </c>
      <c r="V74" s="83">
        <v>16.100000000000001</v>
      </c>
      <c r="W74" s="83">
        <v>16.100000000000001</v>
      </c>
      <c r="X74" s="83">
        <v>16.100000000000001</v>
      </c>
      <c r="Y74" s="83">
        <v>16.100000000000001</v>
      </c>
      <c r="Z74" s="72">
        <v>35</v>
      </c>
      <c r="AA74" s="72">
        <v>15</v>
      </c>
      <c r="AB74" s="72">
        <v>15.1</v>
      </c>
      <c r="AC74" s="72">
        <v>14.8</v>
      </c>
      <c r="AD74" s="72">
        <v>13</v>
      </c>
      <c r="AE74" s="72">
        <v>13.8</v>
      </c>
      <c r="AF74" s="72">
        <v>13.8</v>
      </c>
      <c r="AG74" s="82"/>
      <c r="AH74" s="52">
        <f t="shared" si="2"/>
        <v>56.7</v>
      </c>
      <c r="AI74" s="53">
        <f t="shared" si="3"/>
        <v>3</v>
      </c>
      <c r="AK74" s="54"/>
    </row>
    <row r="75" spans="1:40" x14ac:dyDescent="0.25">
      <c r="A75" s="60" t="s">
        <v>79</v>
      </c>
      <c r="B75" s="50">
        <v>0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67</v>
      </c>
      <c r="K75" s="50">
        <v>67</v>
      </c>
      <c r="L75" s="50">
        <v>67</v>
      </c>
      <c r="M75" s="50">
        <v>45.8</v>
      </c>
      <c r="N75" s="50">
        <v>70.8</v>
      </c>
      <c r="O75" s="50">
        <v>77.599999999999994</v>
      </c>
      <c r="P75" s="50">
        <v>68.099999999999994</v>
      </c>
      <c r="Q75" s="50">
        <v>87.6</v>
      </c>
      <c r="R75" s="50">
        <v>89.1</v>
      </c>
      <c r="S75" s="50">
        <v>82.3</v>
      </c>
      <c r="T75" s="50">
        <v>78</v>
      </c>
      <c r="U75" s="50">
        <v>89.2</v>
      </c>
      <c r="V75" s="50">
        <v>86.4</v>
      </c>
      <c r="W75" s="50">
        <v>85.6</v>
      </c>
      <c r="X75" s="50">
        <v>80.3</v>
      </c>
      <c r="Y75" s="50">
        <v>83.2</v>
      </c>
      <c r="Z75" s="50">
        <v>69.7</v>
      </c>
      <c r="AA75" s="50">
        <v>59.8</v>
      </c>
      <c r="AB75" s="50">
        <v>66.099999999999994</v>
      </c>
      <c r="AC75" s="50">
        <v>66.7</v>
      </c>
      <c r="AD75" s="50">
        <v>82.4</v>
      </c>
      <c r="AE75" s="50">
        <v>21.4</v>
      </c>
      <c r="AF75" s="50">
        <v>23.6</v>
      </c>
      <c r="AG75" s="82"/>
      <c r="AH75" s="52">
        <f t="shared" ref="AH75:AH117" si="16">MAX(B75:AF75)</f>
        <v>89.2</v>
      </c>
      <c r="AI75" s="53">
        <f t="shared" ref="AI75:AI117" si="17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6"/>
        <v>0</v>
      </c>
      <c r="AI76" s="53">
        <f t="shared" si="17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6"/>
        <v>0</v>
      </c>
      <c r="AI77" s="53">
        <f t="shared" si="17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6"/>
        <v>0</v>
      </c>
      <c r="AI78" s="53">
        <f t="shared" si="17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6"/>
        <v>0</v>
      </c>
      <c r="AI79" s="53">
        <f t="shared" si="17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6"/>
        <v>0</v>
      </c>
      <c r="AI80" s="53">
        <f t="shared" si="17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6"/>
        <v>0</v>
      </c>
      <c r="AI81" s="53">
        <f t="shared" si="17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E82" si="18">SUMIF(B71:B81,"&gt;0")</f>
        <v>341</v>
      </c>
      <c r="C82" s="67">
        <f t="shared" si="18"/>
        <v>292</v>
      </c>
      <c r="D82" s="67">
        <f t="shared" si="18"/>
        <v>292</v>
      </c>
      <c r="E82" s="67">
        <f t="shared" si="18"/>
        <v>279</v>
      </c>
      <c r="F82" s="67">
        <f t="shared" si="18"/>
        <v>246</v>
      </c>
      <c r="G82" s="67">
        <f t="shared" si="18"/>
        <v>282</v>
      </c>
      <c r="H82" s="67">
        <f t="shared" si="18"/>
        <v>311</v>
      </c>
      <c r="I82" s="67">
        <f t="shared" si="18"/>
        <v>338</v>
      </c>
      <c r="J82" s="67">
        <f t="shared" si="18"/>
        <v>372.2</v>
      </c>
      <c r="K82" s="67">
        <f t="shared" si="18"/>
        <v>350</v>
      </c>
      <c r="L82" s="67">
        <f t="shared" si="18"/>
        <v>358</v>
      </c>
      <c r="M82" s="67">
        <f t="shared" si="18"/>
        <v>362.7</v>
      </c>
      <c r="N82" s="67">
        <f t="shared" si="18"/>
        <v>458.40000000000003</v>
      </c>
      <c r="O82" s="67">
        <f t="shared" si="18"/>
        <v>477.4</v>
      </c>
      <c r="P82" s="67">
        <f t="shared" si="18"/>
        <v>449</v>
      </c>
      <c r="Q82" s="67">
        <f t="shared" si="18"/>
        <v>468.79999999999995</v>
      </c>
      <c r="R82" s="67">
        <f t="shared" si="18"/>
        <v>474.6</v>
      </c>
      <c r="S82" s="67">
        <f t="shared" si="18"/>
        <v>466.8</v>
      </c>
      <c r="T82" s="67">
        <f t="shared" si="18"/>
        <v>438.59999999999997</v>
      </c>
      <c r="U82" s="67">
        <f t="shared" si="18"/>
        <v>489.1</v>
      </c>
      <c r="V82" s="67">
        <f t="shared" si="18"/>
        <v>425.5</v>
      </c>
      <c r="W82" s="67">
        <f t="shared" si="18"/>
        <v>448</v>
      </c>
      <c r="X82" s="67">
        <f t="shared" si="18"/>
        <v>455.00000000000006</v>
      </c>
      <c r="Y82" s="67">
        <f t="shared" si="18"/>
        <v>428.3</v>
      </c>
      <c r="Z82" s="67">
        <f t="shared" si="18"/>
        <v>437.7</v>
      </c>
      <c r="AA82" s="67">
        <f t="shared" si="18"/>
        <v>369.8</v>
      </c>
      <c r="AB82" s="67">
        <f t="shared" si="18"/>
        <v>363.70000000000005</v>
      </c>
      <c r="AC82" s="67">
        <f t="shared" si="18"/>
        <v>354.3</v>
      </c>
      <c r="AD82" s="67">
        <f t="shared" si="18"/>
        <v>380.20000000000005</v>
      </c>
      <c r="AE82" s="67">
        <f t="shared" si="18"/>
        <v>276.60000000000002</v>
      </c>
      <c r="AF82" s="67">
        <f t="shared" ref="AF82" si="19">SUMIF(AF71:AF81,"&gt;0")</f>
        <v>291.90000000000003</v>
      </c>
      <c r="AG82" s="95">
        <f>SUM(AG71:AG81)</f>
        <v>0</v>
      </c>
      <c r="AH82" s="52">
        <f t="shared" si="16"/>
        <v>489.1</v>
      </c>
      <c r="AI82" s="53">
        <f t="shared" si="17"/>
        <v>246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6"/>
        <v>0</v>
      </c>
      <c r="AI83" s="53">
        <f t="shared" si="17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6"/>
        <v>0</v>
      </c>
      <c r="AI84" s="53">
        <f t="shared" si="17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6"/>
        <v>0</v>
      </c>
      <c r="AI85" s="53">
        <f t="shared" si="17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6"/>
        <v>0</v>
      </c>
      <c r="AI86" s="53">
        <f t="shared" si="17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20">B48+B52+B70+B66+B82+B86</f>
        <v>888.04</v>
      </c>
      <c r="C87" s="102">
        <f t="shared" si="20"/>
        <v>820.04</v>
      </c>
      <c r="D87" s="102">
        <f t="shared" si="20"/>
        <v>809.04</v>
      </c>
      <c r="E87" s="102">
        <f t="shared" si="20"/>
        <v>779.04</v>
      </c>
      <c r="F87" s="102">
        <f t="shared" si="20"/>
        <v>733.33999999999992</v>
      </c>
      <c r="G87" s="102">
        <f t="shared" si="20"/>
        <v>776.14</v>
      </c>
      <c r="H87" s="102">
        <f t="shared" si="20"/>
        <v>859.64</v>
      </c>
      <c r="I87" s="102">
        <f t="shared" si="20"/>
        <v>889.94</v>
      </c>
      <c r="J87" s="102">
        <f t="shared" si="20"/>
        <v>949.1400000000001</v>
      </c>
      <c r="K87" s="102">
        <f t="shared" si="20"/>
        <v>926.94</v>
      </c>
      <c r="L87" s="102">
        <f t="shared" si="20"/>
        <v>1029.94</v>
      </c>
      <c r="M87" s="102">
        <f t="shared" si="20"/>
        <v>1154.74</v>
      </c>
      <c r="N87" s="102">
        <f t="shared" si="20"/>
        <v>1187.6399999999999</v>
      </c>
      <c r="O87" s="102">
        <f t="shared" si="20"/>
        <v>1137.3399999999999</v>
      </c>
      <c r="P87" s="102">
        <f t="shared" si="20"/>
        <v>1145.74</v>
      </c>
      <c r="Q87" s="102">
        <f t="shared" si="20"/>
        <v>1138.6399999999999</v>
      </c>
      <c r="R87" s="102">
        <f t="shared" si="20"/>
        <v>1136.8399999999999</v>
      </c>
      <c r="S87" s="102">
        <f t="shared" si="20"/>
        <v>1159.1399999999999</v>
      </c>
      <c r="T87" s="102">
        <f t="shared" si="20"/>
        <v>1164.8399999999999</v>
      </c>
      <c r="U87" s="102">
        <f t="shared" si="20"/>
        <v>1227.2399999999998</v>
      </c>
      <c r="V87" s="102">
        <f t="shared" si="20"/>
        <v>1129.54</v>
      </c>
      <c r="W87" s="102">
        <f t="shared" si="20"/>
        <v>1117.24</v>
      </c>
      <c r="X87" s="102">
        <f t="shared" si="20"/>
        <v>1151.04</v>
      </c>
      <c r="Y87" s="102">
        <f t="shared" si="20"/>
        <v>1279.3399999999999</v>
      </c>
      <c r="Z87" s="102">
        <f t="shared" si="20"/>
        <v>1303.04</v>
      </c>
      <c r="AA87" s="102">
        <f t="shared" si="20"/>
        <v>1262.2399999999998</v>
      </c>
      <c r="AB87" s="102">
        <f t="shared" si="20"/>
        <v>1227.04</v>
      </c>
      <c r="AC87" s="102">
        <f t="shared" si="20"/>
        <v>1153.8399999999999</v>
      </c>
      <c r="AD87" s="102">
        <f t="shared" si="20"/>
        <v>1132.54</v>
      </c>
      <c r="AE87" s="102">
        <f t="shared" si="20"/>
        <v>1001.2399999999999</v>
      </c>
      <c r="AF87" s="102">
        <f t="shared" si="20"/>
        <v>940.6400000000001</v>
      </c>
      <c r="AG87" s="68">
        <f t="shared" si="20"/>
        <v>2065.09</v>
      </c>
      <c r="AH87" s="52">
        <f>MAX(B87:AF87)</f>
        <v>1303.04</v>
      </c>
      <c r="AI87" s="53">
        <f>MIN(B87:AF87)</f>
        <v>733.33999999999992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50</v>
      </c>
      <c r="L88" s="104">
        <v>50</v>
      </c>
      <c r="M88" s="104">
        <v>50</v>
      </c>
      <c r="N88" s="104">
        <v>50</v>
      </c>
      <c r="O88" s="104">
        <v>50</v>
      </c>
      <c r="P88" s="104">
        <v>50</v>
      </c>
      <c r="Q88" s="104">
        <v>50</v>
      </c>
      <c r="R88" s="104">
        <v>50</v>
      </c>
      <c r="S88" s="104">
        <v>50</v>
      </c>
      <c r="T88" s="104">
        <v>50</v>
      </c>
      <c r="U88" s="104">
        <v>50</v>
      </c>
      <c r="V88" s="104">
        <v>50</v>
      </c>
      <c r="W88" s="104">
        <v>50</v>
      </c>
      <c r="X88" s="104">
        <v>80</v>
      </c>
      <c r="Y88" s="104">
        <v>50</v>
      </c>
      <c r="Z88" s="104">
        <v>50</v>
      </c>
      <c r="AA88" s="104">
        <v>50</v>
      </c>
      <c r="AB88" s="104">
        <v>50</v>
      </c>
      <c r="AC88" s="104">
        <v>50</v>
      </c>
      <c r="AD88" s="104">
        <v>50</v>
      </c>
      <c r="AE88" s="104">
        <v>30</v>
      </c>
      <c r="AF88" s="104">
        <v>30</v>
      </c>
      <c r="AG88" s="95"/>
      <c r="AH88" s="52">
        <f t="shared" si="16"/>
        <v>80</v>
      </c>
      <c r="AI88" s="53">
        <f t="shared" si="17"/>
        <v>30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21">B87+B88</f>
        <v>888.04</v>
      </c>
      <c r="C89" s="102">
        <f t="shared" si="21"/>
        <v>820.04</v>
      </c>
      <c r="D89" s="102">
        <f t="shared" si="21"/>
        <v>809.04</v>
      </c>
      <c r="E89" s="102">
        <f t="shared" si="21"/>
        <v>779.04</v>
      </c>
      <c r="F89" s="102">
        <f t="shared" si="21"/>
        <v>733.33999999999992</v>
      </c>
      <c r="G89" s="102">
        <f t="shared" si="21"/>
        <v>776.14</v>
      </c>
      <c r="H89" s="102">
        <f t="shared" si="21"/>
        <v>859.64</v>
      </c>
      <c r="I89" s="102">
        <f t="shared" si="21"/>
        <v>889.94</v>
      </c>
      <c r="J89" s="102">
        <f t="shared" si="21"/>
        <v>949.1400000000001</v>
      </c>
      <c r="K89" s="102">
        <f t="shared" si="21"/>
        <v>976.94</v>
      </c>
      <c r="L89" s="102">
        <f t="shared" si="21"/>
        <v>1079.94</v>
      </c>
      <c r="M89" s="102">
        <f t="shared" si="21"/>
        <v>1204.74</v>
      </c>
      <c r="N89" s="102">
        <f t="shared" si="21"/>
        <v>1237.6399999999999</v>
      </c>
      <c r="O89" s="102">
        <f t="shared" si="21"/>
        <v>1187.3399999999999</v>
      </c>
      <c r="P89" s="102">
        <f t="shared" si="21"/>
        <v>1195.74</v>
      </c>
      <c r="Q89" s="102">
        <f t="shared" si="21"/>
        <v>1188.6399999999999</v>
      </c>
      <c r="R89" s="102">
        <f t="shared" si="21"/>
        <v>1186.8399999999999</v>
      </c>
      <c r="S89" s="102">
        <f t="shared" si="21"/>
        <v>1209.1399999999999</v>
      </c>
      <c r="T89" s="102">
        <f t="shared" si="21"/>
        <v>1214.8399999999999</v>
      </c>
      <c r="U89" s="102">
        <f t="shared" si="21"/>
        <v>1277.2399999999998</v>
      </c>
      <c r="V89" s="102">
        <f t="shared" si="21"/>
        <v>1179.54</v>
      </c>
      <c r="W89" s="102">
        <f t="shared" si="21"/>
        <v>1167.24</v>
      </c>
      <c r="X89" s="102">
        <f t="shared" si="21"/>
        <v>1231.04</v>
      </c>
      <c r="Y89" s="102">
        <f t="shared" si="21"/>
        <v>1329.34</v>
      </c>
      <c r="Z89" s="102">
        <f t="shared" si="21"/>
        <v>1353.04</v>
      </c>
      <c r="AA89" s="102">
        <f t="shared" si="21"/>
        <v>1312.2399999999998</v>
      </c>
      <c r="AB89" s="102">
        <f t="shared" si="21"/>
        <v>1277.04</v>
      </c>
      <c r="AC89" s="102">
        <f t="shared" si="21"/>
        <v>1203.8399999999999</v>
      </c>
      <c r="AD89" s="102">
        <f t="shared" si="21"/>
        <v>1182.54</v>
      </c>
      <c r="AE89" s="102">
        <f t="shared" si="21"/>
        <v>1031.2399999999998</v>
      </c>
      <c r="AF89" s="102">
        <f t="shared" si="21"/>
        <v>970.6400000000001</v>
      </c>
      <c r="AG89" s="95">
        <f>AG86+AG82+AG70+AG66+AG48+AG88</f>
        <v>1526.99</v>
      </c>
      <c r="AH89" s="52">
        <f t="shared" si="16"/>
        <v>1353.04</v>
      </c>
      <c r="AI89" s="53">
        <f t="shared" si="17"/>
        <v>733.33999999999992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22">B89-B97</f>
        <v>888.04</v>
      </c>
      <c r="C90" s="102">
        <f t="shared" si="22"/>
        <v>820.04</v>
      </c>
      <c r="D90" s="102">
        <f t="shared" si="22"/>
        <v>809.04</v>
      </c>
      <c r="E90" s="102">
        <f t="shared" si="22"/>
        <v>779.04</v>
      </c>
      <c r="F90" s="102">
        <f t="shared" si="22"/>
        <v>733.33999999999992</v>
      </c>
      <c r="G90" s="102">
        <f t="shared" si="22"/>
        <v>776.14</v>
      </c>
      <c r="H90" s="102">
        <f t="shared" si="22"/>
        <v>859.64</v>
      </c>
      <c r="I90" s="102">
        <f t="shared" si="22"/>
        <v>889.94</v>
      </c>
      <c r="J90" s="102">
        <f t="shared" si="22"/>
        <v>949.1400000000001</v>
      </c>
      <c r="K90" s="102">
        <f t="shared" si="22"/>
        <v>976.94</v>
      </c>
      <c r="L90" s="102">
        <f t="shared" si="22"/>
        <v>1079.94</v>
      </c>
      <c r="M90" s="102">
        <f t="shared" si="22"/>
        <v>1204.74</v>
      </c>
      <c r="N90" s="102">
        <f t="shared" si="22"/>
        <v>1237.6399999999999</v>
      </c>
      <c r="O90" s="102">
        <f t="shared" si="22"/>
        <v>1187.3399999999999</v>
      </c>
      <c r="P90" s="102">
        <f t="shared" si="22"/>
        <v>1195.74</v>
      </c>
      <c r="Q90" s="102">
        <f t="shared" si="22"/>
        <v>1188.6399999999999</v>
      </c>
      <c r="R90" s="102">
        <f t="shared" si="22"/>
        <v>1186.8399999999999</v>
      </c>
      <c r="S90" s="102">
        <f t="shared" si="22"/>
        <v>1209.1399999999999</v>
      </c>
      <c r="T90" s="102">
        <f t="shared" si="22"/>
        <v>1214.8399999999999</v>
      </c>
      <c r="U90" s="102">
        <f t="shared" si="22"/>
        <v>1277.2399999999998</v>
      </c>
      <c r="V90" s="102">
        <f t="shared" si="22"/>
        <v>1179.54</v>
      </c>
      <c r="W90" s="102">
        <f t="shared" si="22"/>
        <v>1167.24</v>
      </c>
      <c r="X90" s="102">
        <f t="shared" si="22"/>
        <v>1231.04</v>
      </c>
      <c r="Y90" s="102">
        <f t="shared" si="22"/>
        <v>1329.34</v>
      </c>
      <c r="Z90" s="102">
        <f t="shared" si="22"/>
        <v>1353.04</v>
      </c>
      <c r="AA90" s="102">
        <f t="shared" si="22"/>
        <v>1312.2399999999998</v>
      </c>
      <c r="AB90" s="102">
        <f t="shared" si="22"/>
        <v>1277.04</v>
      </c>
      <c r="AC90" s="102">
        <f t="shared" si="22"/>
        <v>1203.8399999999999</v>
      </c>
      <c r="AD90" s="102">
        <f t="shared" si="22"/>
        <v>1182.54</v>
      </c>
      <c r="AE90" s="102">
        <f t="shared" si="22"/>
        <v>1031.2399999999998</v>
      </c>
      <c r="AF90" s="102">
        <f t="shared" si="22"/>
        <v>970.6400000000001</v>
      </c>
      <c r="AG90" s="95"/>
      <c r="AH90" s="52">
        <f t="shared" si="16"/>
        <v>1353.04</v>
      </c>
      <c r="AI90" s="53">
        <f t="shared" si="17"/>
        <v>733.33999999999992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6"/>
        <v>0</v>
      </c>
      <c r="AI91" s="53">
        <f t="shared" si="17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6"/>
        <v>0</v>
      </c>
      <c r="AI92" s="53">
        <f t="shared" si="17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6"/>
        <v>0</v>
      </c>
      <c r="AI93" s="53">
        <f t="shared" si="17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6"/>
        <v>0</v>
      </c>
      <c r="AI94" s="53">
        <f t="shared" si="17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6"/>
        <v>0</v>
      </c>
      <c r="AI95" s="53">
        <f t="shared" si="17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6"/>
        <v>0</v>
      </c>
      <c r="AI96" s="53">
        <f t="shared" si="17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6"/>
        <v>0</v>
      </c>
      <c r="AI97" s="53">
        <f t="shared" si="17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3">B82-B97</f>
        <v>341</v>
      </c>
      <c r="C98" s="67">
        <f t="shared" si="23"/>
        <v>292</v>
      </c>
      <c r="D98" s="67">
        <f t="shared" si="23"/>
        <v>292</v>
      </c>
      <c r="E98" s="67">
        <f t="shared" si="23"/>
        <v>279</v>
      </c>
      <c r="F98" s="67">
        <f t="shared" si="23"/>
        <v>246</v>
      </c>
      <c r="G98" s="67">
        <f t="shared" si="23"/>
        <v>282</v>
      </c>
      <c r="H98" s="67">
        <f t="shared" si="23"/>
        <v>311</v>
      </c>
      <c r="I98" s="67">
        <f t="shared" si="23"/>
        <v>338</v>
      </c>
      <c r="J98" s="67">
        <f t="shared" si="23"/>
        <v>372.2</v>
      </c>
      <c r="K98" s="67">
        <f t="shared" si="23"/>
        <v>350</v>
      </c>
      <c r="L98" s="67">
        <f t="shared" si="23"/>
        <v>358</v>
      </c>
      <c r="M98" s="67">
        <f t="shared" si="23"/>
        <v>362.7</v>
      </c>
      <c r="N98" s="67">
        <f t="shared" si="23"/>
        <v>458.40000000000003</v>
      </c>
      <c r="O98" s="67">
        <f t="shared" si="23"/>
        <v>477.4</v>
      </c>
      <c r="P98" s="67">
        <f t="shared" si="23"/>
        <v>449</v>
      </c>
      <c r="Q98" s="67">
        <f t="shared" si="23"/>
        <v>468.79999999999995</v>
      </c>
      <c r="R98" s="67">
        <f t="shared" si="23"/>
        <v>474.6</v>
      </c>
      <c r="S98" s="67">
        <f t="shared" si="23"/>
        <v>466.8</v>
      </c>
      <c r="T98" s="67">
        <f t="shared" si="23"/>
        <v>438.59999999999997</v>
      </c>
      <c r="U98" s="67">
        <f t="shared" si="23"/>
        <v>489.1</v>
      </c>
      <c r="V98" s="67">
        <f t="shared" si="23"/>
        <v>425.5</v>
      </c>
      <c r="W98" s="67">
        <f t="shared" si="23"/>
        <v>448</v>
      </c>
      <c r="X98" s="67">
        <f t="shared" si="23"/>
        <v>455.00000000000006</v>
      </c>
      <c r="Y98" s="67">
        <f t="shared" si="23"/>
        <v>428.3</v>
      </c>
      <c r="Z98" s="67">
        <f t="shared" si="23"/>
        <v>437.7</v>
      </c>
      <c r="AA98" s="67">
        <f t="shared" si="23"/>
        <v>369.8</v>
      </c>
      <c r="AB98" s="67">
        <f t="shared" si="23"/>
        <v>363.70000000000005</v>
      </c>
      <c r="AC98" s="67">
        <f t="shared" si="23"/>
        <v>354.3</v>
      </c>
      <c r="AD98" s="67">
        <f t="shared" si="23"/>
        <v>380.20000000000005</v>
      </c>
      <c r="AE98" s="67">
        <f t="shared" si="23"/>
        <v>276.60000000000002</v>
      </c>
      <c r="AF98" s="67">
        <f t="shared" si="23"/>
        <v>291.90000000000003</v>
      </c>
      <c r="AG98" s="95"/>
      <c r="AH98" s="52">
        <f t="shared" si="16"/>
        <v>489.1</v>
      </c>
      <c r="AI98" s="53">
        <f t="shared" si="17"/>
        <v>246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49.93</v>
      </c>
      <c r="C99" s="108">
        <v>49.94</v>
      </c>
      <c r="D99" s="108">
        <v>49.92</v>
      </c>
      <c r="E99" s="108">
        <v>49.92</v>
      </c>
      <c r="F99" s="108">
        <v>49.98</v>
      </c>
      <c r="G99" s="108">
        <v>50.12</v>
      </c>
      <c r="H99" s="108">
        <v>50.05</v>
      </c>
      <c r="I99" s="108">
        <v>50.1</v>
      </c>
      <c r="J99" s="108">
        <v>49.88</v>
      </c>
      <c r="K99" s="108">
        <v>50.04</v>
      </c>
      <c r="L99" s="108">
        <v>50.08</v>
      </c>
      <c r="M99" s="108">
        <v>50</v>
      </c>
      <c r="N99" s="108">
        <v>50.006999999999998</v>
      </c>
      <c r="O99" s="108">
        <v>50.009</v>
      </c>
      <c r="P99" s="108">
        <v>49.988</v>
      </c>
      <c r="Q99" s="108">
        <v>49.886000000000003</v>
      </c>
      <c r="R99" s="108">
        <v>50.204999999999998</v>
      </c>
      <c r="S99" s="108">
        <v>49.942999999999998</v>
      </c>
      <c r="T99" s="108">
        <v>49.792000000000002</v>
      </c>
      <c r="U99" s="108">
        <v>49.823999999999998</v>
      </c>
      <c r="V99" s="108">
        <v>50.07</v>
      </c>
      <c r="W99" s="108">
        <v>49.927</v>
      </c>
      <c r="X99" s="108">
        <v>49.863999999999997</v>
      </c>
      <c r="Y99" s="108">
        <v>49.97</v>
      </c>
      <c r="Z99" s="108">
        <v>50</v>
      </c>
      <c r="AA99" s="108">
        <v>49.984000000000002</v>
      </c>
      <c r="AB99" s="108">
        <v>50.110999999999997</v>
      </c>
      <c r="AC99" s="108">
        <v>49.920999999999999</v>
      </c>
      <c r="AD99" s="108">
        <v>49.94</v>
      </c>
      <c r="AE99" s="108">
        <v>49.92</v>
      </c>
      <c r="AF99" s="108">
        <v>50.05</v>
      </c>
      <c r="AG99" s="109"/>
      <c r="AH99" s="52">
        <f t="shared" si="16"/>
        <v>50.204999999999998</v>
      </c>
      <c r="AI99" s="53">
        <f t="shared" si="17"/>
        <v>49.792000000000002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128</v>
      </c>
      <c r="C100" s="72">
        <v>129</v>
      </c>
      <c r="D100" s="72">
        <v>129.6</v>
      </c>
      <c r="E100" s="72">
        <v>130.4</v>
      </c>
      <c r="F100" s="72">
        <v>129</v>
      </c>
      <c r="G100" s="72">
        <v>127.3</v>
      </c>
      <c r="H100" s="72">
        <v>127.9</v>
      </c>
      <c r="I100" s="72">
        <v>129.6</v>
      </c>
      <c r="J100" s="72">
        <v>128.30000000000001</v>
      </c>
      <c r="K100" s="72">
        <v>126.2</v>
      </c>
      <c r="L100" s="72">
        <v>127.7</v>
      </c>
      <c r="M100" s="72">
        <v>127.1</v>
      </c>
      <c r="N100" s="72">
        <v>127.3</v>
      </c>
      <c r="O100" s="72">
        <v>126.3</v>
      </c>
      <c r="P100" s="72">
        <v>126.3</v>
      </c>
      <c r="Q100" s="72">
        <v>123.4</v>
      </c>
      <c r="R100" s="72">
        <v>124.3</v>
      </c>
      <c r="S100" s="72">
        <v>124.1</v>
      </c>
      <c r="T100" s="72">
        <v>125.1</v>
      </c>
      <c r="U100" s="72">
        <v>124</v>
      </c>
      <c r="V100" s="72">
        <v>125.7</v>
      </c>
      <c r="W100" s="72">
        <v>126.1</v>
      </c>
      <c r="X100" s="72">
        <v>126.7</v>
      </c>
      <c r="Y100" s="72">
        <v>126</v>
      </c>
      <c r="Z100" s="72">
        <v>125.3</v>
      </c>
      <c r="AA100" s="72">
        <v>125.9</v>
      </c>
      <c r="AB100" s="72">
        <v>126.9</v>
      </c>
      <c r="AC100" s="72">
        <v>127.2</v>
      </c>
      <c r="AD100" s="72">
        <v>127.3</v>
      </c>
      <c r="AE100" s="72">
        <v>127.3</v>
      </c>
      <c r="AF100" s="72">
        <v>127.4</v>
      </c>
      <c r="AG100" s="111"/>
      <c r="AH100" s="52">
        <f t="shared" si="16"/>
        <v>130.4</v>
      </c>
      <c r="AI100" s="53">
        <f t="shared" si="17"/>
        <v>123.4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</v>
      </c>
      <c r="C101" s="72">
        <v>132.9</v>
      </c>
      <c r="D101" s="72">
        <v>133</v>
      </c>
      <c r="E101" s="72">
        <v>132</v>
      </c>
      <c r="F101" s="72">
        <v>131.4</v>
      </c>
      <c r="G101" s="72">
        <v>130.69999999999999</v>
      </c>
      <c r="H101" s="72">
        <v>131.30000000000001</v>
      </c>
      <c r="I101" s="72">
        <v>66.3</v>
      </c>
      <c r="J101" s="72">
        <v>130.6</v>
      </c>
      <c r="K101" s="72">
        <v>64.099999999999994</v>
      </c>
      <c r="L101" s="72">
        <v>65.5</v>
      </c>
      <c r="M101" s="72">
        <v>129.19999999999999</v>
      </c>
      <c r="N101" s="72">
        <v>129.69999999999999</v>
      </c>
      <c r="O101" s="72">
        <v>128.69999999999999</v>
      </c>
      <c r="P101" s="72">
        <v>128.69999999999999</v>
      </c>
      <c r="Q101" s="72">
        <v>126.3</v>
      </c>
      <c r="R101" s="72">
        <v>127.6</v>
      </c>
      <c r="S101" s="72">
        <v>126.9</v>
      </c>
      <c r="T101" s="72">
        <v>128</v>
      </c>
      <c r="U101" s="72">
        <v>127.1</v>
      </c>
      <c r="V101" s="72">
        <v>128.5</v>
      </c>
      <c r="W101" s="72">
        <v>128.9</v>
      </c>
      <c r="X101" s="72">
        <v>129</v>
      </c>
      <c r="Y101" s="72">
        <v>128.1</v>
      </c>
      <c r="Z101" s="72">
        <v>127.3</v>
      </c>
      <c r="AA101" s="72">
        <v>128.1</v>
      </c>
      <c r="AB101" s="72">
        <v>129.5</v>
      </c>
      <c r="AC101" s="72">
        <v>129.9</v>
      </c>
      <c r="AD101" s="72">
        <v>129.9</v>
      </c>
      <c r="AE101" s="72">
        <v>131</v>
      </c>
      <c r="AF101" s="72">
        <v>130.9</v>
      </c>
      <c r="AG101" s="111"/>
      <c r="AH101" s="52">
        <f t="shared" si="16"/>
        <v>133</v>
      </c>
      <c r="AI101" s="53">
        <f t="shared" si="17"/>
        <v>64.099999999999994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</v>
      </c>
      <c r="C102" s="72">
        <v>133</v>
      </c>
      <c r="D102" s="72">
        <v>130</v>
      </c>
      <c r="E102" s="72">
        <v>131</v>
      </c>
      <c r="F102" s="72">
        <v>132.4</v>
      </c>
      <c r="G102" s="72">
        <v>129</v>
      </c>
      <c r="H102" s="72">
        <v>127.8</v>
      </c>
      <c r="I102" s="72">
        <v>130.80000000000001</v>
      </c>
      <c r="J102" s="72">
        <v>129.19999999999999</v>
      </c>
      <c r="K102" s="72">
        <v>127.2</v>
      </c>
      <c r="L102" s="72">
        <v>129.35</v>
      </c>
      <c r="M102" s="72">
        <v>127.3</v>
      </c>
      <c r="N102" s="72">
        <v>129.30000000000001</v>
      </c>
      <c r="O102" s="72">
        <v>127.7</v>
      </c>
      <c r="P102" s="72">
        <v>127.7</v>
      </c>
      <c r="Q102" s="72">
        <v>131.4</v>
      </c>
      <c r="R102" s="72">
        <v>130</v>
      </c>
      <c r="S102" s="72">
        <v>126.5</v>
      </c>
      <c r="T102" s="72">
        <v>129.4</v>
      </c>
      <c r="U102" s="72">
        <v>129.19999999999999</v>
      </c>
      <c r="V102" s="72">
        <v>131.80000000000001</v>
      </c>
      <c r="W102" s="72">
        <v>131.1</v>
      </c>
      <c r="X102" s="72">
        <v>131.5</v>
      </c>
      <c r="Y102" s="72">
        <v>128.9</v>
      </c>
      <c r="Z102" s="72">
        <v>130</v>
      </c>
      <c r="AA102" s="72">
        <v>131.69999999999999</v>
      </c>
      <c r="AB102" s="72">
        <v>130.69999999999999</v>
      </c>
      <c r="AC102" s="72">
        <v>130.19999999999999</v>
      </c>
      <c r="AD102" s="72">
        <v>131.69999999999999</v>
      </c>
      <c r="AE102" s="72">
        <v>130.9</v>
      </c>
      <c r="AF102" s="72">
        <v>131.30000000000001</v>
      </c>
      <c r="AG102" s="111"/>
      <c r="AH102" s="52">
        <f t="shared" si="16"/>
        <v>133</v>
      </c>
      <c r="AI102" s="53">
        <f t="shared" si="17"/>
        <v>126.5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6"/>
        <v>0</v>
      </c>
      <c r="AI103" s="53">
        <f t="shared" si="17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132</v>
      </c>
      <c r="C104" s="113">
        <v>132</v>
      </c>
      <c r="D104" s="113">
        <v>133</v>
      </c>
      <c r="E104" s="113">
        <v>132</v>
      </c>
      <c r="F104" s="113">
        <v>131.6</v>
      </c>
      <c r="G104" s="113">
        <v>130.69999999999999</v>
      </c>
      <c r="H104" s="113">
        <v>134.6</v>
      </c>
      <c r="I104" s="113">
        <v>136.4</v>
      </c>
      <c r="J104" s="113">
        <v>135</v>
      </c>
      <c r="K104" s="113">
        <v>131.80000000000001</v>
      </c>
      <c r="L104" s="113">
        <v>136.69999999999999</v>
      </c>
      <c r="M104" s="113">
        <v>135.5</v>
      </c>
      <c r="N104" s="113">
        <v>133.5</v>
      </c>
      <c r="O104" s="113">
        <v>134.4</v>
      </c>
      <c r="P104" s="113">
        <v>134.4</v>
      </c>
      <c r="Q104" s="113">
        <v>132</v>
      </c>
      <c r="R104" s="113">
        <v>132.4</v>
      </c>
      <c r="S104" s="113">
        <v>130.30000000000001</v>
      </c>
      <c r="T104" s="113">
        <v>134.19999999999999</v>
      </c>
      <c r="U104" s="113">
        <v>131.19999999999999</v>
      </c>
      <c r="V104" s="113">
        <v>134.1</v>
      </c>
      <c r="W104" s="113">
        <v>135.1</v>
      </c>
      <c r="X104" s="113">
        <v>132.1</v>
      </c>
      <c r="Y104" s="113">
        <v>134.69999999999999</v>
      </c>
      <c r="Z104" s="113">
        <v>136.80000000000001</v>
      </c>
      <c r="AA104" s="113">
        <v>130.80000000000001</v>
      </c>
      <c r="AB104" s="113">
        <v>131.1</v>
      </c>
      <c r="AC104" s="113">
        <v>133.6</v>
      </c>
      <c r="AD104" s="113">
        <v>130.1</v>
      </c>
      <c r="AE104" s="113">
        <v>133.30000000000001</v>
      </c>
      <c r="AF104" s="113">
        <v>131.1</v>
      </c>
      <c r="AG104" s="114"/>
      <c r="AH104" s="52">
        <f t="shared" si="16"/>
        <v>136.80000000000001</v>
      </c>
      <c r="AI104" s="53">
        <f t="shared" si="17"/>
        <v>130.1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135</v>
      </c>
      <c r="C105" s="72">
        <v>135</v>
      </c>
      <c r="D105" s="72">
        <v>137</v>
      </c>
      <c r="E105" s="72">
        <v>135</v>
      </c>
      <c r="F105" s="72">
        <v>136</v>
      </c>
      <c r="G105" s="72">
        <v>135.69999999999999</v>
      </c>
      <c r="H105" s="72">
        <v>134.4</v>
      </c>
      <c r="I105" s="72">
        <v>132.6</v>
      </c>
      <c r="J105" s="72">
        <v>132.6</v>
      </c>
      <c r="K105" s="72">
        <v>129.1</v>
      </c>
      <c r="L105" s="72">
        <v>127</v>
      </c>
      <c r="M105" s="72">
        <v>128.4</v>
      </c>
      <c r="N105" s="72">
        <v>129.9</v>
      </c>
      <c r="O105" s="72">
        <v>131.19999999999999</v>
      </c>
      <c r="P105" s="72">
        <v>131.19999999999999</v>
      </c>
      <c r="Q105" s="113">
        <v>135.4</v>
      </c>
      <c r="R105" s="72">
        <v>131.4</v>
      </c>
      <c r="S105" s="72">
        <v>132.1</v>
      </c>
      <c r="T105" s="72">
        <v>134.69999999999999</v>
      </c>
      <c r="U105" s="72">
        <v>129.4</v>
      </c>
      <c r="V105" s="72">
        <v>139.30000000000001</v>
      </c>
      <c r="W105" s="72">
        <v>134.30000000000001</v>
      </c>
      <c r="X105" s="72">
        <v>137</v>
      </c>
      <c r="Y105" s="72">
        <v>138.19999999999999</v>
      </c>
      <c r="Z105" s="72">
        <v>128.6</v>
      </c>
      <c r="AA105" s="72">
        <v>126.3</v>
      </c>
      <c r="AB105" s="72">
        <v>135.4</v>
      </c>
      <c r="AC105" s="72">
        <v>132.5</v>
      </c>
      <c r="AD105" s="72">
        <v>134.5</v>
      </c>
      <c r="AE105" s="72">
        <v>134</v>
      </c>
      <c r="AF105" s="72">
        <v>132.80000000000001</v>
      </c>
      <c r="AG105" s="111"/>
      <c r="AH105" s="52">
        <f t="shared" si="16"/>
        <v>139.30000000000001</v>
      </c>
      <c r="AI105" s="53">
        <f t="shared" si="17"/>
        <v>126.3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</v>
      </c>
      <c r="C106" s="99">
        <v>66</v>
      </c>
      <c r="D106" s="99">
        <v>66</v>
      </c>
      <c r="E106" s="99">
        <v>66</v>
      </c>
      <c r="F106" s="99">
        <v>67</v>
      </c>
      <c r="G106" s="99">
        <v>65.5</v>
      </c>
      <c r="H106" s="99">
        <v>65.7</v>
      </c>
      <c r="I106" s="99">
        <v>66.3</v>
      </c>
      <c r="J106" s="99">
        <v>65.8</v>
      </c>
      <c r="K106" s="99">
        <v>64.7</v>
      </c>
      <c r="L106" s="99">
        <v>65.599999999999994</v>
      </c>
      <c r="M106" s="99">
        <v>64.900000000000006</v>
      </c>
      <c r="N106" s="99">
        <v>64.8</v>
      </c>
      <c r="O106" s="99">
        <v>64.599999999999994</v>
      </c>
      <c r="P106" s="99">
        <v>64.599999999999994</v>
      </c>
      <c r="Q106" s="99">
        <v>66.2</v>
      </c>
      <c r="R106" s="99">
        <v>64</v>
      </c>
      <c r="S106" s="99">
        <v>63.7</v>
      </c>
      <c r="T106" s="99">
        <v>64.400000000000006</v>
      </c>
      <c r="U106" s="99">
        <v>63.9</v>
      </c>
      <c r="V106" s="99">
        <v>64.8</v>
      </c>
      <c r="W106" s="99">
        <v>65</v>
      </c>
      <c r="X106" s="99">
        <v>65.2</v>
      </c>
      <c r="Y106" s="99">
        <v>64.5</v>
      </c>
      <c r="Z106" s="99">
        <v>64.2</v>
      </c>
      <c r="AA106" s="99">
        <v>64.7</v>
      </c>
      <c r="AB106" s="99">
        <v>65.3</v>
      </c>
      <c r="AC106" s="99">
        <v>65.3</v>
      </c>
      <c r="AD106" s="99">
        <v>65.3</v>
      </c>
      <c r="AE106" s="99">
        <v>66</v>
      </c>
      <c r="AF106" s="99">
        <v>65.900000000000006</v>
      </c>
      <c r="AG106" s="115"/>
      <c r="AH106" s="52">
        <f t="shared" si="16"/>
        <v>67</v>
      </c>
      <c r="AI106" s="53">
        <f t="shared" si="17"/>
        <v>63.7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6"/>
        <v>0</v>
      </c>
      <c r="AI107" s="53">
        <f t="shared" si="17"/>
        <v>0</v>
      </c>
    </row>
    <row r="108" spans="1:88" ht="15.75" thickBot="1" x14ac:dyDescent="0.3">
      <c r="A108" s="117" t="s">
        <v>112</v>
      </c>
      <c r="B108" s="118">
        <f t="shared" ref="B108:AF108" si="24">SUM(B18,B24,B27:B28,B56,B58:B59,B61,B63,B109:B113,B135,B141,B147,B156,B158,B170,B177,B180:B181,B188,B190,B192,B196:B198,B200:B202,B207,B213:B214,B216:B218,B226,B231)</f>
        <v>98.1</v>
      </c>
      <c r="C108" s="118">
        <f t="shared" si="24"/>
        <v>88.039999999999992</v>
      </c>
      <c r="D108" s="118">
        <f t="shared" si="24"/>
        <v>77.039999999999992</v>
      </c>
      <c r="E108" s="118">
        <f t="shared" si="24"/>
        <v>-0.56000000000000527</v>
      </c>
      <c r="F108" s="118">
        <f t="shared" si="24"/>
        <v>3.3399999999999914</v>
      </c>
      <c r="G108" s="118">
        <f t="shared" si="24"/>
        <v>128.64000000000001</v>
      </c>
      <c r="H108" s="118">
        <f t="shared" si="24"/>
        <v>120.53999999999999</v>
      </c>
      <c r="I108" s="118">
        <f t="shared" si="24"/>
        <v>218.83999999999997</v>
      </c>
      <c r="J108" s="118">
        <f t="shared" si="24"/>
        <v>225.83999999999997</v>
      </c>
      <c r="K108" s="118">
        <f t="shared" si="24"/>
        <v>232.23999999999998</v>
      </c>
      <c r="L108" s="118">
        <f t="shared" si="24"/>
        <v>278.64</v>
      </c>
      <c r="M108" s="118">
        <f t="shared" si="24"/>
        <v>304.14</v>
      </c>
      <c r="N108" s="118">
        <f t="shared" si="24"/>
        <v>289.94</v>
      </c>
      <c r="O108" s="118">
        <f t="shared" si="24"/>
        <v>271.94</v>
      </c>
      <c r="P108" s="118">
        <v>42</v>
      </c>
      <c r="Q108" s="118">
        <f t="shared" si="24"/>
        <v>239.3</v>
      </c>
      <c r="R108" s="118">
        <f t="shared" si="24"/>
        <v>238.90000000000003</v>
      </c>
      <c r="S108" s="118">
        <f t="shared" si="24"/>
        <v>247</v>
      </c>
      <c r="T108" s="118">
        <f t="shared" si="24"/>
        <v>253.60000000000002</v>
      </c>
      <c r="U108" s="118">
        <f t="shared" si="24"/>
        <v>253.4</v>
      </c>
      <c r="V108" s="118">
        <f t="shared" si="24"/>
        <v>264.8</v>
      </c>
      <c r="W108" s="118">
        <f t="shared" si="24"/>
        <v>257.40000000000003</v>
      </c>
      <c r="X108" s="118">
        <f t="shared" si="24"/>
        <v>272.5</v>
      </c>
      <c r="Y108" s="118">
        <f t="shared" si="24"/>
        <v>325.10000000000002</v>
      </c>
      <c r="Z108" s="118">
        <f t="shared" si="24"/>
        <v>369.6</v>
      </c>
      <c r="AA108" s="118">
        <f t="shared" si="24"/>
        <v>345</v>
      </c>
      <c r="AB108" s="118">
        <f t="shared" si="24"/>
        <v>298.40000000000003</v>
      </c>
      <c r="AC108" s="118">
        <f t="shared" si="24"/>
        <v>276.70000000000005</v>
      </c>
      <c r="AD108" s="118">
        <f t="shared" si="24"/>
        <v>249.39999999999998</v>
      </c>
      <c r="AE108" s="118">
        <f t="shared" si="24"/>
        <v>167.7</v>
      </c>
      <c r="AF108" s="118">
        <f t="shared" si="24"/>
        <v>129.80000000000001</v>
      </c>
      <c r="AG108" s="119"/>
      <c r="AH108" s="52">
        <f t="shared" si="16"/>
        <v>369.6</v>
      </c>
      <c r="AI108" s="53">
        <f t="shared" si="17"/>
        <v>-0.56000000000000527</v>
      </c>
    </row>
    <row r="109" spans="1:88" x14ac:dyDescent="0.25">
      <c r="A109" s="107" t="s">
        <v>113</v>
      </c>
      <c r="B109" s="120">
        <v>-11</v>
      </c>
      <c r="C109" s="120">
        <v>-10</v>
      </c>
      <c r="D109" s="120">
        <v>-9</v>
      </c>
      <c r="E109" s="120">
        <v>-9</v>
      </c>
      <c r="F109" s="120">
        <v>-9</v>
      </c>
      <c r="G109" s="120">
        <v>-10.6</v>
      </c>
      <c r="H109" s="120">
        <v>-3.5</v>
      </c>
      <c r="I109" s="120">
        <v>12.6</v>
      </c>
      <c r="J109" s="120">
        <v>7.3</v>
      </c>
      <c r="K109" s="120">
        <v>5.2</v>
      </c>
      <c r="L109" s="120">
        <v>22</v>
      </c>
      <c r="M109" s="120">
        <v>23.4</v>
      </c>
      <c r="N109" s="120">
        <v>19.7</v>
      </c>
      <c r="O109" s="120">
        <v>13.2</v>
      </c>
      <c r="P109" s="120">
        <v>7.8</v>
      </c>
      <c r="Q109" s="120">
        <v>5.8</v>
      </c>
      <c r="R109" s="120">
        <v>-1.2</v>
      </c>
      <c r="S109" s="120">
        <v>-5.7</v>
      </c>
      <c r="T109" s="120">
        <v>3.9</v>
      </c>
      <c r="U109" s="120">
        <v>2.4</v>
      </c>
      <c r="V109" s="120">
        <v>6.5</v>
      </c>
      <c r="W109" s="120">
        <v>5.9</v>
      </c>
      <c r="X109" s="120">
        <v>8.1</v>
      </c>
      <c r="Y109" s="120">
        <v>30.9</v>
      </c>
      <c r="Z109" s="120">
        <v>50</v>
      </c>
      <c r="AA109" s="120">
        <v>37.200000000000003</v>
      </c>
      <c r="AB109" s="120">
        <v>25.7</v>
      </c>
      <c r="AC109" s="120">
        <v>23.3</v>
      </c>
      <c r="AD109" s="120">
        <v>9.8000000000000007</v>
      </c>
      <c r="AE109" s="120">
        <v>2.7</v>
      </c>
      <c r="AF109" s="120">
        <v>-10</v>
      </c>
      <c r="AG109" s="121">
        <v>75</v>
      </c>
      <c r="AH109" s="52">
        <f t="shared" si="16"/>
        <v>50</v>
      </c>
      <c r="AI109" s="53">
        <f t="shared" si="17"/>
        <v>-11</v>
      </c>
    </row>
    <row r="110" spans="1:88" x14ac:dyDescent="0.25">
      <c r="A110" s="110" t="s">
        <v>114</v>
      </c>
      <c r="B110" s="122">
        <v>-13</v>
      </c>
      <c r="C110" s="122">
        <v>-10</v>
      </c>
      <c r="D110" s="122">
        <v>-8</v>
      </c>
      <c r="E110" s="122">
        <v>-8</v>
      </c>
      <c r="F110" s="122">
        <v>-8</v>
      </c>
      <c r="G110" s="122">
        <v>-9.6</v>
      </c>
      <c r="H110" s="122">
        <v>-7.5</v>
      </c>
      <c r="I110" s="122">
        <v>17.8</v>
      </c>
      <c r="J110" s="122">
        <v>9.6</v>
      </c>
      <c r="K110" s="122">
        <v>0</v>
      </c>
      <c r="L110" s="122">
        <v>22.8</v>
      </c>
      <c r="M110" s="122">
        <v>28.4</v>
      </c>
      <c r="N110" s="122">
        <v>21.7</v>
      </c>
      <c r="O110" s="122">
        <v>12.6</v>
      </c>
      <c r="P110" s="122">
        <v>8.3000000000000007</v>
      </c>
      <c r="Q110" s="122">
        <v>8.1</v>
      </c>
      <c r="R110" s="122">
        <v>-2.6</v>
      </c>
      <c r="S110" s="122">
        <v>-8.9</v>
      </c>
      <c r="T110" s="122">
        <v>4.4000000000000004</v>
      </c>
      <c r="U110" s="122">
        <v>2.2999999999999998</v>
      </c>
      <c r="V110" s="122">
        <v>4.2</v>
      </c>
      <c r="W110" s="122">
        <v>2.8</v>
      </c>
      <c r="X110" s="122">
        <v>4.7</v>
      </c>
      <c r="Y110" s="122">
        <v>35.9</v>
      </c>
      <c r="Z110" s="122">
        <v>62.5</v>
      </c>
      <c r="AA110" s="122">
        <v>44.4</v>
      </c>
      <c r="AB110" s="122">
        <v>28.7</v>
      </c>
      <c r="AC110" s="122">
        <v>24.5</v>
      </c>
      <c r="AD110" s="122">
        <v>7.7</v>
      </c>
      <c r="AE110" s="122">
        <v>-1.2</v>
      </c>
      <c r="AF110" s="122">
        <v>-14</v>
      </c>
      <c r="AG110" s="121">
        <v>240</v>
      </c>
      <c r="AH110" s="52">
        <f t="shared" si="16"/>
        <v>62.5</v>
      </c>
      <c r="AI110" s="53">
        <f t="shared" si="17"/>
        <v>-14</v>
      </c>
    </row>
    <row r="111" spans="1:88" x14ac:dyDescent="0.25">
      <c r="A111" s="110" t="s">
        <v>115</v>
      </c>
      <c r="B111" s="122">
        <v>-37</v>
      </c>
      <c r="C111" s="122">
        <v>-43</v>
      </c>
      <c r="D111" s="122">
        <v>-44</v>
      </c>
      <c r="E111" s="122">
        <v>-52</v>
      </c>
      <c r="F111" s="122">
        <v>-48</v>
      </c>
      <c r="G111" s="122">
        <f>-15.5-16.8</f>
        <v>-32.299999999999997</v>
      </c>
      <c r="H111" s="122">
        <f>-19.8-21.1</f>
        <v>-40.900000000000006</v>
      </c>
      <c r="I111" s="122">
        <f>-5.9-6.1</f>
        <v>-12</v>
      </c>
      <c r="J111" s="122">
        <f>6.3+5.7</f>
        <v>12</v>
      </c>
      <c r="K111" s="122">
        <f>15.5+16.4</f>
        <v>31.9</v>
      </c>
      <c r="L111" s="122">
        <f>12</f>
        <v>12</v>
      </c>
      <c r="M111" s="122">
        <f>12.4+11.9</f>
        <v>24.3</v>
      </c>
      <c r="N111" s="122">
        <v>31.2</v>
      </c>
      <c r="O111" s="122">
        <v>45.3</v>
      </c>
      <c r="P111" s="122">
        <v>14.4</v>
      </c>
      <c r="Q111" s="122">
        <v>13.3</v>
      </c>
      <c r="R111" s="122">
        <v>16.600000000000001</v>
      </c>
      <c r="S111" s="122">
        <v>23</v>
      </c>
      <c r="T111" s="122">
        <v>17</v>
      </c>
      <c r="U111" s="122">
        <v>18.899999999999999</v>
      </c>
      <c r="V111" s="122">
        <v>24</v>
      </c>
      <c r="W111" s="122">
        <v>28</v>
      </c>
      <c r="X111" s="122">
        <v>35</v>
      </c>
      <c r="Y111" s="122">
        <v>33</v>
      </c>
      <c r="Z111" s="122">
        <v>31</v>
      </c>
      <c r="AA111" s="122">
        <v>33</v>
      </c>
      <c r="AB111" s="122">
        <v>20.8</v>
      </c>
      <c r="AC111" s="122">
        <v>12</v>
      </c>
      <c r="AD111" s="122">
        <v>6.5</v>
      </c>
      <c r="AE111" s="122">
        <f>-19-20.4</f>
        <v>-39.4</v>
      </c>
      <c r="AF111" s="122">
        <f>-17.1-18.7</f>
        <v>-35.799999999999997</v>
      </c>
      <c r="AG111" s="121">
        <v>240</v>
      </c>
      <c r="AH111" s="52">
        <f t="shared" si="16"/>
        <v>45.3</v>
      </c>
      <c r="AI111" s="53">
        <f t="shared" si="17"/>
        <v>-52</v>
      </c>
    </row>
    <row r="112" spans="1:88" x14ac:dyDescent="0.25">
      <c r="A112" s="110" t="s">
        <v>116</v>
      </c>
      <c r="B112" s="122">
        <v>-9</v>
      </c>
      <c r="C112" s="122">
        <v>-5</v>
      </c>
      <c r="D112" s="122">
        <v>-14</v>
      </c>
      <c r="E112" s="122">
        <v>-15.6</v>
      </c>
      <c r="F112" s="122">
        <v>-18</v>
      </c>
      <c r="G112" s="122">
        <v>-4</v>
      </c>
      <c r="H112" s="122">
        <v>-0.7</v>
      </c>
      <c r="I112" s="122">
        <v>1.5</v>
      </c>
      <c r="J112" s="122">
        <v>10.199999999999999</v>
      </c>
      <c r="K112" s="122">
        <v>16.600000000000001</v>
      </c>
      <c r="L112" s="122">
        <f>12+12.6</f>
        <v>24.6</v>
      </c>
      <c r="M112" s="122">
        <v>16.2</v>
      </c>
      <c r="N112" s="122">
        <v>16.399999999999999</v>
      </c>
      <c r="O112" s="122">
        <v>18.2</v>
      </c>
      <c r="P112" s="122">
        <v>10.1</v>
      </c>
      <c r="Q112" s="122">
        <v>10.5</v>
      </c>
      <c r="R112" s="122">
        <v>12.8</v>
      </c>
      <c r="S112" s="122">
        <v>12.3</v>
      </c>
      <c r="T112" s="122">
        <v>13</v>
      </c>
      <c r="U112" s="122">
        <v>9.6</v>
      </c>
      <c r="V112" s="122">
        <v>10</v>
      </c>
      <c r="W112" s="122">
        <v>12.3</v>
      </c>
      <c r="X112" s="122">
        <v>15.6</v>
      </c>
      <c r="Y112" s="122">
        <v>16.2</v>
      </c>
      <c r="Z112" s="122">
        <v>18</v>
      </c>
      <c r="AA112" s="122">
        <v>16.899999999999999</v>
      </c>
      <c r="AB112" s="122">
        <v>17.8</v>
      </c>
      <c r="AC112" s="122">
        <v>18.3</v>
      </c>
      <c r="AD112" s="122">
        <v>18.399999999999999</v>
      </c>
      <c r="AE112" s="122">
        <v>2.5</v>
      </c>
      <c r="AF112" s="122">
        <v>1.3</v>
      </c>
      <c r="AG112" s="121">
        <v>60</v>
      </c>
      <c r="AH112" s="52">
        <f t="shared" si="16"/>
        <v>24.6</v>
      </c>
      <c r="AI112" s="53">
        <f t="shared" si="17"/>
        <v>-18</v>
      </c>
    </row>
    <row r="113" spans="1:37" x14ac:dyDescent="0.25">
      <c r="A113" s="123" t="s">
        <v>117</v>
      </c>
      <c r="B113" s="124">
        <v>85</v>
      </c>
      <c r="C113" s="124">
        <v>72</v>
      </c>
      <c r="D113" s="124">
        <v>68</v>
      </c>
      <c r="E113" s="124"/>
      <c r="F113" s="124"/>
      <c r="G113" s="124">
        <v>92</v>
      </c>
      <c r="H113" s="124">
        <v>80.2</v>
      </c>
      <c r="I113" s="124">
        <v>106</v>
      </c>
      <c r="J113" s="124">
        <v>93.8</v>
      </c>
      <c r="K113" s="124">
        <v>85.6</v>
      </c>
      <c r="L113" s="124">
        <v>104.3</v>
      </c>
      <c r="M113" s="124">
        <v>107.3</v>
      </c>
      <c r="N113" s="124">
        <v>98.7</v>
      </c>
      <c r="O113" s="124">
        <v>82.6</v>
      </c>
      <c r="P113" s="124">
        <v>114</v>
      </c>
      <c r="Q113" s="124">
        <v>103.5</v>
      </c>
      <c r="R113" s="124">
        <v>115</v>
      </c>
      <c r="S113" s="124">
        <v>120</v>
      </c>
      <c r="T113" s="124">
        <v>109</v>
      </c>
      <c r="U113" s="124">
        <v>116.1</v>
      </c>
      <c r="V113" s="124">
        <v>116</v>
      </c>
      <c r="W113" s="124">
        <v>112.3</v>
      </c>
      <c r="X113" s="124">
        <v>113</v>
      </c>
      <c r="Y113" s="124">
        <v>113</v>
      </c>
      <c r="Z113" s="124">
        <v>112</v>
      </c>
      <c r="AA113" s="124">
        <v>119</v>
      </c>
      <c r="AB113" s="124">
        <v>110.7</v>
      </c>
      <c r="AC113" s="124">
        <v>103.9</v>
      </c>
      <c r="AD113" s="124">
        <v>102.6</v>
      </c>
      <c r="AE113" s="124">
        <v>98.7</v>
      </c>
      <c r="AF113" s="124">
        <v>89.1</v>
      </c>
      <c r="AG113" s="125">
        <v>120</v>
      </c>
      <c r="AH113" s="52">
        <f t="shared" si="16"/>
        <v>120</v>
      </c>
      <c r="AI113" s="53">
        <f t="shared" si="17"/>
        <v>68</v>
      </c>
    </row>
    <row r="114" spans="1:37" x14ac:dyDescent="0.25">
      <c r="A114" s="123" t="s">
        <v>118</v>
      </c>
      <c r="B114" s="124">
        <v>88</v>
      </c>
      <c r="C114" s="124">
        <v>75</v>
      </c>
      <c r="D114" s="124">
        <v>73</v>
      </c>
      <c r="E114" s="124"/>
      <c r="F114" s="124"/>
      <c r="G114" s="124">
        <v>82</v>
      </c>
      <c r="H114" s="124">
        <v>82.2</v>
      </c>
      <c r="I114" s="124">
        <v>100</v>
      </c>
      <c r="J114" s="124">
        <v>70.8</v>
      </c>
      <c r="K114" s="124">
        <v>84.8</v>
      </c>
      <c r="L114" s="124">
        <v>72.2</v>
      </c>
      <c r="M114" s="124">
        <v>74.599999999999994</v>
      </c>
      <c r="N114" s="124">
        <v>78.900000000000006</v>
      </c>
      <c r="O114" s="124">
        <v>95.8</v>
      </c>
      <c r="P114" s="124">
        <v>94</v>
      </c>
      <c r="Q114" s="124">
        <v>83.8</v>
      </c>
      <c r="R114" s="124">
        <v>95</v>
      </c>
      <c r="S114" s="124">
        <v>99</v>
      </c>
      <c r="T114" s="124">
        <v>89</v>
      </c>
      <c r="U114" s="124">
        <v>93.7</v>
      </c>
      <c r="V114" s="124">
        <v>91</v>
      </c>
      <c r="W114" s="124">
        <v>89</v>
      </c>
      <c r="X114" s="124">
        <v>87</v>
      </c>
      <c r="Y114" s="124">
        <v>81</v>
      </c>
      <c r="Z114" s="124">
        <v>76</v>
      </c>
      <c r="AA114" s="124">
        <v>85.7</v>
      </c>
      <c r="AB114" s="124">
        <v>82.8</v>
      </c>
      <c r="AC114" s="124">
        <v>78.2</v>
      </c>
      <c r="AD114" s="124">
        <v>80.8</v>
      </c>
      <c r="AE114" s="124">
        <v>89.3</v>
      </c>
      <c r="AF114" s="124">
        <v>87</v>
      </c>
      <c r="AG114" s="125"/>
      <c r="AH114" s="52">
        <f t="shared" si="16"/>
        <v>100</v>
      </c>
      <c r="AI114" s="53">
        <f t="shared" si="17"/>
        <v>70.8</v>
      </c>
    </row>
    <row r="115" spans="1:37" x14ac:dyDescent="0.25">
      <c r="A115" s="123" t="s">
        <v>119</v>
      </c>
      <c r="B115" s="124">
        <v>44</v>
      </c>
      <c r="C115" s="124"/>
      <c r="D115" s="124">
        <v>41</v>
      </c>
      <c r="E115" s="124">
        <v>41</v>
      </c>
      <c r="F115" s="124">
        <v>41</v>
      </c>
      <c r="G115" s="124">
        <v>41</v>
      </c>
      <c r="H115" s="124"/>
      <c r="I115" s="124"/>
      <c r="J115" s="124"/>
      <c r="K115" s="124"/>
      <c r="L115" s="124"/>
      <c r="M115" s="124">
        <v>16.600000000000001</v>
      </c>
      <c r="N115" s="124"/>
      <c r="O115" s="124"/>
      <c r="P115" s="124">
        <v>26.7</v>
      </c>
      <c r="Q115" s="124">
        <v>33.1</v>
      </c>
      <c r="R115" s="124"/>
      <c r="S115" s="124">
        <v>39.6</v>
      </c>
      <c r="T115" s="124"/>
      <c r="U115" s="124">
        <v>33</v>
      </c>
      <c r="V115" s="124"/>
      <c r="W115" s="124">
        <v>29</v>
      </c>
      <c r="X115" s="124"/>
      <c r="Y115" s="124"/>
      <c r="Z115" s="124">
        <v>-20</v>
      </c>
      <c r="AA115" s="124"/>
      <c r="AB115" s="124"/>
      <c r="AC115" s="124">
        <v>14.2</v>
      </c>
      <c r="AD115" s="124"/>
      <c r="AE115" s="124">
        <v>35.799999999999997</v>
      </c>
      <c r="AF115" s="124"/>
      <c r="AG115" s="126"/>
      <c r="AH115" s="52">
        <f t="shared" si="16"/>
        <v>44</v>
      </c>
      <c r="AI115" s="53">
        <f t="shared" si="17"/>
        <v>-20</v>
      </c>
    </row>
    <row r="116" spans="1:37" x14ac:dyDescent="0.25">
      <c r="A116" s="127" t="s">
        <v>120</v>
      </c>
      <c r="B116" s="113">
        <v>72</v>
      </c>
      <c r="C116" s="113">
        <v>79</v>
      </c>
      <c r="D116" s="113">
        <v>91</v>
      </c>
      <c r="E116" s="113">
        <v>91</v>
      </c>
      <c r="F116" s="113">
        <v>101</v>
      </c>
      <c r="G116" s="113">
        <v>95</v>
      </c>
      <c r="H116" s="113">
        <v>93.1</v>
      </c>
      <c r="I116" s="113">
        <v>78.2</v>
      </c>
      <c r="J116" s="113">
        <v>73.099999999999994</v>
      </c>
      <c r="K116" s="113">
        <v>79.599999999999994</v>
      </c>
      <c r="L116" s="113">
        <v>76.2</v>
      </c>
      <c r="M116" s="113">
        <v>25.6</v>
      </c>
      <c r="N116" s="113">
        <v>26</v>
      </c>
      <c r="O116" s="113">
        <v>32</v>
      </c>
      <c r="P116" s="113">
        <v>32.4</v>
      </c>
      <c r="Q116" s="113">
        <v>31.25</v>
      </c>
      <c r="R116" s="113">
        <v>29.1</v>
      </c>
      <c r="S116" s="113">
        <v>52.7</v>
      </c>
      <c r="T116" s="113">
        <v>45</v>
      </c>
      <c r="U116" s="113">
        <v>35.700000000000003</v>
      </c>
      <c r="V116" s="113">
        <v>34</v>
      </c>
      <c r="W116" s="113">
        <v>31</v>
      </c>
      <c r="X116" s="113">
        <v>18</v>
      </c>
      <c r="Y116" s="113">
        <v>-8.3000000000000007</v>
      </c>
      <c r="Z116" s="113">
        <v>-2</v>
      </c>
      <c r="AA116" s="113">
        <v>13.2</v>
      </c>
      <c r="AB116" s="113">
        <v>33</v>
      </c>
      <c r="AC116" s="113">
        <v>22.5</v>
      </c>
      <c r="AD116" s="113">
        <v>25</v>
      </c>
      <c r="AE116" s="113">
        <v>32.1</v>
      </c>
      <c r="AF116" s="113">
        <v>38</v>
      </c>
      <c r="AG116" s="126"/>
      <c r="AH116" s="52">
        <f t="shared" si="16"/>
        <v>101</v>
      </c>
      <c r="AI116" s="53">
        <f t="shared" si="17"/>
        <v>-8.3000000000000007</v>
      </c>
    </row>
    <row r="117" spans="1:37" ht="15.75" thickBot="1" x14ac:dyDescent="0.3">
      <c r="A117" s="127" t="s">
        <v>121</v>
      </c>
      <c r="B117" s="113">
        <v>40</v>
      </c>
      <c r="C117" s="113">
        <v>20</v>
      </c>
      <c r="D117" s="113">
        <v>30</v>
      </c>
      <c r="E117" s="113">
        <v>30</v>
      </c>
      <c r="F117" s="113">
        <v>30</v>
      </c>
      <c r="G117" s="113">
        <v>30</v>
      </c>
      <c r="H117" s="113">
        <v>33.6</v>
      </c>
      <c r="I117" s="113">
        <v>37</v>
      </c>
      <c r="J117" s="113">
        <v>34.700000000000003</v>
      </c>
      <c r="K117" s="113">
        <v>41</v>
      </c>
      <c r="L117" s="113">
        <v>39.9</v>
      </c>
      <c r="M117" s="113">
        <v>55.3</v>
      </c>
      <c r="N117" s="113">
        <v>56.2</v>
      </c>
      <c r="O117" s="113">
        <v>47.4</v>
      </c>
      <c r="P117" s="113">
        <v>54.7</v>
      </c>
      <c r="Q117" s="113">
        <v>64.900000000000006</v>
      </c>
      <c r="R117" s="113">
        <v>52.3</v>
      </c>
      <c r="S117" s="113">
        <v>59</v>
      </c>
      <c r="T117" s="113">
        <v>69</v>
      </c>
      <c r="U117" s="113">
        <v>75.2</v>
      </c>
      <c r="V117" s="113">
        <v>50</v>
      </c>
      <c r="W117" s="113">
        <v>51</v>
      </c>
      <c r="X117" s="113">
        <v>60</v>
      </c>
      <c r="Y117" s="113">
        <v>82</v>
      </c>
      <c r="Z117" s="113">
        <v>81</v>
      </c>
      <c r="AA117" s="113">
        <v>62.6</v>
      </c>
      <c r="AB117" s="113">
        <v>60.4</v>
      </c>
      <c r="AC117" s="113">
        <v>59.1</v>
      </c>
      <c r="AD117" s="113">
        <v>59.2</v>
      </c>
      <c r="AE117" s="113">
        <v>38.6</v>
      </c>
      <c r="AF117" s="113">
        <v>38.9</v>
      </c>
      <c r="AG117" s="126"/>
      <c r="AH117" s="52">
        <f t="shared" si="16"/>
        <v>82</v>
      </c>
      <c r="AI117" s="53">
        <f t="shared" si="17"/>
        <v>20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5">SUM(B119:B223)</f>
        <v>0</v>
      </c>
      <c r="C224" s="144">
        <f t="shared" si="25"/>
        <v>0</v>
      </c>
      <c r="D224" s="144">
        <f t="shared" si="25"/>
        <v>0</v>
      </c>
      <c r="E224" s="144">
        <f t="shared" si="25"/>
        <v>0</v>
      </c>
      <c r="F224" s="144">
        <f t="shared" si="25"/>
        <v>0</v>
      </c>
      <c r="G224" s="144">
        <f t="shared" si="25"/>
        <v>0</v>
      </c>
      <c r="H224" s="144">
        <f t="shared" si="25"/>
        <v>0</v>
      </c>
      <c r="I224" s="144">
        <f t="shared" si="25"/>
        <v>0</v>
      </c>
      <c r="J224" s="144">
        <f t="shared" si="25"/>
        <v>0</v>
      </c>
      <c r="K224" s="144">
        <f t="shared" si="25"/>
        <v>0</v>
      </c>
      <c r="L224" s="144">
        <f t="shared" si="25"/>
        <v>0</v>
      </c>
      <c r="M224" s="144">
        <f t="shared" si="25"/>
        <v>0</v>
      </c>
      <c r="N224" s="144">
        <f t="shared" si="25"/>
        <v>0</v>
      </c>
      <c r="O224" s="144">
        <f t="shared" si="25"/>
        <v>0</v>
      </c>
      <c r="P224" s="144">
        <f t="shared" si="25"/>
        <v>0</v>
      </c>
      <c r="Q224" s="144">
        <f t="shared" si="25"/>
        <v>0</v>
      </c>
      <c r="R224" s="144">
        <f t="shared" si="25"/>
        <v>0</v>
      </c>
      <c r="S224" s="144">
        <f t="shared" si="25"/>
        <v>0</v>
      </c>
      <c r="T224" s="144">
        <f t="shared" si="25"/>
        <v>0</v>
      </c>
      <c r="U224" s="144">
        <f t="shared" si="25"/>
        <v>0</v>
      </c>
      <c r="V224" s="144">
        <f t="shared" si="25"/>
        <v>0</v>
      </c>
      <c r="W224" s="144">
        <f t="shared" si="25"/>
        <v>0</v>
      </c>
      <c r="X224" s="144">
        <f t="shared" si="25"/>
        <v>0</v>
      </c>
      <c r="Y224" s="144">
        <f t="shared" si="25"/>
        <v>0</v>
      </c>
      <c r="Z224" s="144">
        <f t="shared" si="25"/>
        <v>0</v>
      </c>
      <c r="AA224" s="144">
        <f t="shared" si="25"/>
        <v>0</v>
      </c>
      <c r="AB224" s="144">
        <f t="shared" si="25"/>
        <v>0</v>
      </c>
      <c r="AC224" s="144">
        <f t="shared" si="25"/>
        <v>0</v>
      </c>
      <c r="AD224" s="144">
        <f t="shared" si="25"/>
        <v>0</v>
      </c>
      <c r="AE224" s="144">
        <f t="shared" si="25"/>
        <v>0</v>
      </c>
      <c r="AF224" s="145">
        <f t="shared" si="25"/>
        <v>0</v>
      </c>
      <c r="AG224" s="146">
        <f t="shared" si="25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6">AF226</f>
        <v>0</v>
      </c>
      <c r="C226" s="149">
        <v>0.3</v>
      </c>
      <c r="D226" s="149">
        <f t="shared" ref="D226:P231" si="27">C226</f>
        <v>0.3</v>
      </c>
      <c r="E226" s="149">
        <f t="shared" si="27"/>
        <v>0.3</v>
      </c>
      <c r="F226" s="149">
        <f t="shared" si="27"/>
        <v>0.3</v>
      </c>
      <c r="G226" s="149">
        <f t="shared" si="27"/>
        <v>0.3</v>
      </c>
      <c r="H226" s="149">
        <f t="shared" si="27"/>
        <v>0.3</v>
      </c>
      <c r="I226" s="149">
        <f t="shared" si="27"/>
        <v>0.3</v>
      </c>
      <c r="J226" s="149">
        <f t="shared" si="27"/>
        <v>0.3</v>
      </c>
      <c r="K226" s="149">
        <f t="shared" si="27"/>
        <v>0.3</v>
      </c>
      <c r="L226" s="149">
        <f t="shared" si="27"/>
        <v>0.3</v>
      </c>
      <c r="M226" s="149">
        <f t="shared" si="27"/>
        <v>0.3</v>
      </c>
      <c r="N226" s="149">
        <f t="shared" si="27"/>
        <v>0.3</v>
      </c>
      <c r="O226" s="149">
        <f t="shared" si="27"/>
        <v>0.3</v>
      </c>
      <c r="P226" s="149">
        <f t="shared" si="27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6"/>
        <v>0</v>
      </c>
      <c r="C227" s="136">
        <v>0.4</v>
      </c>
      <c r="D227" s="136">
        <f t="shared" si="27"/>
        <v>0.4</v>
      </c>
      <c r="E227" s="136">
        <f t="shared" si="27"/>
        <v>0.4</v>
      </c>
      <c r="F227" s="136">
        <f t="shared" si="27"/>
        <v>0.4</v>
      </c>
      <c r="G227" s="136">
        <f t="shared" si="27"/>
        <v>0.4</v>
      </c>
      <c r="H227" s="136">
        <f t="shared" si="27"/>
        <v>0.4</v>
      </c>
      <c r="I227" s="136">
        <f t="shared" si="27"/>
        <v>0.4</v>
      </c>
      <c r="J227" s="136">
        <f t="shared" si="27"/>
        <v>0.4</v>
      </c>
      <c r="K227" s="136">
        <f t="shared" si="27"/>
        <v>0.4</v>
      </c>
      <c r="L227" s="136">
        <f t="shared" si="27"/>
        <v>0.4</v>
      </c>
      <c r="M227" s="136">
        <f t="shared" si="27"/>
        <v>0.4</v>
      </c>
      <c r="N227" s="136">
        <f t="shared" si="27"/>
        <v>0.4</v>
      </c>
      <c r="O227" s="136">
        <f t="shared" si="27"/>
        <v>0.4</v>
      </c>
      <c r="P227" s="136">
        <f t="shared" si="27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6"/>
        <v>0</v>
      </c>
      <c r="C228" s="136">
        <v>1.5</v>
      </c>
      <c r="D228" s="136">
        <f t="shared" si="27"/>
        <v>1.5</v>
      </c>
      <c r="E228" s="136">
        <f t="shared" si="27"/>
        <v>1.5</v>
      </c>
      <c r="F228" s="136">
        <f t="shared" si="27"/>
        <v>1.5</v>
      </c>
      <c r="G228" s="136">
        <f t="shared" si="27"/>
        <v>1.5</v>
      </c>
      <c r="H228" s="136">
        <f t="shared" si="27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7"/>
        <v>1.5</v>
      </c>
      <c r="K228" s="136">
        <f t="shared" ca="1" si="27"/>
        <v>1.5</v>
      </c>
      <c r="L228" s="136">
        <f t="shared" ca="1" si="27"/>
        <v>1.5</v>
      </c>
      <c r="M228" s="136">
        <f t="shared" ca="1" si="27"/>
        <v>1.5</v>
      </c>
      <c r="N228" s="136">
        <f t="shared" ca="1" si="27"/>
        <v>1.5</v>
      </c>
      <c r="O228" s="136">
        <f t="shared" ca="1" si="27"/>
        <v>1.5</v>
      </c>
      <c r="P228" s="136">
        <f t="shared" ca="1" si="27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6"/>
        <v>0</v>
      </c>
      <c r="C229" s="136">
        <v>0.3</v>
      </c>
      <c r="D229" s="136">
        <f t="shared" si="27"/>
        <v>0.3</v>
      </c>
      <c r="E229" s="136">
        <f t="shared" si="27"/>
        <v>0.3</v>
      </c>
      <c r="F229" s="136">
        <f t="shared" si="27"/>
        <v>0.3</v>
      </c>
      <c r="G229" s="136">
        <f t="shared" si="27"/>
        <v>0.3</v>
      </c>
      <c r="H229" s="136">
        <f t="shared" si="27"/>
        <v>0.3</v>
      </c>
      <c r="I229" s="136">
        <f t="shared" si="27"/>
        <v>0.3</v>
      </c>
      <c r="J229" s="136">
        <f t="shared" si="27"/>
        <v>0.3</v>
      </c>
      <c r="K229" s="136">
        <f t="shared" si="27"/>
        <v>0.3</v>
      </c>
      <c r="L229" s="136">
        <f t="shared" si="27"/>
        <v>0.3</v>
      </c>
      <c r="M229" s="136">
        <f t="shared" si="27"/>
        <v>0.3</v>
      </c>
      <c r="N229" s="136">
        <f t="shared" si="27"/>
        <v>0.3</v>
      </c>
      <c r="O229" s="136">
        <f t="shared" si="27"/>
        <v>0.3</v>
      </c>
      <c r="P229" s="136">
        <f t="shared" si="27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6"/>
        <v>0</v>
      </c>
      <c r="C230" s="136">
        <v>0.4</v>
      </c>
      <c r="D230" s="136">
        <f t="shared" si="27"/>
        <v>0.4</v>
      </c>
      <c r="E230" s="136">
        <f t="shared" si="27"/>
        <v>0.4</v>
      </c>
      <c r="F230" s="136">
        <f t="shared" si="27"/>
        <v>0.4</v>
      </c>
      <c r="G230" s="136">
        <f t="shared" si="27"/>
        <v>0.4</v>
      </c>
      <c r="H230" s="136">
        <f t="shared" si="27"/>
        <v>0.4</v>
      </c>
      <c r="I230" s="136">
        <f t="shared" si="27"/>
        <v>0.4</v>
      </c>
      <c r="J230" s="136">
        <f t="shared" si="27"/>
        <v>0.4</v>
      </c>
      <c r="K230" s="136">
        <f t="shared" si="27"/>
        <v>0.4</v>
      </c>
      <c r="L230" s="136">
        <f t="shared" si="27"/>
        <v>0.4</v>
      </c>
      <c r="M230" s="136">
        <f t="shared" si="27"/>
        <v>0.4</v>
      </c>
      <c r="N230" s="136">
        <f t="shared" si="27"/>
        <v>0.4</v>
      </c>
      <c r="O230" s="136">
        <f t="shared" si="27"/>
        <v>0.4</v>
      </c>
      <c r="P230" s="136">
        <f t="shared" si="27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6"/>
        <v>0</v>
      </c>
      <c r="C231" s="140">
        <v>0.64</v>
      </c>
      <c r="D231" s="140">
        <f t="shared" si="27"/>
        <v>0.64</v>
      </c>
      <c r="E231" s="140">
        <f t="shared" si="27"/>
        <v>0.64</v>
      </c>
      <c r="F231" s="140">
        <f t="shared" si="27"/>
        <v>0.64</v>
      </c>
      <c r="G231" s="140">
        <f t="shared" si="27"/>
        <v>0.64</v>
      </c>
      <c r="H231" s="140">
        <f t="shared" si="27"/>
        <v>0.64</v>
      </c>
      <c r="I231" s="140">
        <f t="shared" si="27"/>
        <v>0.64</v>
      </c>
      <c r="J231" s="140">
        <f t="shared" si="27"/>
        <v>0.64</v>
      </c>
      <c r="K231" s="140">
        <f t="shared" si="27"/>
        <v>0.64</v>
      </c>
      <c r="L231" s="140">
        <f t="shared" si="27"/>
        <v>0.64</v>
      </c>
      <c r="M231" s="140">
        <f t="shared" si="27"/>
        <v>0.64</v>
      </c>
      <c r="N231" s="140">
        <f t="shared" si="27"/>
        <v>0.64</v>
      </c>
      <c r="O231" s="140">
        <f t="shared" si="27"/>
        <v>0.64</v>
      </c>
      <c r="P231" s="140">
        <f t="shared" si="27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8">SUM(B226:B231)</f>
        <v>0</v>
      </c>
      <c r="C232" s="144">
        <f t="shared" si="28"/>
        <v>3.54</v>
      </c>
      <c r="D232" s="144">
        <f t="shared" si="28"/>
        <v>3.54</v>
      </c>
      <c r="E232" s="144">
        <f t="shared" si="28"/>
        <v>3.54</v>
      </c>
      <c r="F232" s="144">
        <f t="shared" si="28"/>
        <v>3.54</v>
      </c>
      <c r="G232" s="144">
        <f t="shared" si="28"/>
        <v>3.54</v>
      </c>
      <c r="H232" s="144">
        <f t="shared" si="28"/>
        <v>3.54</v>
      </c>
      <c r="I232" s="144">
        <f t="shared" ca="1" si="28"/>
        <v>3.54</v>
      </c>
      <c r="J232" s="144">
        <f t="shared" ca="1" si="28"/>
        <v>3.54</v>
      </c>
      <c r="K232" s="144">
        <f t="shared" ca="1" si="28"/>
        <v>3.54</v>
      </c>
      <c r="L232" s="144">
        <f t="shared" ca="1" si="28"/>
        <v>3.54</v>
      </c>
      <c r="M232" s="144">
        <f t="shared" ca="1" si="28"/>
        <v>3.54</v>
      </c>
      <c r="N232" s="144">
        <f t="shared" ca="1" si="28"/>
        <v>3.54</v>
      </c>
      <c r="O232" s="144">
        <f t="shared" ca="1" si="28"/>
        <v>3.54</v>
      </c>
      <c r="P232" s="144">
        <f t="shared" ca="1" si="28"/>
        <v>3.54</v>
      </c>
      <c r="Q232" s="144">
        <f t="shared" si="28"/>
        <v>0</v>
      </c>
      <c r="R232" s="144">
        <f t="shared" si="28"/>
        <v>0</v>
      </c>
      <c r="S232" s="144">
        <f t="shared" si="28"/>
        <v>0</v>
      </c>
      <c r="T232" s="144">
        <f t="shared" si="28"/>
        <v>0</v>
      </c>
      <c r="U232" s="144">
        <f t="shared" si="28"/>
        <v>0</v>
      </c>
      <c r="V232" s="144">
        <f t="shared" si="28"/>
        <v>0</v>
      </c>
      <c r="W232" s="144">
        <f t="shared" si="28"/>
        <v>0</v>
      </c>
      <c r="X232" s="144">
        <f t="shared" si="28"/>
        <v>0</v>
      </c>
      <c r="Y232" s="144">
        <f t="shared" si="28"/>
        <v>0</v>
      </c>
      <c r="Z232" s="144">
        <f t="shared" si="28"/>
        <v>0</v>
      </c>
      <c r="AA232" s="144">
        <f t="shared" si="28"/>
        <v>0</v>
      </c>
      <c r="AB232" s="144">
        <f t="shared" si="28"/>
        <v>0</v>
      </c>
      <c r="AC232" s="144">
        <f t="shared" si="28"/>
        <v>0</v>
      </c>
      <c r="AD232" s="144">
        <f t="shared" si="28"/>
        <v>0</v>
      </c>
      <c r="AE232" s="144">
        <f t="shared" si="28"/>
        <v>0</v>
      </c>
      <c r="AF232" s="144">
        <f t="shared" si="28"/>
        <v>0</v>
      </c>
      <c r="AG232" s="154">
        <f t="shared" si="28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1237.6399999999999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07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2079/12/7)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2079/12/7)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9">B89</f>
        <v>888.04</v>
      </c>
      <c r="U246" s="180">
        <f t="shared" si="29"/>
        <v>820.04</v>
      </c>
      <c r="V246" s="180">
        <f t="shared" si="29"/>
        <v>809.04</v>
      </c>
      <c r="W246" s="180">
        <f t="shared" si="29"/>
        <v>779.04</v>
      </c>
      <c r="X246" s="180">
        <f t="shared" si="29"/>
        <v>733.33999999999992</v>
      </c>
      <c r="Y246" s="180">
        <f t="shared" si="29"/>
        <v>776.14</v>
      </c>
      <c r="Z246" s="180">
        <f t="shared" si="29"/>
        <v>859.64</v>
      </c>
      <c r="AA246" s="180">
        <f t="shared" si="29"/>
        <v>889.94</v>
      </c>
      <c r="AB246" s="180">
        <f t="shared" si="29"/>
        <v>949.1400000000001</v>
      </c>
      <c r="AC246" s="180">
        <f t="shared" si="29"/>
        <v>976.94</v>
      </c>
      <c r="AD246" s="180">
        <f t="shared" si="29"/>
        <v>1079.94</v>
      </c>
      <c r="AE246" s="180">
        <f t="shared" si="29"/>
        <v>1204.74</v>
      </c>
      <c r="AF246" s="180">
        <f t="shared" si="29"/>
        <v>1237.6399999999999</v>
      </c>
      <c r="AG246" s="180">
        <f t="shared" si="29"/>
        <v>1187.3399999999999</v>
      </c>
      <c r="AH246" s="180">
        <f t="shared" si="29"/>
        <v>1195.74</v>
      </c>
      <c r="AI246" s="180">
        <f t="shared" si="29"/>
        <v>1188.6399999999999</v>
      </c>
      <c r="AJ246" s="180">
        <f t="shared" si="29"/>
        <v>1186.8399999999999</v>
      </c>
      <c r="AK246" s="180">
        <f t="shared" si="29"/>
        <v>1209.1399999999999</v>
      </c>
      <c r="AL246" s="180">
        <f t="shared" si="29"/>
        <v>1214.8399999999999</v>
      </c>
      <c r="AM246" s="180">
        <f t="shared" si="29"/>
        <v>1277.2399999999998</v>
      </c>
      <c r="AN246" s="180">
        <f t="shared" si="29"/>
        <v>1179.54</v>
      </c>
      <c r="AO246" s="180">
        <f t="shared" si="29"/>
        <v>1167.24</v>
      </c>
      <c r="AP246" s="180">
        <f t="shared" si="29"/>
        <v>1231.04</v>
      </c>
      <c r="AQ246" s="180">
        <f t="shared" si="29"/>
        <v>1329.34</v>
      </c>
      <c r="AR246" s="180">
        <f t="shared" si="29"/>
        <v>1353.04</v>
      </c>
      <c r="AS246" s="180">
        <f t="shared" si="29"/>
        <v>1312.2399999999998</v>
      </c>
      <c r="AT246" s="180">
        <f t="shared" si="29"/>
        <v>1277.04</v>
      </c>
      <c r="AU246" s="180">
        <f t="shared" si="29"/>
        <v>1203.8399999999999</v>
      </c>
      <c r="AV246" s="180">
        <f t="shared" si="29"/>
        <v>1182.54</v>
      </c>
      <c r="AW246" s="180">
        <f t="shared" si="29"/>
        <v>1031.2399999999998</v>
      </c>
      <c r="AX246" s="180">
        <f t="shared" si="29"/>
        <v>970.6400000000001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0">C231</f>
        <v>0.64</v>
      </c>
      <c r="C267" s="183">
        <f t="shared" si="30"/>
        <v>0.64</v>
      </c>
      <c r="D267" s="183">
        <f t="shared" si="30"/>
        <v>0.64</v>
      </c>
      <c r="E267" s="183">
        <f t="shared" si="30"/>
        <v>0.64</v>
      </c>
      <c r="F267" s="183">
        <f t="shared" si="30"/>
        <v>0.64</v>
      </c>
      <c r="G267" s="183">
        <f t="shared" si="30"/>
        <v>0.64</v>
      </c>
      <c r="H267" s="183">
        <f t="shared" si="30"/>
        <v>0.64</v>
      </c>
      <c r="I267" s="183">
        <f t="shared" si="30"/>
        <v>0.64</v>
      </c>
      <c r="J267" s="183">
        <f t="shared" si="30"/>
        <v>0.64</v>
      </c>
      <c r="K267" s="183">
        <f t="shared" si="30"/>
        <v>0.64</v>
      </c>
      <c r="L267" s="183">
        <f t="shared" si="30"/>
        <v>0.64</v>
      </c>
      <c r="M267" s="183">
        <f t="shared" si="30"/>
        <v>0.64</v>
      </c>
      <c r="N267" s="183">
        <f t="shared" si="30"/>
        <v>0.64</v>
      </c>
      <c r="O267" s="183">
        <f t="shared" si="30"/>
        <v>0.64</v>
      </c>
      <c r="P267" s="183">
        <f t="shared" si="30"/>
        <v>0</v>
      </c>
      <c r="Q267" s="183">
        <f t="shared" si="30"/>
        <v>0</v>
      </c>
      <c r="R267" s="183">
        <f t="shared" si="30"/>
        <v>0</v>
      </c>
      <c r="S267" s="183">
        <f t="shared" si="30"/>
        <v>0</v>
      </c>
      <c r="T267" s="183">
        <f t="shared" si="30"/>
        <v>0</v>
      </c>
      <c r="U267" s="183">
        <f t="shared" si="30"/>
        <v>0</v>
      </c>
      <c r="V267" s="183">
        <f t="shared" si="30"/>
        <v>0</v>
      </c>
      <c r="W267" s="183">
        <f t="shared" si="30"/>
        <v>0</v>
      </c>
      <c r="X267" s="183">
        <f t="shared" si="30"/>
        <v>0</v>
      </c>
      <c r="Y267" s="183">
        <f t="shared" si="30"/>
        <v>0</v>
      </c>
      <c r="Z267" s="183">
        <f t="shared" si="30"/>
        <v>0</v>
      </c>
      <c r="AA267" s="183">
        <f t="shared" si="30"/>
        <v>0</v>
      </c>
      <c r="AB267" s="183">
        <f t="shared" si="30"/>
        <v>0</v>
      </c>
      <c r="AC267" s="183">
        <f t="shared" si="30"/>
        <v>0</v>
      </c>
      <c r="AD267" s="183">
        <f t="shared" si="30"/>
        <v>0</v>
      </c>
      <c r="AE267" s="183">
        <f t="shared" si="30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1">IF(B235&lt;100,"",B235-520)</f>
        <v/>
      </c>
      <c r="C268" s="184" t="str">
        <f t="shared" si="31"/>
        <v/>
      </c>
      <c r="D268" s="184" t="str">
        <f t="shared" si="31"/>
        <v/>
      </c>
      <c r="E268" s="184" t="str">
        <f t="shared" si="31"/>
        <v/>
      </c>
      <c r="F268" s="184" t="str">
        <f t="shared" si="31"/>
        <v/>
      </c>
      <c r="G268" s="184" t="str">
        <f t="shared" si="31"/>
        <v/>
      </c>
      <c r="H268" s="184" t="str">
        <f t="shared" si="31"/>
        <v/>
      </c>
      <c r="I268" s="184" t="str">
        <f t="shared" si="31"/>
        <v/>
      </c>
      <c r="J268" s="184" t="str">
        <f t="shared" si="31"/>
        <v/>
      </c>
      <c r="K268" s="184" t="str">
        <f t="shared" si="31"/>
        <v/>
      </c>
      <c r="L268" s="184" t="str">
        <f t="shared" si="31"/>
        <v/>
      </c>
      <c r="M268" s="184" t="str">
        <f t="shared" si="31"/>
        <v/>
      </c>
      <c r="N268" s="184" t="str">
        <f t="shared" si="31"/>
        <v/>
      </c>
      <c r="O268" s="184" t="str">
        <f t="shared" si="31"/>
        <v/>
      </c>
      <c r="P268" s="184" t="str">
        <f t="shared" si="31"/>
        <v/>
      </c>
      <c r="Q268" s="184" t="str">
        <f t="shared" si="31"/>
        <v/>
      </c>
      <c r="R268" s="184" t="str">
        <f t="shared" si="31"/>
        <v/>
      </c>
      <c r="S268" s="184" t="str">
        <f t="shared" si="31"/>
        <v/>
      </c>
      <c r="T268" s="184" t="str">
        <f t="shared" si="31"/>
        <v/>
      </c>
      <c r="U268" s="184" t="str">
        <f t="shared" si="31"/>
        <v/>
      </c>
      <c r="V268" s="184" t="str">
        <f t="shared" si="31"/>
        <v/>
      </c>
      <c r="W268" s="184" t="str">
        <f t="shared" si="31"/>
        <v/>
      </c>
      <c r="X268" s="184" t="str">
        <f t="shared" si="31"/>
        <v/>
      </c>
      <c r="Y268" s="184" t="str">
        <f t="shared" si="31"/>
        <v/>
      </c>
      <c r="Z268" s="184" t="str">
        <f t="shared" si="31"/>
        <v/>
      </c>
      <c r="AA268" s="184" t="str">
        <f t="shared" si="31"/>
        <v/>
      </c>
      <c r="AB268" s="184" t="str">
        <f t="shared" si="31"/>
        <v/>
      </c>
      <c r="AC268" s="184" t="str">
        <f t="shared" si="31"/>
        <v/>
      </c>
      <c r="AD268" s="184" t="str">
        <f t="shared" si="31"/>
        <v/>
      </c>
      <c r="AE268" s="184" t="str">
        <f t="shared" si="31"/>
        <v/>
      </c>
      <c r="AF268" s="184" t="str">
        <f t="shared" si="31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2">IF(B236&lt;100,"",B236-620)</f>
        <v/>
      </c>
      <c r="C269" s="184" t="str">
        <f t="shared" si="32"/>
        <v/>
      </c>
      <c r="D269" s="184" t="str">
        <f t="shared" si="32"/>
        <v/>
      </c>
      <c r="E269" s="184" t="str">
        <f t="shared" si="32"/>
        <v/>
      </c>
      <c r="F269" s="184" t="str">
        <f t="shared" si="32"/>
        <v/>
      </c>
      <c r="G269" s="184" t="str">
        <f t="shared" si="32"/>
        <v/>
      </c>
      <c r="H269" s="184" t="str">
        <f t="shared" si="32"/>
        <v/>
      </c>
      <c r="I269" s="184" t="str">
        <f t="shared" si="32"/>
        <v/>
      </c>
      <c r="J269" s="184" t="str">
        <f t="shared" si="32"/>
        <v/>
      </c>
      <c r="K269" s="184" t="str">
        <f t="shared" si="32"/>
        <v/>
      </c>
      <c r="L269" s="184" t="str">
        <f t="shared" si="32"/>
        <v/>
      </c>
      <c r="M269" s="184" t="str">
        <f t="shared" si="32"/>
        <v/>
      </c>
      <c r="N269" s="184" t="str">
        <f t="shared" si="32"/>
        <v/>
      </c>
      <c r="O269" s="184" t="str">
        <f t="shared" si="32"/>
        <v/>
      </c>
      <c r="P269" s="184" t="str">
        <f t="shared" si="32"/>
        <v/>
      </c>
      <c r="Q269" s="184" t="str">
        <f t="shared" si="32"/>
        <v/>
      </c>
      <c r="R269" s="184" t="str">
        <f t="shared" si="32"/>
        <v/>
      </c>
      <c r="S269" s="184" t="str">
        <f t="shared" si="32"/>
        <v/>
      </c>
      <c r="T269" s="184" t="str">
        <f t="shared" si="32"/>
        <v/>
      </c>
      <c r="U269" s="184" t="str">
        <f t="shared" si="32"/>
        <v/>
      </c>
      <c r="V269" s="184" t="str">
        <f t="shared" si="32"/>
        <v/>
      </c>
      <c r="W269" s="184" t="str">
        <f t="shared" si="32"/>
        <v/>
      </c>
      <c r="X269" s="184" t="str">
        <f t="shared" si="32"/>
        <v/>
      </c>
      <c r="Y269" s="184" t="str">
        <f t="shared" si="32"/>
        <v/>
      </c>
      <c r="Z269" s="184" t="str">
        <f t="shared" si="32"/>
        <v/>
      </c>
      <c r="AA269" s="184" t="str">
        <f t="shared" si="32"/>
        <v/>
      </c>
      <c r="AB269" s="184" t="str">
        <f t="shared" si="32"/>
        <v/>
      </c>
      <c r="AC269" s="184" t="str">
        <f t="shared" si="32"/>
        <v/>
      </c>
      <c r="AD269" s="184" t="str">
        <f t="shared" si="32"/>
        <v/>
      </c>
      <c r="AE269" s="184" t="str">
        <f t="shared" si="32"/>
        <v/>
      </c>
      <c r="AF269" s="184" t="str">
        <f t="shared" si="32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3">IF(B237&lt;100,"",B237-330)</f>
        <v/>
      </c>
      <c r="C270" s="184" t="str">
        <f t="shared" si="33"/>
        <v/>
      </c>
      <c r="D270" s="184" t="str">
        <f t="shared" si="33"/>
        <v/>
      </c>
      <c r="E270" s="184" t="str">
        <f t="shared" si="33"/>
        <v/>
      </c>
      <c r="F270" s="184" t="str">
        <f t="shared" si="33"/>
        <v/>
      </c>
      <c r="G270" s="184" t="str">
        <f t="shared" si="33"/>
        <v/>
      </c>
      <c r="H270" s="184" t="str">
        <f t="shared" si="33"/>
        <v/>
      </c>
      <c r="I270" s="184" t="str">
        <f t="shared" si="33"/>
        <v/>
      </c>
      <c r="J270" s="184" t="str">
        <f t="shared" si="33"/>
        <v/>
      </c>
      <c r="K270" s="184" t="str">
        <f t="shared" si="33"/>
        <v/>
      </c>
      <c r="L270" s="184" t="str">
        <f t="shared" si="33"/>
        <v/>
      </c>
      <c r="M270" s="184" t="str">
        <f t="shared" si="33"/>
        <v/>
      </c>
      <c r="N270" s="184" t="str">
        <f t="shared" si="33"/>
        <v/>
      </c>
      <c r="O270" s="184" t="str">
        <f t="shared" si="33"/>
        <v/>
      </c>
      <c r="P270" s="184" t="str">
        <f t="shared" si="33"/>
        <v/>
      </c>
      <c r="Q270" s="184" t="str">
        <f t="shared" si="33"/>
        <v/>
      </c>
      <c r="R270" s="184" t="str">
        <f t="shared" si="33"/>
        <v/>
      </c>
      <c r="S270" s="184" t="str">
        <f t="shared" si="33"/>
        <v/>
      </c>
      <c r="T270" s="184" t="str">
        <f t="shared" si="33"/>
        <v/>
      </c>
      <c r="U270" s="184" t="str">
        <f t="shared" si="33"/>
        <v/>
      </c>
      <c r="V270" s="184" t="str">
        <f t="shared" si="33"/>
        <v/>
      </c>
      <c r="W270" s="184" t="str">
        <f t="shared" si="33"/>
        <v/>
      </c>
      <c r="X270" s="184" t="str">
        <f t="shared" si="33"/>
        <v/>
      </c>
      <c r="Y270" s="184" t="str">
        <f t="shared" si="33"/>
        <v/>
      </c>
      <c r="Z270" s="184" t="str">
        <f t="shared" si="33"/>
        <v/>
      </c>
      <c r="AA270" s="184" t="str">
        <f t="shared" si="33"/>
        <v/>
      </c>
      <c r="AB270" s="184" t="str">
        <f t="shared" si="33"/>
        <v/>
      </c>
      <c r="AC270" s="184" t="str">
        <f t="shared" si="33"/>
        <v/>
      </c>
      <c r="AD270" s="184" t="str">
        <f t="shared" si="33"/>
        <v/>
      </c>
      <c r="AE270" s="184" t="str">
        <f t="shared" si="33"/>
        <v/>
      </c>
      <c r="AF270" s="184" t="str">
        <f t="shared" si="33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4">IF(B238&lt;100,"",B238-1500)</f>
        <v/>
      </c>
      <c r="C271" s="184" t="str">
        <f t="shared" si="34"/>
        <v/>
      </c>
      <c r="D271" s="184" t="str">
        <f t="shared" si="34"/>
        <v/>
      </c>
      <c r="E271" s="184" t="str">
        <f t="shared" si="34"/>
        <v/>
      </c>
      <c r="F271" s="184" t="str">
        <f t="shared" si="34"/>
        <v/>
      </c>
      <c r="G271" s="184" t="str">
        <f t="shared" si="34"/>
        <v/>
      </c>
      <c r="H271" s="184" t="str">
        <f t="shared" si="34"/>
        <v/>
      </c>
      <c r="I271" s="184" t="str">
        <f t="shared" si="34"/>
        <v/>
      </c>
      <c r="J271" s="184" t="str">
        <f t="shared" si="34"/>
        <v/>
      </c>
      <c r="K271" s="184" t="str">
        <f t="shared" si="34"/>
        <v/>
      </c>
      <c r="L271" s="184" t="str">
        <f t="shared" si="34"/>
        <v/>
      </c>
      <c r="M271" s="184" t="str">
        <f t="shared" si="34"/>
        <v/>
      </c>
      <c r="N271" s="184" t="str">
        <f t="shared" si="34"/>
        <v/>
      </c>
      <c r="O271" s="184" t="str">
        <f t="shared" si="34"/>
        <v/>
      </c>
      <c r="P271" s="184" t="str">
        <f t="shared" si="34"/>
        <v/>
      </c>
      <c r="Q271" s="184" t="str">
        <f t="shared" si="34"/>
        <v/>
      </c>
      <c r="R271" s="184" t="str">
        <f t="shared" si="34"/>
        <v/>
      </c>
      <c r="S271" s="184" t="str">
        <f t="shared" si="34"/>
        <v/>
      </c>
      <c r="T271" s="184" t="str">
        <f t="shared" si="34"/>
        <v/>
      </c>
      <c r="U271" s="184" t="str">
        <f t="shared" si="34"/>
        <v/>
      </c>
      <c r="V271" s="184" t="str">
        <f t="shared" si="34"/>
        <v/>
      </c>
      <c r="W271" s="184" t="str">
        <f t="shared" si="34"/>
        <v/>
      </c>
      <c r="X271" s="184" t="str">
        <f t="shared" si="34"/>
        <v/>
      </c>
      <c r="Y271" s="184" t="str">
        <f t="shared" si="34"/>
        <v/>
      </c>
      <c r="Z271" s="184" t="str">
        <f t="shared" si="34"/>
        <v/>
      </c>
      <c r="AA271" s="184" t="str">
        <f t="shared" si="34"/>
        <v/>
      </c>
      <c r="AB271" s="184" t="str">
        <f t="shared" si="34"/>
        <v/>
      </c>
      <c r="AC271" s="184" t="str">
        <f t="shared" si="34"/>
        <v/>
      </c>
      <c r="AD271" s="184" t="str">
        <f t="shared" si="34"/>
        <v/>
      </c>
      <c r="AE271" s="184" t="str">
        <f t="shared" si="34"/>
        <v/>
      </c>
      <c r="AF271" s="184" t="str">
        <f t="shared" si="34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9753" priority="344">
      <formula>B$9&gt;=20/24</formula>
    </cfRule>
    <cfRule type="expression" dxfId="9752" priority="345">
      <formula>AND(B$9&gt;=14/24,B$9&lt;20/24)</formula>
    </cfRule>
    <cfRule type="expression" dxfId="9751" priority="346">
      <formula>AND(B$9&gt;=8/24,B$9&lt;14/24)</formula>
    </cfRule>
    <cfRule type="expression" dxfId="9750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9749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9748" priority="341">
      <formula>$AH12=0</formula>
    </cfRule>
  </conditionalFormatting>
  <conditionalFormatting sqref="A114">
    <cfRule type="expression" dxfId="9747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9746" priority="338">
      <formula>$AH45=0</formula>
    </cfRule>
  </conditionalFormatting>
  <conditionalFormatting sqref="A98">
    <cfRule type="expression" dxfId="9745" priority="337">
      <formula>$AH98=0</formula>
    </cfRule>
  </conditionalFormatting>
  <conditionalFormatting sqref="A18">
    <cfRule type="expression" dxfId="9744" priority="336">
      <formula>$AH18=0</formula>
    </cfRule>
  </conditionalFormatting>
  <conditionalFormatting sqref="A196:A201">
    <cfRule type="expression" dxfId="9743" priority="335">
      <formula>$AH196=0</formula>
    </cfRule>
  </conditionalFormatting>
  <conditionalFormatting sqref="A190:A195">
    <cfRule type="expression" dxfId="9742" priority="334">
      <formula>$AH190=0</formula>
    </cfRule>
  </conditionalFormatting>
  <conditionalFormatting sqref="A58">
    <cfRule type="expression" dxfId="9741" priority="333">
      <formula>$AH58=0</formula>
    </cfRule>
  </conditionalFormatting>
  <conditionalFormatting sqref="A94">
    <cfRule type="expression" dxfId="9740" priority="332">
      <formula>$AH94=0</formula>
    </cfRule>
  </conditionalFormatting>
  <conditionalFormatting sqref="AD99:AF99 E99:X99">
    <cfRule type="expression" dxfId="9739" priority="328">
      <formula>E$9&gt;=20/24</formula>
    </cfRule>
    <cfRule type="expression" dxfId="9738" priority="329">
      <formula>AND(E$9&gt;=14/24,E$9&lt;20/24)</formula>
    </cfRule>
    <cfRule type="expression" dxfId="9737" priority="330">
      <formula>AND(E$9&gt;=8/24,E$9&lt;14/24)</formula>
    </cfRule>
    <cfRule type="expression" dxfId="9736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735" priority="350">
      <formula>C$9&gt;=20/24</formula>
    </cfRule>
    <cfRule type="expression" dxfId="9734" priority="351">
      <formula>AND(C$9&gt;=14/24,C$9&lt;20/24)</formula>
    </cfRule>
    <cfRule type="expression" dxfId="9733" priority="352">
      <formula>AND(C$9&gt;=8/24,C$9&lt;14/24)</formula>
    </cfRule>
    <cfRule type="expression" dxfId="9732" priority="353">
      <formula>C$9&lt;8/24</formula>
    </cfRule>
  </conditionalFormatting>
  <conditionalFormatting sqref="A233">
    <cfRule type="expression" dxfId="9731" priority="354">
      <formula>$AH233=0</formula>
    </cfRule>
  </conditionalFormatting>
  <conditionalFormatting sqref="AG245">
    <cfRule type="expression" dxfId="9730" priority="355">
      <formula>B$9&gt;=20/24</formula>
    </cfRule>
    <cfRule type="expression" dxfId="9729" priority="356">
      <formula>AND(B$9&gt;=14/24,B$9&lt;20/24)</formula>
    </cfRule>
    <cfRule type="expression" dxfId="9728" priority="357">
      <formula>AND(B$9&gt;=8/24,B$9&lt;14/24)</formula>
    </cfRule>
    <cfRule type="expression" dxfId="9727" priority="358">
      <formula>B$9&lt;8/24</formula>
    </cfRule>
  </conditionalFormatting>
  <conditionalFormatting sqref="S8">
    <cfRule type="expression" dxfId="9726" priority="323">
      <formula>U$9&gt;=20/24</formula>
    </cfRule>
    <cfRule type="expression" dxfId="9725" priority="324">
      <formula>AND(U$9&gt;=14/24,U$9&lt;20/24)</formula>
    </cfRule>
    <cfRule type="expression" dxfId="9724" priority="325">
      <formula>AND(U$9&gt;=8/24,U$9&lt;14/24)</formula>
    </cfRule>
    <cfRule type="expression" dxfId="9723" priority="326">
      <formula>U$9&lt;8/24</formula>
    </cfRule>
  </conditionalFormatting>
  <conditionalFormatting sqref="AB8">
    <cfRule type="expression" dxfId="9722" priority="319">
      <formula>AD$9&gt;=20/24</formula>
    </cfRule>
    <cfRule type="expression" dxfId="9721" priority="320">
      <formula>AND(AD$9&gt;=14/24,AD$9&lt;20/24)</formula>
    </cfRule>
    <cfRule type="expression" dxfId="9720" priority="321">
      <formula>AND(AD$9&gt;=8/24,AD$9&lt;14/24)</formula>
    </cfRule>
    <cfRule type="expression" dxfId="9719" priority="322">
      <formula>AD$9&lt;8/24</formula>
    </cfRule>
  </conditionalFormatting>
  <conditionalFormatting sqref="AH245:AX245">
    <cfRule type="expression" dxfId="9718" priority="359">
      <formula>AG$9&gt;=20/24</formula>
    </cfRule>
    <cfRule type="expression" dxfId="9717" priority="360">
      <formula>AND(AG$9&gt;=14/24,AG$9&lt;20/24)</formula>
    </cfRule>
    <cfRule type="expression" dxfId="9716" priority="361">
      <formula>AND(AG$9&gt;=8/24,AG$9&lt;14/24)</formula>
    </cfRule>
    <cfRule type="expression" dxfId="9715" priority="362">
      <formula>AG$9&lt;8/24</formula>
    </cfRule>
  </conditionalFormatting>
  <conditionalFormatting sqref="T245">
    <cfRule type="expression" dxfId="9714" priority="363">
      <formula>AX$9&gt;=20/24</formula>
    </cfRule>
    <cfRule type="expression" dxfId="9713" priority="364">
      <formula>AND(AX$9&gt;=14/24,AX$9&lt;20/24)</formula>
    </cfRule>
    <cfRule type="expression" dxfId="9712" priority="365">
      <formula>AND(AX$9&gt;=8/24,AX$9&lt;14/24)</formula>
    </cfRule>
    <cfRule type="expression" dxfId="9711" priority="366">
      <formula>AX$9&lt;8/24</formula>
    </cfRule>
  </conditionalFormatting>
  <conditionalFormatting sqref="A115:A116">
    <cfRule type="expression" dxfId="9710" priority="318">
      <formula>$AH115=0</formula>
    </cfRule>
  </conditionalFormatting>
  <conditionalFormatting sqref="M54:P56 N57:P58 Q54:Q58 R57:T57 R58:Y58 E71:AF71 AB54:AF57">
    <cfRule type="expression" dxfId="9709" priority="314">
      <formula>E$9&gt;=20/24</formula>
    </cfRule>
    <cfRule type="expression" dxfId="9708" priority="315">
      <formula>AND(E$9&gt;=14/24,E$9&lt;20/24)</formula>
    </cfRule>
    <cfRule type="expression" dxfId="9707" priority="316">
      <formula>AND(E$9&gt;=8/24,E$9&lt;14/24)</formula>
    </cfRule>
    <cfRule type="expression" dxfId="9706" priority="317">
      <formula>E$9&lt;8/24</formula>
    </cfRule>
  </conditionalFormatting>
  <conditionalFormatting sqref="M53:Q53 AB53:AF53">
    <cfRule type="expression" dxfId="9705" priority="310">
      <formula>M$9&gt;=20/24</formula>
    </cfRule>
    <cfRule type="expression" dxfId="9704" priority="311">
      <formula>AND(M$9&gt;=14/24,M$9&lt;20/24)</formula>
    </cfRule>
    <cfRule type="expression" dxfId="9703" priority="312">
      <formula>AND(M$9&gt;=8/24,M$9&lt;14/24)</formula>
    </cfRule>
    <cfRule type="expression" dxfId="9702" priority="313">
      <formula>M$9&lt;8/24</formula>
    </cfRule>
  </conditionalFormatting>
  <conditionalFormatting sqref="M53:P56 N57:P58 Q53:Q58 R57:T57 R58:Y58 AB53:AF57">
    <cfRule type="expression" dxfId="9701" priority="309">
      <formula>M53&gt;$AG53</formula>
    </cfRule>
  </conditionalFormatting>
  <conditionalFormatting sqref="X96:AF96 AD100:AF106 H72:I72 I73 M100:X106 J72:Y73 D86:AF86 Z72:AF74 X47:AF47">
    <cfRule type="expression" dxfId="9700" priority="305">
      <formula>D$9&gt;=20/24</formula>
    </cfRule>
    <cfRule type="expression" dxfId="9699" priority="306">
      <formula>AND(D$9&gt;=14/24,D$9&lt;20/24)</formula>
    </cfRule>
    <cfRule type="expression" dxfId="9698" priority="307">
      <formula>AND(D$9&gt;=8/24,D$9&lt;14/24)</formula>
    </cfRule>
    <cfRule type="expression" dxfId="9697" priority="308">
      <formula>D$9&lt;8/24</formula>
    </cfRule>
  </conditionalFormatting>
  <conditionalFormatting sqref="X47:AF47">
    <cfRule type="expression" dxfId="9696" priority="304">
      <formula>X47&gt;$AG47</formula>
    </cfRule>
  </conditionalFormatting>
  <conditionalFormatting sqref="R53:T56 U53:AA57 Z58:AA58">
    <cfRule type="expression" dxfId="9695" priority="300">
      <formula>R$9&gt;=20/24</formula>
    </cfRule>
    <cfRule type="expression" dxfId="9694" priority="301">
      <formula>AND(R$9&gt;=14/24,R$9&lt;20/24)</formula>
    </cfRule>
    <cfRule type="expression" dxfId="9693" priority="302">
      <formula>AND(R$9&gt;=8/24,R$9&lt;14/24)</formula>
    </cfRule>
    <cfRule type="expression" dxfId="9692" priority="303">
      <formula>R$9&lt;8/24</formula>
    </cfRule>
  </conditionalFormatting>
  <conditionalFormatting sqref="R53:T56 U53:AA57 Z58:AA58">
    <cfRule type="expression" dxfId="9691" priority="299">
      <formula>R53&gt;$AG53</formula>
    </cfRule>
  </conditionalFormatting>
  <conditionalFormatting sqref="C97:AF97 D88:AF88">
    <cfRule type="expression" dxfId="9690" priority="295">
      <formula>C$9&gt;=20/24</formula>
    </cfRule>
    <cfRule type="expression" dxfId="9689" priority="296">
      <formula>AND(C$9&gt;=14/24,C$9&lt;20/24)</formula>
    </cfRule>
    <cfRule type="expression" dxfId="9688" priority="297">
      <formula>AND(C$9&gt;=8/24,C$9&lt;14/24)</formula>
    </cfRule>
    <cfRule type="expression" dxfId="9687" priority="298">
      <formula>C$9&lt;8/24</formula>
    </cfRule>
  </conditionalFormatting>
  <conditionalFormatting sqref="T47:W47">
    <cfRule type="expression" dxfId="9686" priority="291">
      <formula>T$9&gt;=20/24</formula>
    </cfRule>
    <cfRule type="expression" dxfId="9685" priority="292">
      <formula>AND(T$9&gt;=14/24,T$9&lt;20/24)</formula>
    </cfRule>
    <cfRule type="expression" dxfId="9684" priority="293">
      <formula>AND(T$9&gt;=8/24,T$9&lt;14/24)</formula>
    </cfRule>
    <cfRule type="expression" dxfId="9683" priority="294">
      <formula>T$9&lt;8/24</formula>
    </cfRule>
  </conditionalFormatting>
  <conditionalFormatting sqref="T47:W47">
    <cfRule type="expression" dxfId="9682" priority="290">
      <formula>T47&gt;$AG47</formula>
    </cfRule>
  </conditionalFormatting>
  <conditionalFormatting sqref="H54:L55">
    <cfRule type="expression" dxfId="9681" priority="286">
      <formula>H$9&gt;=20/24</formula>
    </cfRule>
    <cfRule type="expression" dxfId="9680" priority="287">
      <formula>AND(H$9&gt;=14/24,H$9&lt;20/24)</formula>
    </cfRule>
    <cfRule type="expression" dxfId="9679" priority="288">
      <formula>AND(H$9&gt;=8/24,H$9&lt;14/24)</formula>
    </cfRule>
    <cfRule type="expression" dxfId="9678" priority="289">
      <formula>H$9&lt;8/24</formula>
    </cfRule>
  </conditionalFormatting>
  <conditionalFormatting sqref="H53:L53">
    <cfRule type="expression" dxfId="9677" priority="282">
      <formula>H$9&gt;=20/24</formula>
    </cfRule>
    <cfRule type="expression" dxfId="9676" priority="283">
      <formula>AND(H$9&gt;=14/24,H$9&lt;20/24)</formula>
    </cfRule>
    <cfRule type="expression" dxfId="9675" priority="284">
      <formula>AND(H$9&gt;=8/24,H$9&lt;14/24)</formula>
    </cfRule>
    <cfRule type="expression" dxfId="9674" priority="285">
      <formula>H$9&lt;8/24</formula>
    </cfRule>
  </conditionalFormatting>
  <conditionalFormatting sqref="H53:L55">
    <cfRule type="expression" dxfId="9673" priority="281">
      <formula>H53&gt;$AG53</formula>
    </cfRule>
  </conditionalFormatting>
  <conditionalFormatting sqref="AG70 AG87 E100:L106">
    <cfRule type="expression" dxfId="9672" priority="277">
      <formula>E$9&gt;=20/24</formula>
    </cfRule>
    <cfRule type="expression" dxfId="9671" priority="278">
      <formula>AND(E$9&gt;=14/24,E$9&lt;20/24)</formula>
    </cfRule>
    <cfRule type="expression" dxfId="9670" priority="279">
      <formula>AND(E$9&gt;=8/24,E$9&lt;14/24)</formula>
    </cfRule>
    <cfRule type="expression" dxfId="9669" priority="280">
      <formula>E$9&lt;8/24</formula>
    </cfRule>
  </conditionalFormatting>
  <conditionalFormatting sqref="AG48 AG66 AG70">
    <cfRule type="expression" dxfId="9668" priority="276">
      <formula>AG48&gt;$AG48</formula>
    </cfRule>
  </conditionalFormatting>
  <conditionalFormatting sqref="AB58:AF58">
    <cfRule type="expression" dxfId="9667" priority="272">
      <formula>AB$9&gt;=20/24</formula>
    </cfRule>
    <cfRule type="expression" dxfId="9666" priority="273">
      <formula>AND(AB$9&gt;=14/24,AB$9&lt;20/24)</formula>
    </cfRule>
    <cfRule type="expression" dxfId="9665" priority="274">
      <formula>AND(AB$9&gt;=8/24,AB$9&lt;14/24)</formula>
    </cfRule>
    <cfRule type="expression" dxfId="9664" priority="275">
      <formula>AB$9&lt;8/24</formula>
    </cfRule>
  </conditionalFormatting>
  <conditionalFormatting sqref="AB58:AF58">
    <cfRule type="expression" dxfId="9663" priority="271">
      <formula>AB58&gt;$AG58</formula>
    </cfRule>
  </conditionalFormatting>
  <conditionalFormatting sqref="A43">
    <cfRule type="expression" dxfId="9662" priority="270">
      <formula>$AH43=0</formula>
    </cfRule>
  </conditionalFormatting>
  <conditionalFormatting sqref="X91:AF95">
    <cfRule type="expression" dxfId="9661" priority="266">
      <formula>X$9&gt;=20/24</formula>
    </cfRule>
    <cfRule type="expression" dxfId="9660" priority="267">
      <formula>AND(X$9&gt;=14/24,X$9&lt;20/24)</formula>
    </cfRule>
    <cfRule type="expression" dxfId="9659" priority="268">
      <formula>AND(X$9&gt;=8/24,X$9&lt;14/24)</formula>
    </cfRule>
    <cfRule type="expression" dxfId="9658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L49 M49:AF51">
    <cfRule type="expression" dxfId="9657" priority="262">
      <formula>E$9&gt;=20/24</formula>
    </cfRule>
    <cfRule type="expression" dxfId="9656" priority="263">
      <formula>AND(E$9&gt;=14/24,E$9&lt;20/24)</formula>
    </cfRule>
    <cfRule type="expression" dxfId="9655" priority="264">
      <formula>AND(E$9&gt;=8/24,E$9&lt;14/24)</formula>
    </cfRule>
    <cfRule type="expression" dxfId="9654" priority="265">
      <formula>E$9&lt;8/24</formula>
    </cfRule>
  </conditionalFormatting>
  <conditionalFormatting sqref="E49:L49 M49:AF51">
    <cfRule type="expression" dxfId="9653" priority="261">
      <formula>E49&gt;$AG49</formula>
    </cfRule>
  </conditionalFormatting>
  <conditionalFormatting sqref="AG52">
    <cfRule type="expression" dxfId="9652" priority="257">
      <formula>AG$9&gt;=20/24</formula>
    </cfRule>
    <cfRule type="expression" dxfId="9651" priority="258">
      <formula>AND(AG$9&gt;=14/24,AG$9&lt;20/24)</formula>
    </cfRule>
    <cfRule type="expression" dxfId="9650" priority="259">
      <formula>AND(AG$9&gt;=8/24,AG$9&lt;14/24)</formula>
    </cfRule>
    <cfRule type="expression" dxfId="9649" priority="260">
      <formula>AG$9&lt;8/24</formula>
    </cfRule>
  </conditionalFormatting>
  <conditionalFormatting sqref="AG52">
    <cfRule type="expression" dxfId="9648" priority="256">
      <formula>AG52&gt;$AG52</formula>
    </cfRule>
  </conditionalFormatting>
  <conditionalFormatting sqref="C107:AF107">
    <cfRule type="expression" dxfId="9647" priority="252">
      <formula>C$9&gt;=20/24</formula>
    </cfRule>
    <cfRule type="expression" dxfId="9646" priority="253">
      <formula>AND(C$9&gt;=14/24,C$9&lt;20/24)</formula>
    </cfRule>
    <cfRule type="expression" dxfId="9645" priority="254">
      <formula>AND(C$9&gt;=8/24,C$9&lt;14/24)</formula>
    </cfRule>
    <cfRule type="expression" dxfId="9644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643" priority="250">
      <formula>$AH40=0</formula>
    </cfRule>
  </conditionalFormatting>
  <conditionalFormatting sqref="A90">
    <cfRule type="expression" dxfId="9642" priority="248">
      <formula>$AH90=0</formula>
    </cfRule>
  </conditionalFormatting>
  <conditionalFormatting sqref="A87">
    <cfRule type="expression" dxfId="9641" priority="249">
      <formula>$AH87=0</formula>
    </cfRule>
  </conditionalFormatting>
  <conditionalFormatting sqref="D110:AF110">
    <cfRule type="expression" dxfId="9640" priority="244">
      <formula>D$9&gt;=20/24</formula>
    </cfRule>
    <cfRule type="expression" dxfId="9639" priority="245">
      <formula>AND(D$9&gt;=14/24,D$9&lt;20/24)</formula>
    </cfRule>
    <cfRule type="expression" dxfId="9638" priority="246">
      <formula>AND(D$9&gt;=8/24,D$9&lt;14/24)</formula>
    </cfRule>
    <cfRule type="expression" dxfId="9637" priority="247">
      <formula>D$9&lt;8/24</formula>
    </cfRule>
  </conditionalFormatting>
  <conditionalFormatting sqref="A110">
    <cfRule type="expression" dxfId="9636" priority="243">
      <formula>$AH110=0</formula>
    </cfRule>
  </conditionalFormatting>
  <conditionalFormatting sqref="A21">
    <cfRule type="expression" dxfId="9635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634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9633" priority="235">
      <formula>Y$9&gt;=20/24</formula>
    </cfRule>
    <cfRule type="expression" dxfId="9632" priority="236">
      <formula>AND(Y$9&gt;=14/24,Y$9&lt;20/24)</formula>
    </cfRule>
    <cfRule type="expression" dxfId="9631" priority="237">
      <formula>AND(Y$9&gt;=8/24,Y$9&lt;14/24)</formula>
    </cfRule>
    <cfRule type="expression" dxfId="9630" priority="238">
      <formula>Y$9&lt;8/24</formula>
    </cfRule>
  </conditionalFormatting>
  <conditionalFormatting sqref="Y100:AC106">
    <cfRule type="expression" dxfId="9629" priority="231">
      <formula>Y$9&gt;=20/24</formula>
    </cfRule>
    <cfRule type="expression" dxfId="9628" priority="232">
      <formula>AND(Y$9&gt;=14/24,Y$9&lt;20/24)</formula>
    </cfRule>
    <cfRule type="expression" dxfId="9627" priority="233">
      <formula>AND(Y$9&gt;=8/24,Y$9&lt;14/24)</formula>
    </cfRule>
    <cfRule type="expression" dxfId="9626" priority="234">
      <formula>Y$9&lt;8/24</formula>
    </cfRule>
  </conditionalFormatting>
  <conditionalFormatting sqref="C109 C111:C116 Z17:AF27 Z34:AF43 Z29:AF32">
    <cfRule type="expression" dxfId="9625" priority="227">
      <formula>C$9&gt;=20/24</formula>
    </cfRule>
    <cfRule type="expression" dxfId="9624" priority="228">
      <formula>AND(C$9&gt;=14/24,C$9&lt;20/24)</formula>
    </cfRule>
    <cfRule type="expression" dxfId="9623" priority="229">
      <formula>AND(C$9&gt;=8/24,C$9&lt;14/24)</formula>
    </cfRule>
    <cfRule type="expression" dxfId="9622" priority="230">
      <formula>C$9&lt;8/24</formula>
    </cfRule>
  </conditionalFormatting>
  <conditionalFormatting sqref="C47:S47">
    <cfRule type="expression" dxfId="9621" priority="223">
      <formula>C$9&gt;=20/24</formula>
    </cfRule>
    <cfRule type="expression" dxfId="9620" priority="224">
      <formula>AND(C$9&gt;=14/24,C$9&lt;20/24)</formula>
    </cfRule>
    <cfRule type="expression" dxfId="9619" priority="225">
      <formula>AND(C$9&gt;=8/24,C$9&lt;14/24)</formula>
    </cfRule>
    <cfRule type="expression" dxfId="9618" priority="226">
      <formula>C$9&lt;8/24</formula>
    </cfRule>
  </conditionalFormatting>
  <conditionalFormatting sqref="C47:S47 Z17:AF27 Z34:AF43 Z29:AF32">
    <cfRule type="expression" dxfId="9617" priority="222">
      <formula>C17&gt;$AG17</formula>
    </cfRule>
  </conditionalFormatting>
  <conditionalFormatting sqref="C99:D99">
    <cfRule type="expression" dxfId="9616" priority="218">
      <formula>C$9&gt;=20/24</formula>
    </cfRule>
    <cfRule type="expression" dxfId="9615" priority="219">
      <formula>AND(C$9&gt;=14/24,C$9&lt;20/24)</formula>
    </cfRule>
    <cfRule type="expression" dxfId="9614" priority="220">
      <formula>AND(C$9&gt;=8/24,C$9&lt;14/24)</formula>
    </cfRule>
    <cfRule type="expression" dxfId="9613" priority="221">
      <formula>C$9&lt;8/24</formula>
    </cfRule>
  </conditionalFormatting>
  <conditionalFormatting sqref="C86 C96:W96 C100:D103 D104:D106 M74:Y76 Z75:AE76 AE77:AE81 C83:AF85 M67:AF69 AF75:AF81">
    <cfRule type="expression" dxfId="9612" priority="214">
      <formula>C$9&gt;=20/24</formula>
    </cfRule>
    <cfRule type="expression" dxfId="9611" priority="215">
      <formula>AND(C$9&gt;=14/24,C$9&lt;20/24)</formula>
    </cfRule>
    <cfRule type="expression" dxfId="9610" priority="216">
      <formula>AND(C$9&gt;=8/24,C$9&lt;14/24)</formula>
    </cfRule>
    <cfRule type="expression" dxfId="9609" priority="217">
      <formula>C$9&lt;8/24</formula>
    </cfRule>
  </conditionalFormatting>
  <conditionalFormatting sqref="M57 H56:L57 M67:AF69">
    <cfRule type="expression" dxfId="9608" priority="213">
      <formula>H56&gt;$AG56</formula>
    </cfRule>
  </conditionalFormatting>
  <conditionalFormatting sqref="H58:M58">
    <cfRule type="expression" dxfId="9607" priority="209">
      <formula>H$9&gt;=20/24</formula>
    </cfRule>
    <cfRule type="expression" dxfId="9606" priority="210">
      <formula>AND(H$9&gt;=14/24,H$9&lt;20/24)</formula>
    </cfRule>
    <cfRule type="expression" dxfId="9605" priority="211">
      <formula>AND(H$9&gt;=8/24,H$9&lt;14/24)</formula>
    </cfRule>
    <cfRule type="expression" dxfId="9604" priority="212">
      <formula>H$9&lt;8/24</formula>
    </cfRule>
  </conditionalFormatting>
  <conditionalFormatting sqref="H58:M58">
    <cfRule type="expression" dxfId="9603" priority="208">
      <formula>H58&gt;$AG58</formula>
    </cfRule>
  </conditionalFormatting>
  <conditionalFormatting sqref="B71:D71 B54:G57">
    <cfRule type="expression" dxfId="9602" priority="132">
      <formula>B$9&gt;=20/24</formula>
    </cfRule>
    <cfRule type="expression" dxfId="9601" priority="133">
      <formula>AND(B$9&gt;=14/24,B$9&lt;20/24)</formula>
    </cfRule>
    <cfRule type="expression" dxfId="9600" priority="134">
      <formula>AND(B$9&gt;=8/24,B$9&lt;14/24)</formula>
    </cfRule>
    <cfRule type="expression" dxfId="9599" priority="135">
      <formula>B$9&lt;8/24</formula>
    </cfRule>
  </conditionalFormatting>
  <conditionalFormatting sqref="P46:AF46">
    <cfRule type="expression" dxfId="9598" priority="204">
      <formula>P$9&gt;=20/24</formula>
    </cfRule>
    <cfRule type="expression" dxfId="9597" priority="205">
      <formula>AND(P$9&gt;=14/24,P$9&lt;20/24)</formula>
    </cfRule>
    <cfRule type="expression" dxfId="9596" priority="206">
      <formula>AND(P$9&gt;=8/24,P$9&lt;14/24)</formula>
    </cfRule>
    <cfRule type="expression" dxfId="9595" priority="207">
      <formula>P$9&lt;8/24</formula>
    </cfRule>
  </conditionalFormatting>
  <conditionalFormatting sqref="P46:AF46">
    <cfRule type="expression" dxfId="9594" priority="203">
      <formula>P46&gt;$AG46</formula>
    </cfRule>
  </conditionalFormatting>
  <conditionalFormatting sqref="C87:AF87 C89:AF89 C98:AF98 C70:AF70">
    <cfRule type="expression" dxfId="9593" priority="199">
      <formula>C$9&gt;=20/24</formula>
    </cfRule>
    <cfRule type="expression" dxfId="9592" priority="200">
      <formula>AND(C$9&gt;=14/24,C$9&lt;20/24)</formula>
    </cfRule>
    <cfRule type="expression" dxfId="9591" priority="201">
      <formula>AND(C$9&gt;=8/24,C$9&lt;14/24)</formula>
    </cfRule>
    <cfRule type="expression" dxfId="9590" priority="202">
      <formula>C$9&lt;8/24</formula>
    </cfRule>
  </conditionalFormatting>
  <conditionalFormatting sqref="C70:AF70 C65:AF66 C48:AF48">
    <cfRule type="expression" dxfId="9589" priority="198">
      <formula>C48&gt;$AG48</formula>
    </cfRule>
  </conditionalFormatting>
  <conditionalFormatting sqref="C82:AF82">
    <cfRule type="expression" dxfId="9588" priority="194">
      <formula>C$9&gt;=20/24</formula>
    </cfRule>
    <cfRule type="expression" dxfId="9587" priority="195">
      <formula>AND(C$9&gt;=14/24,C$9&lt;20/24)</formula>
    </cfRule>
    <cfRule type="expression" dxfId="9586" priority="196">
      <formula>AND(C$9&gt;=8/24,C$9&lt;14/24)</formula>
    </cfRule>
    <cfRule type="expression" dxfId="9585" priority="197">
      <formula>C$9&lt;8/24</formula>
    </cfRule>
  </conditionalFormatting>
  <conditionalFormatting sqref="C91:W95">
    <cfRule type="expression" dxfId="9584" priority="190">
      <formula>C$9&gt;=20/24</formula>
    </cfRule>
    <cfRule type="expression" dxfId="9583" priority="191">
      <formula>AND(C$9&gt;=14/24,C$9&lt;20/24)</formula>
    </cfRule>
    <cfRule type="expression" dxfId="9582" priority="192">
      <formula>AND(C$9&gt;=8/24,C$9&lt;14/24)</formula>
    </cfRule>
    <cfRule type="expression" dxfId="9581" priority="193">
      <formula>C$9&lt;8/24</formula>
    </cfRule>
  </conditionalFormatting>
  <conditionalFormatting sqref="C52:AF52">
    <cfRule type="expression" dxfId="9580" priority="186">
      <formula>C$9&gt;=20/24</formula>
    </cfRule>
    <cfRule type="expression" dxfId="9579" priority="187">
      <formula>AND(C$9&gt;=14/24,C$9&lt;20/24)</formula>
    </cfRule>
    <cfRule type="expression" dxfId="9578" priority="188">
      <formula>AND(C$9&gt;=8/24,C$9&lt;14/24)</formula>
    </cfRule>
    <cfRule type="expression" dxfId="9577" priority="189">
      <formula>C$9&lt;8/24</formula>
    </cfRule>
  </conditionalFormatting>
  <conditionalFormatting sqref="C52:AF52">
    <cfRule type="expression" dxfId="9576" priority="185">
      <formula>C52&gt;$AG52</formula>
    </cfRule>
  </conditionalFormatting>
  <conditionalFormatting sqref="B49:D51 E50:L51">
    <cfRule type="expression" dxfId="9575" priority="100">
      <formula>B$9&gt;=20/24</formula>
    </cfRule>
    <cfRule type="expression" dxfId="9574" priority="101">
      <formula>AND(B$9&gt;=14/24,B$9&lt;20/24)</formula>
    </cfRule>
    <cfRule type="expression" dxfId="9573" priority="102">
      <formula>AND(B$9&gt;=8/24,B$9&lt;14/24)</formula>
    </cfRule>
    <cfRule type="expression" dxfId="9572" priority="103">
      <formula>B$9&lt;8/24</formula>
    </cfRule>
  </conditionalFormatting>
  <conditionalFormatting sqref="C110">
    <cfRule type="expression" dxfId="9571" priority="177">
      <formula>C$9&gt;=20/24</formula>
    </cfRule>
    <cfRule type="expression" dxfId="9570" priority="178">
      <formula>AND(C$9&gt;=14/24,C$9&lt;20/24)</formula>
    </cfRule>
    <cfRule type="expression" dxfId="9569" priority="179">
      <formula>AND(C$9&gt;=8/24,C$9&lt;14/24)</formula>
    </cfRule>
    <cfRule type="expression" dxfId="9568" priority="180">
      <formula>C$9&lt;8/24</formula>
    </cfRule>
  </conditionalFormatting>
  <conditionalFormatting sqref="H59:L60 M59:AF64">
    <cfRule type="expression" dxfId="9567" priority="173">
      <formula>H$9&gt;=20/24</formula>
    </cfRule>
    <cfRule type="expression" dxfId="9566" priority="174">
      <formula>AND(H$9&gt;=14/24,H$9&lt;20/24)</formula>
    </cfRule>
    <cfRule type="expression" dxfId="9565" priority="175">
      <formula>AND(H$9&gt;=8/24,H$9&lt;14/24)</formula>
    </cfRule>
    <cfRule type="expression" dxfId="9564" priority="176">
      <formula>H$9&lt;8/24</formula>
    </cfRule>
  </conditionalFormatting>
  <conditionalFormatting sqref="H59:L60 M59:AF64">
    <cfRule type="expression" dxfId="9563" priority="172">
      <formula>H59&gt;$AG59</formula>
    </cfRule>
  </conditionalFormatting>
  <conditionalFormatting sqref="Z45:AF45 Z13:AF15">
    <cfRule type="expression" dxfId="9562" priority="171">
      <formula>Z13&gt;$AG13</formula>
    </cfRule>
  </conditionalFormatting>
  <conditionalFormatting sqref="Z12:AF12">
    <cfRule type="expression" dxfId="9561" priority="167">
      <formula>Z$9&gt;=20/24</formula>
    </cfRule>
    <cfRule type="expression" dxfId="9560" priority="168">
      <formula>AND(Z$9&gt;=14/24,Z$9&lt;20/24)</formula>
    </cfRule>
    <cfRule type="expression" dxfId="9559" priority="169">
      <formula>AND(Z$9&gt;=8/24,Z$9&lt;14/24)</formula>
    </cfRule>
    <cfRule type="expression" dxfId="9558" priority="170">
      <formula>Z$9&lt;8/24</formula>
    </cfRule>
  </conditionalFormatting>
  <conditionalFormatting sqref="Z12:AF12">
    <cfRule type="expression" dxfId="9557" priority="166">
      <formula>Z12&gt;$AG12</formula>
    </cfRule>
  </conditionalFormatting>
  <conditionalFormatting sqref="Z13:AF15">
    <cfRule type="expression" dxfId="9556" priority="162">
      <formula>Z$9&gt;=20/24</formula>
    </cfRule>
    <cfRule type="expression" dxfId="9555" priority="163">
      <formula>AND(Z$9&gt;=14/24,Z$9&lt;20/24)</formula>
    </cfRule>
    <cfRule type="expression" dxfId="9554" priority="164">
      <formula>AND(Z$9&gt;=8/24,Z$9&lt;14/24)</formula>
    </cfRule>
    <cfRule type="expression" dxfId="9553" priority="165">
      <formula>Z$9&lt;8/24</formula>
    </cfRule>
  </conditionalFormatting>
  <conditionalFormatting sqref="Z45:AF45">
    <cfRule type="expression" dxfId="9552" priority="158">
      <formula>Z$9&gt;=20/24</formula>
    </cfRule>
    <cfRule type="expression" dxfId="9551" priority="159">
      <formula>AND(Z$9&gt;=14/24,Z$9&lt;20/24)</formula>
    </cfRule>
    <cfRule type="expression" dxfId="9550" priority="160">
      <formula>AND(Z$9&gt;=8/24,Z$9&lt;14/24)</formula>
    </cfRule>
    <cfRule type="expression" dxfId="9549" priority="161">
      <formula>Z$9&lt;8/24</formula>
    </cfRule>
  </conditionalFormatting>
  <conditionalFormatting sqref="M77:AD81">
    <cfRule type="expression" dxfId="9548" priority="154">
      <formula>M$9&gt;=20/24</formula>
    </cfRule>
    <cfRule type="expression" dxfId="9547" priority="155">
      <formula>AND(M$9&gt;=14/24,M$9&lt;20/24)</formula>
    </cfRule>
    <cfRule type="expression" dxfId="9546" priority="156">
      <formula>AND(M$9&gt;=8/24,M$9&lt;14/24)</formula>
    </cfRule>
    <cfRule type="expression" dxfId="9545" priority="157">
      <formula>M$9&lt;8/24</formula>
    </cfRule>
  </conditionalFormatting>
  <conditionalFormatting sqref="AL78:AN78 AL84:AN84 AN79:AN80">
    <cfRule type="expression" dxfId="9544" priority="150">
      <formula>AL$9&gt;=20/24</formula>
    </cfRule>
    <cfRule type="expression" dxfId="9543" priority="151">
      <formula>AND(AL$9&gt;=14/24,AL$9&lt;20/24)</formula>
    </cfRule>
    <cfRule type="expression" dxfId="9542" priority="152">
      <formula>AND(AL$9&gt;=8/24,AL$9&lt;14/24)</formula>
    </cfRule>
    <cfRule type="expression" dxfId="9541" priority="153">
      <formula>AL$9&lt;8/24</formula>
    </cfRule>
  </conditionalFormatting>
  <conditionalFormatting sqref="AN81:AN82">
    <cfRule type="expression" dxfId="9540" priority="146">
      <formula>AN$9&gt;=20/24</formula>
    </cfRule>
    <cfRule type="expression" dxfId="9539" priority="147">
      <formula>AND(AN$9&gt;=14/24,AN$9&lt;20/24)</formula>
    </cfRule>
    <cfRule type="expression" dxfId="9538" priority="148">
      <formula>AND(AN$9&gt;=8/24,AN$9&lt;14/24)</formula>
    </cfRule>
    <cfRule type="expression" dxfId="9537" priority="149">
      <formula>AN$9&lt;8/24</formula>
    </cfRule>
  </conditionalFormatting>
  <conditionalFormatting sqref="AL79:AM83">
    <cfRule type="expression" dxfId="9536" priority="368">
      <formula>AJ$9&gt;=20/24</formula>
    </cfRule>
    <cfRule type="expression" dxfId="9535" priority="369">
      <formula>AND(AJ$9&gt;=14/24,AJ$9&lt;20/24)</formula>
    </cfRule>
    <cfRule type="expression" dxfId="9534" priority="370">
      <formula>AND(AJ$9&gt;=8/24,AJ$9&lt;14/24)</formula>
    </cfRule>
    <cfRule type="expression" dxfId="9533" priority="371">
      <formula>AJ$9&lt;8/24</formula>
    </cfRule>
  </conditionalFormatting>
  <conditionalFormatting sqref="A117">
    <cfRule type="expression" dxfId="9532" priority="145">
      <formula>$AH117=0</formula>
    </cfRule>
  </conditionalFormatting>
  <conditionalFormatting sqref="B109 B111:B116 B17:Y27 B12:Y15 B45:Y45 B34:Y43 B29:Y32 B28:AF28">
    <cfRule type="expression" dxfId="9531" priority="141">
      <formula>B$9&gt;=20/24</formula>
    </cfRule>
    <cfRule type="expression" dxfId="9530" priority="142">
      <formula>AND(B$9&gt;=14/24,B$9&lt;20/24)</formula>
    </cfRule>
    <cfRule type="expression" dxfId="9529" priority="143">
      <formula>AND(B$9&gt;=8/24,B$9&lt;14/24)</formula>
    </cfRule>
    <cfRule type="expression" dxfId="9528" priority="144">
      <formula>B$9&lt;8/24</formula>
    </cfRule>
  </conditionalFormatting>
  <conditionalFormatting sqref="B17:Y27 B12:Y15 B45:Y45 B34:Y43 B29:Y32 B28:AF28">
    <cfRule type="expression" dxfId="9527" priority="140">
      <formula>B12&gt;$AG12</formula>
    </cfRule>
  </conditionalFormatting>
  <conditionalFormatting sqref="B99">
    <cfRule type="expression" dxfId="9526" priority="136">
      <formula>B$9&gt;=20/24</formula>
    </cfRule>
    <cfRule type="expression" dxfId="9525" priority="137">
      <formula>AND(B$9&gt;=14/24,B$9&lt;20/24)</formula>
    </cfRule>
    <cfRule type="expression" dxfId="9524" priority="138">
      <formula>AND(B$9&gt;=8/24,B$9&lt;14/24)</formula>
    </cfRule>
    <cfRule type="expression" dxfId="9523" priority="139">
      <formula>B$9&lt;8/24</formula>
    </cfRule>
  </conditionalFormatting>
  <conditionalFormatting sqref="B53:G53">
    <cfRule type="expression" dxfId="9522" priority="128">
      <formula>B$9&gt;=20/24</formula>
    </cfRule>
    <cfRule type="expression" dxfId="9521" priority="129">
      <formula>AND(B$9&gt;=14/24,B$9&lt;20/24)</formula>
    </cfRule>
    <cfRule type="expression" dxfId="9520" priority="130">
      <formula>AND(B$9&gt;=8/24,B$9&lt;14/24)</formula>
    </cfRule>
    <cfRule type="expression" dxfId="9519" priority="131">
      <formula>B$9&lt;8/24</formula>
    </cfRule>
  </conditionalFormatting>
  <conditionalFormatting sqref="B53:G57">
    <cfRule type="expression" dxfId="9518" priority="127">
      <formula>B53&gt;$AG53</formula>
    </cfRule>
  </conditionalFormatting>
  <conditionalFormatting sqref="B96 B100:B106 B86 B47 C104:C106 B72:G74 H73:H74 B67:L69 I74:L74">
    <cfRule type="expression" dxfId="9517" priority="123">
      <formula>B$9&gt;=20/24</formula>
    </cfRule>
    <cfRule type="expression" dxfId="9516" priority="124">
      <formula>AND(B$9&gt;=14/24,B$9&lt;20/24)</formula>
    </cfRule>
    <cfRule type="expression" dxfId="9515" priority="125">
      <formula>AND(B$9&gt;=8/24,B$9&lt;14/24)</formula>
    </cfRule>
    <cfRule type="expression" dxfId="9514" priority="126">
      <formula>B$9&lt;8/24</formula>
    </cfRule>
  </conditionalFormatting>
  <conditionalFormatting sqref="B47 B67:L69">
    <cfRule type="expression" dxfId="9513" priority="122">
      <formula>B47&gt;$AG47</formula>
    </cfRule>
  </conditionalFormatting>
  <conditionalFormatting sqref="B97 B88:C88">
    <cfRule type="expression" dxfId="9512" priority="118">
      <formula>B$9&gt;=20/24</formula>
    </cfRule>
    <cfRule type="expression" dxfId="9511" priority="119">
      <formula>AND(B$9&gt;=14/24,B$9&lt;20/24)</formula>
    </cfRule>
    <cfRule type="expression" dxfId="9510" priority="120">
      <formula>AND(B$9&gt;=8/24,B$9&lt;14/24)</formula>
    </cfRule>
    <cfRule type="expression" dxfId="9509" priority="121">
      <formula>B$9&lt;8/24</formula>
    </cfRule>
  </conditionalFormatting>
  <conditionalFormatting sqref="B46:O46">
    <cfRule type="expression" dxfId="9508" priority="114">
      <formula>B$9&gt;=20/24</formula>
    </cfRule>
    <cfRule type="expression" dxfId="9507" priority="115">
      <formula>AND(B$9&gt;=14/24,B$9&lt;20/24)</formula>
    </cfRule>
    <cfRule type="expression" dxfId="9506" priority="116">
      <formula>AND(B$9&gt;=8/24,B$9&lt;14/24)</formula>
    </cfRule>
    <cfRule type="expression" dxfId="9505" priority="117">
      <formula>B$9&lt;8/24</formula>
    </cfRule>
  </conditionalFormatting>
  <conditionalFormatting sqref="B46:O46">
    <cfRule type="expression" dxfId="9504" priority="113">
      <formula>B46&gt;$AG46</formula>
    </cfRule>
  </conditionalFormatting>
  <conditionalFormatting sqref="B58:G58">
    <cfRule type="expression" dxfId="9503" priority="109">
      <formula>B$9&gt;=20/24</formula>
    </cfRule>
    <cfRule type="expression" dxfId="9502" priority="110">
      <formula>AND(B$9&gt;=14/24,B$9&lt;20/24)</formula>
    </cfRule>
    <cfRule type="expression" dxfId="9501" priority="111">
      <formula>AND(B$9&gt;=8/24,B$9&lt;14/24)</formula>
    </cfRule>
    <cfRule type="expression" dxfId="9500" priority="112">
      <formula>B$9&lt;8/24</formula>
    </cfRule>
  </conditionalFormatting>
  <conditionalFormatting sqref="B58:G58">
    <cfRule type="expression" dxfId="9499" priority="108">
      <formula>B58&gt;$AG58</formula>
    </cfRule>
  </conditionalFormatting>
  <conditionalFormatting sqref="B91:B95">
    <cfRule type="expression" dxfId="9498" priority="104">
      <formula>B$9&gt;=20/24</formula>
    </cfRule>
    <cfRule type="expression" dxfId="9497" priority="105">
      <formula>AND(B$9&gt;=14/24,B$9&lt;20/24)</formula>
    </cfRule>
    <cfRule type="expression" dxfId="9496" priority="106">
      <formula>AND(B$9&gt;=8/24,B$9&lt;14/24)</formula>
    </cfRule>
    <cfRule type="expression" dxfId="9495" priority="107">
      <formula>B$9&lt;8/24</formula>
    </cfRule>
  </conditionalFormatting>
  <conditionalFormatting sqref="B49:D51 E50:L51">
    <cfRule type="expression" dxfId="9494" priority="99">
      <formula>B49&gt;$AG49</formula>
    </cfRule>
  </conditionalFormatting>
  <conditionalFormatting sqref="B107">
    <cfRule type="expression" dxfId="9493" priority="95">
      <formula>B$9&gt;=20/24</formula>
    </cfRule>
    <cfRule type="expression" dxfId="9492" priority="96">
      <formula>AND(B$9&gt;=14/24,B$9&lt;20/24)</formula>
    </cfRule>
    <cfRule type="expression" dxfId="9491" priority="97">
      <formula>AND(B$9&gt;=8/24,B$9&lt;14/24)</formula>
    </cfRule>
    <cfRule type="expression" dxfId="9490" priority="98">
      <formula>B$9&lt;8/24</formula>
    </cfRule>
  </conditionalFormatting>
  <conditionalFormatting sqref="B110">
    <cfRule type="expression" dxfId="9489" priority="91">
      <formula>B$9&gt;=20/24</formula>
    </cfRule>
    <cfRule type="expression" dxfId="9488" priority="92">
      <formula>AND(B$9&gt;=14/24,B$9&lt;20/24)</formula>
    </cfRule>
    <cfRule type="expression" dxfId="9487" priority="93">
      <formula>AND(B$9&gt;=8/24,B$9&lt;14/24)</formula>
    </cfRule>
    <cfRule type="expression" dxfId="9486" priority="94">
      <formula>B$9&lt;8/24</formula>
    </cfRule>
  </conditionalFormatting>
  <conditionalFormatting sqref="B83:B85 B75:L76">
    <cfRule type="expression" dxfId="9485" priority="87">
      <formula>B$9&gt;=20/24</formula>
    </cfRule>
    <cfRule type="expression" dxfId="9484" priority="88">
      <formula>AND(B$9&gt;=14/24,B$9&lt;20/24)</formula>
    </cfRule>
    <cfRule type="expression" dxfId="9483" priority="89">
      <formula>AND(B$9&gt;=8/24,B$9&lt;14/24)</formula>
    </cfRule>
    <cfRule type="expression" dxfId="9482" priority="90">
      <formula>B$9&lt;8/24</formula>
    </cfRule>
  </conditionalFormatting>
  <conditionalFormatting sqref="B89 B98 B70 B87">
    <cfRule type="expression" dxfId="9481" priority="83">
      <formula>B$9&gt;=20/24</formula>
    </cfRule>
    <cfRule type="expression" dxfId="9480" priority="84">
      <formula>AND(B$9&gt;=14/24,B$9&lt;20/24)</formula>
    </cfRule>
    <cfRule type="expression" dxfId="9479" priority="85">
      <formula>AND(B$9&gt;=8/24,B$9&lt;14/24)</formula>
    </cfRule>
    <cfRule type="expression" dxfId="9478" priority="86">
      <formula>B$9&lt;8/24</formula>
    </cfRule>
  </conditionalFormatting>
  <conditionalFormatting sqref="B48 B65:B66 B70">
    <cfRule type="expression" dxfId="9477" priority="82">
      <formula>B48&gt;$AG48</formula>
    </cfRule>
  </conditionalFormatting>
  <conditionalFormatting sqref="B82">
    <cfRule type="expression" dxfId="9476" priority="78">
      <formula>B$9&gt;=20/24</formula>
    </cfRule>
    <cfRule type="expression" dxfId="9475" priority="79">
      <formula>AND(B$9&gt;=14/24,B$9&lt;20/24)</formula>
    </cfRule>
    <cfRule type="expression" dxfId="9474" priority="80">
      <formula>AND(B$9&gt;=8/24,B$9&lt;14/24)</formula>
    </cfRule>
    <cfRule type="expression" dxfId="9473" priority="81">
      <formula>B$9&lt;8/24</formula>
    </cfRule>
  </conditionalFormatting>
  <conditionalFormatting sqref="B52">
    <cfRule type="expression" dxfId="9472" priority="74">
      <formula>B$9&gt;=20/24</formula>
    </cfRule>
    <cfRule type="expression" dxfId="9471" priority="75">
      <formula>AND(B$9&gt;=14/24,B$9&lt;20/24)</formula>
    </cfRule>
    <cfRule type="expression" dxfId="9470" priority="76">
      <formula>AND(B$9&gt;=8/24,B$9&lt;14/24)</formula>
    </cfRule>
    <cfRule type="expression" dxfId="9469" priority="77">
      <formula>B$9&lt;8/24</formula>
    </cfRule>
  </conditionalFormatting>
  <conditionalFormatting sqref="B52">
    <cfRule type="expression" dxfId="9468" priority="73">
      <formula>B52&gt;$AG52</formula>
    </cfRule>
  </conditionalFormatting>
  <conditionalFormatting sqref="B59:G64 H61:L64">
    <cfRule type="expression" dxfId="9467" priority="65">
      <formula>B$9&gt;=20/24</formula>
    </cfRule>
    <cfRule type="expression" dxfId="9466" priority="66">
      <formula>AND(B$9&gt;=14/24,B$9&lt;20/24)</formula>
    </cfRule>
    <cfRule type="expression" dxfId="9465" priority="67">
      <formula>AND(B$9&gt;=8/24,B$9&lt;14/24)</formula>
    </cfRule>
    <cfRule type="expression" dxfId="9464" priority="68">
      <formula>B$9&lt;8/24</formula>
    </cfRule>
  </conditionalFormatting>
  <conditionalFormatting sqref="B59:G64 H61:L64">
    <cfRule type="expression" dxfId="9463" priority="64">
      <formula>B59&gt;$AG59</formula>
    </cfRule>
  </conditionalFormatting>
  <conditionalFormatting sqref="B77:L81">
    <cfRule type="expression" dxfId="9462" priority="60">
      <formula>B$9&gt;=20/24</formula>
    </cfRule>
    <cfRule type="expression" dxfId="9461" priority="61">
      <formula>AND(B$9&gt;=14/24,B$9&lt;20/24)</formula>
    </cfRule>
    <cfRule type="expression" dxfId="9460" priority="62">
      <formula>AND(B$9&gt;=8/24,B$9&lt;14/24)</formula>
    </cfRule>
    <cfRule type="expression" dxfId="9459" priority="63">
      <formula>B$9&lt;8/24</formula>
    </cfRule>
  </conditionalFormatting>
  <conditionalFormatting sqref="A11">
    <cfRule type="expression" dxfId="9458" priority="59">
      <formula>$AH11=0</formula>
    </cfRule>
  </conditionalFormatting>
  <conditionalFormatting sqref="Z11:AF11">
    <cfRule type="expression" dxfId="9457" priority="55">
      <formula>Z$9&gt;=20/24</formula>
    </cfRule>
    <cfRule type="expression" dxfId="9456" priority="56">
      <formula>AND(Z$9&gt;=14/24,Z$9&lt;20/24)</formula>
    </cfRule>
    <cfRule type="expression" dxfId="9455" priority="57">
      <formula>AND(Z$9&gt;=8/24,Z$9&lt;14/24)</formula>
    </cfRule>
    <cfRule type="expression" dxfId="9454" priority="58">
      <formula>Z$9&lt;8/24</formula>
    </cfRule>
  </conditionalFormatting>
  <conditionalFormatting sqref="Z11:AF11">
    <cfRule type="expression" dxfId="9453" priority="54">
      <formula>Z11&gt;$AG11</formula>
    </cfRule>
  </conditionalFormatting>
  <conditionalFormatting sqref="B11:Y11">
    <cfRule type="expression" dxfId="9452" priority="50">
      <formula>B$9&gt;=20/24</formula>
    </cfRule>
    <cfRule type="expression" dxfId="9451" priority="51">
      <formula>AND(B$9&gt;=14/24,B$9&lt;20/24)</formula>
    </cfRule>
    <cfRule type="expression" dxfId="9450" priority="52">
      <formula>AND(B$9&gt;=8/24,B$9&lt;14/24)</formula>
    </cfRule>
    <cfRule type="expression" dxfId="9449" priority="53">
      <formula>B$9&lt;8/24</formula>
    </cfRule>
  </conditionalFormatting>
  <conditionalFormatting sqref="B11:Y11">
    <cfRule type="expression" dxfId="9448" priority="49">
      <formula>B11&gt;$AG11</formula>
    </cfRule>
  </conditionalFormatting>
  <conditionalFormatting sqref="A16">
    <cfRule type="expression" dxfId="9447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9446" priority="43">
      <formula>Z$9&gt;=20/24</formula>
    </cfRule>
    <cfRule type="expression" dxfId="9445" priority="44">
      <formula>AND(Z$9&gt;=14/24,Z$9&lt;20/24)</formula>
    </cfRule>
    <cfRule type="expression" dxfId="9444" priority="45">
      <formula>AND(Z$9&gt;=8/24,Z$9&lt;14/24)</formula>
    </cfRule>
    <cfRule type="expression" dxfId="9443" priority="46">
      <formula>Z$9&lt;8/24</formula>
    </cfRule>
  </conditionalFormatting>
  <conditionalFormatting sqref="Z16:AF16">
    <cfRule type="expression" dxfId="9442" priority="42">
      <formula>Z16&gt;$AG16</formula>
    </cfRule>
  </conditionalFormatting>
  <conditionalFormatting sqref="B16:Y16">
    <cfRule type="expression" dxfId="9441" priority="38">
      <formula>B$9&gt;=20/24</formula>
    </cfRule>
    <cfRule type="expression" dxfId="9440" priority="39">
      <formula>AND(B$9&gt;=14/24,B$9&lt;20/24)</formula>
    </cfRule>
    <cfRule type="expression" dxfId="9439" priority="40">
      <formula>AND(B$9&gt;=8/24,B$9&lt;14/24)</formula>
    </cfRule>
    <cfRule type="expression" dxfId="9438" priority="41">
      <formula>B$9&lt;8/24</formula>
    </cfRule>
  </conditionalFormatting>
  <conditionalFormatting sqref="B16:Y16">
    <cfRule type="expression" dxfId="9437" priority="37">
      <formula>B16&gt;$AG16</formula>
    </cfRule>
  </conditionalFormatting>
  <conditionalFormatting sqref="A33">
    <cfRule type="expression" dxfId="9436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9435" priority="31">
      <formula>Z$9&gt;=20/24</formula>
    </cfRule>
    <cfRule type="expression" dxfId="9434" priority="32">
      <formula>AND(Z$9&gt;=14/24,Z$9&lt;20/24)</formula>
    </cfRule>
    <cfRule type="expression" dxfId="9433" priority="33">
      <formula>AND(Z$9&gt;=8/24,Z$9&lt;14/24)</formula>
    </cfRule>
    <cfRule type="expression" dxfId="9432" priority="34">
      <formula>Z$9&lt;8/24</formula>
    </cfRule>
  </conditionalFormatting>
  <conditionalFormatting sqref="Z33:AF33">
    <cfRule type="expression" dxfId="9431" priority="30">
      <formula>Z33&gt;$AG33</formula>
    </cfRule>
  </conditionalFormatting>
  <conditionalFormatting sqref="B33:Y33">
    <cfRule type="expression" dxfId="9430" priority="26">
      <formula>B$9&gt;=20/24</formula>
    </cfRule>
    <cfRule type="expression" dxfId="9429" priority="27">
      <formula>AND(B$9&gt;=14/24,B$9&lt;20/24)</formula>
    </cfRule>
    <cfRule type="expression" dxfId="9428" priority="28">
      <formula>AND(B$9&gt;=8/24,B$9&lt;14/24)</formula>
    </cfRule>
    <cfRule type="expression" dxfId="9427" priority="29">
      <formula>B$9&lt;8/24</formula>
    </cfRule>
  </conditionalFormatting>
  <conditionalFormatting sqref="B33:Y33">
    <cfRule type="expression" dxfId="9426" priority="25">
      <formula>B33&gt;$AG33</formula>
    </cfRule>
  </conditionalFormatting>
  <conditionalFormatting sqref="A44">
    <cfRule type="expression" dxfId="9425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9424" priority="22">
      <formula>Z44&gt;$AG44</formula>
    </cfRule>
  </conditionalFormatting>
  <conditionalFormatting sqref="Z44:AF44">
    <cfRule type="expression" dxfId="9423" priority="18">
      <formula>Z$9&gt;=20/24</formula>
    </cfRule>
    <cfRule type="expression" dxfId="9422" priority="19">
      <formula>AND(Z$9&gt;=14/24,Z$9&lt;20/24)</formula>
    </cfRule>
    <cfRule type="expression" dxfId="9421" priority="20">
      <formula>AND(Z$9&gt;=8/24,Z$9&lt;14/24)</formula>
    </cfRule>
    <cfRule type="expression" dxfId="9420" priority="21">
      <formula>Z$9&lt;8/24</formula>
    </cfRule>
  </conditionalFormatting>
  <conditionalFormatting sqref="B44:Y44">
    <cfRule type="expression" dxfId="9419" priority="14">
      <formula>B$9&gt;=20/24</formula>
    </cfRule>
    <cfRule type="expression" dxfId="9418" priority="15">
      <formula>AND(B$9&gt;=14/24,B$9&lt;20/24)</formula>
    </cfRule>
    <cfRule type="expression" dxfId="9417" priority="16">
      <formula>AND(B$9&gt;=8/24,B$9&lt;14/24)</formula>
    </cfRule>
    <cfRule type="expression" dxfId="9416" priority="17">
      <formula>B$9&lt;8/24</formula>
    </cfRule>
  </conditionalFormatting>
  <conditionalFormatting sqref="B44:Y44">
    <cfRule type="expression" dxfId="9415" priority="13">
      <formula>B44&gt;$AG44</formula>
    </cfRule>
  </conditionalFormatting>
  <conditionalFormatting sqref="B117">
    <cfRule type="expression" dxfId="9414" priority="1">
      <formula>B$9&gt;=20/24</formula>
    </cfRule>
    <cfRule type="expression" dxfId="9413" priority="2">
      <formula>AND(B$9&gt;=14/24,B$9&lt;20/24)</formula>
    </cfRule>
    <cfRule type="expression" dxfId="9412" priority="3">
      <formula>AND(B$9&gt;=8/24,B$9&lt;14/24)</formula>
    </cfRule>
    <cfRule type="expression" dxfId="9411" priority="4">
      <formula>B$9&lt;8/24</formula>
    </cfRule>
  </conditionalFormatting>
  <conditionalFormatting sqref="D117:AF117">
    <cfRule type="expression" dxfId="9410" priority="9">
      <formula>D$9&gt;=20/24</formula>
    </cfRule>
    <cfRule type="expression" dxfId="9409" priority="10">
      <formula>AND(D$9&gt;=14/24,D$9&lt;20/24)</formula>
    </cfRule>
    <cfRule type="expression" dxfId="9408" priority="11">
      <formula>AND(D$9&gt;=8/24,D$9&lt;14/24)</formula>
    </cfRule>
    <cfRule type="expression" dxfId="9407" priority="12">
      <formula>D$9&lt;8/24</formula>
    </cfRule>
  </conditionalFormatting>
  <conditionalFormatting sqref="C117">
    <cfRule type="expression" dxfId="9406" priority="5">
      <formula>C$9&gt;=20/24</formula>
    </cfRule>
    <cfRule type="expression" dxfId="9405" priority="6">
      <formula>AND(C$9&gt;=14/24,C$9&lt;20/24)</formula>
    </cfRule>
    <cfRule type="expression" dxfId="9404" priority="7">
      <formula>AND(C$9&gt;=8/24,C$9&lt;14/24)</formula>
    </cfRule>
    <cfRule type="expression" dxfId="9403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EFA21BF6-8468-40DA-B42E-24CC3A0EE2E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292CDF5F-CC16-4C83-A187-A59639573BA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23D8FAC3-772C-4998-9287-683FE231678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F90972E1-E1D5-4CB0-B18A-D2B6D4272EE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5F5DBD18-21F8-435F-9235-78AB9589502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5B081423-8834-4B9B-95BF-0086951E44E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0130C14B-3419-4E3D-9D4B-5A8B166D54D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644D0393-8DC8-468C-9620-A39B2C042CF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70" zoomScaleNormal="70" workbookViewId="0">
      <pane ySplit="10" topLeftCell="A65" activePane="bottomLeft" state="frozen"/>
      <selection activeCell="Z85" sqref="Z85"/>
      <selection pane="bottomLeft" activeCell="AH11" sqref="AH11:AI11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2079/12/8</v>
      </c>
      <c r="C4" s="196"/>
      <c r="D4" s="196"/>
      <c r="E4" s="197" t="str">
        <f ca="1">"2079/"&amp;"12/"&amp;INT(MID(CELL("filename",G6),FIND("]",CELL("filename",G6))+1,200))</f>
        <v>2079/12/8</v>
      </c>
      <c r="F4" s="197"/>
      <c r="G4" s="197"/>
      <c r="H4" s="197" t="str">
        <f ca="1">TEXT(E4,"dddd")</f>
        <v>Friday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283</v>
      </c>
      <c r="C5" s="33">
        <f t="shared" si="0"/>
        <v>292.90000000000003</v>
      </c>
      <c r="D5" s="33">
        <f t="shared" si="0"/>
        <v>280.70000000000005</v>
      </c>
      <c r="E5" s="33">
        <f t="shared" si="0"/>
        <v>259.2</v>
      </c>
      <c r="F5" s="33">
        <f t="shared" si="0"/>
        <v>263.39999999999998</v>
      </c>
      <c r="G5" s="33">
        <f t="shared" si="0"/>
        <v>332.5</v>
      </c>
      <c r="H5" s="33">
        <f t="shared" si="0"/>
        <v>382.00000000000006</v>
      </c>
      <c r="I5" s="33">
        <f t="shared" si="0"/>
        <v>355.70000000000005</v>
      </c>
      <c r="J5" s="33">
        <f t="shared" si="0"/>
        <v>357.09999999999997</v>
      </c>
      <c r="K5" s="33">
        <f t="shared" si="0"/>
        <v>356.9</v>
      </c>
      <c r="L5" s="33">
        <f t="shared" si="0"/>
        <v>403.9</v>
      </c>
      <c r="M5" s="33">
        <f t="shared" si="0"/>
        <v>470</v>
      </c>
      <c r="N5" s="33">
        <f t="shared" si="0"/>
        <v>465</v>
      </c>
      <c r="O5" s="33">
        <f t="shared" si="0"/>
        <v>507</v>
      </c>
      <c r="P5" s="33">
        <f t="shared" si="0"/>
        <v>520.6</v>
      </c>
      <c r="Q5" s="33">
        <f t="shared" si="0"/>
        <v>536.29999999999995</v>
      </c>
      <c r="R5" s="33">
        <f t="shared" si="0"/>
        <v>558</v>
      </c>
      <c r="S5" s="33">
        <f t="shared" si="0"/>
        <v>534.6</v>
      </c>
      <c r="T5" s="33">
        <f t="shared" si="0"/>
        <v>542.1</v>
      </c>
      <c r="U5" s="33">
        <f t="shared" si="0"/>
        <v>516.4</v>
      </c>
      <c r="V5" s="33">
        <f t="shared" si="0"/>
        <v>523.69999999999993</v>
      </c>
      <c r="W5" s="33">
        <f t="shared" si="0"/>
        <v>535.1</v>
      </c>
      <c r="X5" s="33">
        <f t="shared" si="0"/>
        <v>529.4</v>
      </c>
      <c r="Y5" s="33">
        <f t="shared" si="0"/>
        <v>445.6</v>
      </c>
      <c r="Z5" s="33">
        <f t="shared" si="0"/>
        <v>437.40000000000003</v>
      </c>
      <c r="AA5" s="33">
        <f t="shared" si="0"/>
        <v>437</v>
      </c>
      <c r="AB5" s="33">
        <f t="shared" si="0"/>
        <v>437.8</v>
      </c>
      <c r="AC5" s="33">
        <f t="shared" si="0"/>
        <v>448.2</v>
      </c>
      <c r="AD5" s="33">
        <f t="shared" si="0"/>
        <v>341.2</v>
      </c>
      <c r="AE5" s="33">
        <f t="shared" si="0"/>
        <v>304</v>
      </c>
      <c r="AF5" s="33">
        <f>B82</f>
        <v>289.90000000000003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1259MW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Load=899</v>
      </c>
      <c r="B7" s="38">
        <f t="shared" ref="B7:AF7" si="1">B89</f>
        <v>949.04</v>
      </c>
      <c r="C7" s="38">
        <f t="shared" si="1"/>
        <v>936.94</v>
      </c>
      <c r="D7" s="38">
        <f t="shared" si="1"/>
        <v>912.94</v>
      </c>
      <c r="E7" s="38">
        <f t="shared" si="1"/>
        <v>899.24</v>
      </c>
      <c r="F7" s="38">
        <f t="shared" si="1"/>
        <v>900.24</v>
      </c>
      <c r="G7" s="38">
        <f t="shared" si="1"/>
        <v>936.54</v>
      </c>
      <c r="H7" s="38">
        <f t="shared" si="1"/>
        <v>1046.94</v>
      </c>
      <c r="I7" s="38">
        <f t="shared" si="1"/>
        <v>1087.44</v>
      </c>
      <c r="J7" s="38">
        <f t="shared" si="1"/>
        <v>1186.3400000000001</v>
      </c>
      <c r="K7" s="38">
        <f t="shared" si="1"/>
        <v>1253.8400000000001</v>
      </c>
      <c r="L7" s="38">
        <f t="shared" si="1"/>
        <v>1228.44</v>
      </c>
      <c r="M7" s="38">
        <f t="shared" si="1"/>
        <v>1258.7400000000002</v>
      </c>
      <c r="N7" s="38">
        <f>N89</f>
        <v>1218.04</v>
      </c>
      <c r="O7" s="38">
        <f t="shared" si="1"/>
        <v>1213.04</v>
      </c>
      <c r="P7" s="38">
        <f t="shared" si="1"/>
        <v>1232.04</v>
      </c>
      <c r="Q7" s="38">
        <f t="shared" si="1"/>
        <v>1191.6399999999999</v>
      </c>
      <c r="R7" s="38">
        <f t="shared" si="1"/>
        <v>1180.1399999999999</v>
      </c>
      <c r="S7" s="38">
        <f t="shared" si="1"/>
        <v>1184.74</v>
      </c>
      <c r="T7" s="38">
        <f t="shared" si="1"/>
        <v>1203.8400000000001</v>
      </c>
      <c r="U7" s="38">
        <f t="shared" si="1"/>
        <v>1220.6400000000001</v>
      </c>
      <c r="V7" s="38">
        <f t="shared" si="1"/>
        <v>1188.1399999999999</v>
      </c>
      <c r="W7" s="38">
        <f t="shared" si="1"/>
        <v>1189.6399999999999</v>
      </c>
      <c r="X7" s="38">
        <f t="shared" si="1"/>
        <v>1221.04</v>
      </c>
      <c r="Y7" s="38">
        <f t="shared" si="1"/>
        <v>1388.2400000000002</v>
      </c>
      <c r="Z7" s="38">
        <f t="shared" si="1"/>
        <v>1431.8400000000001</v>
      </c>
      <c r="AA7" s="38">
        <f t="shared" si="1"/>
        <v>1383.0400000000002</v>
      </c>
      <c r="AB7" s="38">
        <f t="shared" si="1"/>
        <v>1339.2400000000002</v>
      </c>
      <c r="AC7" s="38">
        <f t="shared" si="1"/>
        <v>1292.24</v>
      </c>
      <c r="AD7" s="38">
        <f t="shared" si="1"/>
        <v>1258.44</v>
      </c>
      <c r="AE7" s="38">
        <f t="shared" si="1"/>
        <v>1151.3399999999999</v>
      </c>
      <c r="AF7" s="38">
        <f t="shared" si="1"/>
        <v>980.64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28</v>
      </c>
      <c r="C11" s="50">
        <v>28</v>
      </c>
      <c r="D11" s="50">
        <v>28</v>
      </c>
      <c r="E11" s="50">
        <v>28</v>
      </c>
      <c r="F11" s="50">
        <v>28</v>
      </c>
      <c r="G11" s="50">
        <v>28</v>
      </c>
      <c r="H11" s="50">
        <v>28</v>
      </c>
      <c r="I11" s="50">
        <v>28</v>
      </c>
      <c r="J11" s="50">
        <v>28</v>
      </c>
      <c r="K11" s="50">
        <v>28</v>
      </c>
      <c r="L11" s="50">
        <v>28</v>
      </c>
      <c r="M11" s="50">
        <v>28</v>
      </c>
      <c r="N11" s="50">
        <v>28</v>
      </c>
      <c r="O11" s="50">
        <v>28</v>
      </c>
      <c r="P11" s="50">
        <v>28</v>
      </c>
      <c r="Q11" s="50">
        <v>28</v>
      </c>
      <c r="R11" s="50">
        <v>28</v>
      </c>
      <c r="S11" s="50">
        <v>28</v>
      </c>
      <c r="T11" s="50">
        <v>28</v>
      </c>
      <c r="U11" s="50">
        <v>28</v>
      </c>
      <c r="V11" s="50">
        <v>28</v>
      </c>
      <c r="W11" s="50">
        <v>28</v>
      </c>
      <c r="X11" s="50">
        <v>28</v>
      </c>
      <c r="Y11" s="50">
        <v>28</v>
      </c>
      <c r="Z11" s="50">
        <v>28</v>
      </c>
      <c r="AA11" s="50">
        <v>28</v>
      </c>
      <c r="AB11" s="50">
        <v>28</v>
      </c>
      <c r="AC11" s="50">
        <v>28</v>
      </c>
      <c r="AD11" s="50">
        <v>28</v>
      </c>
      <c r="AE11" s="50">
        <v>28</v>
      </c>
      <c r="AF11" s="50">
        <v>28</v>
      </c>
      <c r="AG11" s="51">
        <v>86</v>
      </c>
      <c r="AH11" s="52">
        <f t="shared" ref="AH11:AH74" si="2">MAX(B11:AF11)</f>
        <v>28</v>
      </c>
      <c r="AI11" s="53">
        <f t="shared" ref="AI11:AI74" si="3">MIN(B11:AF11)</f>
        <v>28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22.3</v>
      </c>
      <c r="C12" s="50">
        <v>21</v>
      </c>
      <c r="D12" s="50">
        <v>20.5</v>
      </c>
      <c r="E12" s="50">
        <v>20.5</v>
      </c>
      <c r="F12" s="50">
        <v>20.5</v>
      </c>
      <c r="G12" s="50">
        <v>20.5</v>
      </c>
      <c r="H12" s="50">
        <v>20.5</v>
      </c>
      <c r="I12" s="50">
        <v>20.5</v>
      </c>
      <c r="J12" s="50">
        <v>20.5</v>
      </c>
      <c r="K12" s="50">
        <v>20.5</v>
      </c>
      <c r="L12" s="50">
        <v>20.5</v>
      </c>
      <c r="M12" s="50">
        <v>20.5</v>
      </c>
      <c r="N12" s="50">
        <v>20.5</v>
      </c>
      <c r="O12" s="50">
        <v>20.5</v>
      </c>
      <c r="P12" s="50">
        <v>20.5</v>
      </c>
      <c r="Q12" s="50">
        <v>20.5</v>
      </c>
      <c r="R12" s="50">
        <v>20.5</v>
      </c>
      <c r="S12" s="50">
        <v>13</v>
      </c>
      <c r="T12" s="50">
        <v>13</v>
      </c>
      <c r="U12" s="50">
        <v>13</v>
      </c>
      <c r="V12" s="50">
        <v>13</v>
      </c>
      <c r="W12" s="50">
        <v>13</v>
      </c>
      <c r="X12" s="50">
        <v>13</v>
      </c>
      <c r="Y12" s="50">
        <v>13</v>
      </c>
      <c r="Z12" s="50">
        <v>13</v>
      </c>
      <c r="AA12" s="50">
        <v>13</v>
      </c>
      <c r="AB12" s="50">
        <v>13</v>
      </c>
      <c r="AC12" s="50">
        <v>13</v>
      </c>
      <c r="AD12" s="50">
        <v>13</v>
      </c>
      <c r="AE12" s="50">
        <v>13</v>
      </c>
      <c r="AF12" s="50">
        <v>13</v>
      </c>
      <c r="AG12" s="51">
        <v>52.4</v>
      </c>
      <c r="AH12" s="52">
        <f t="shared" si="2"/>
        <v>22.3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16.7</v>
      </c>
      <c r="C14" s="50">
        <v>16.600000000000001</v>
      </c>
      <c r="D14" s="50">
        <v>16.2</v>
      </c>
      <c r="E14" s="50">
        <v>16.2</v>
      </c>
      <c r="F14" s="50">
        <v>16.2</v>
      </c>
      <c r="G14" s="50">
        <v>16.2</v>
      </c>
      <c r="H14" s="50">
        <v>16.2</v>
      </c>
      <c r="I14" s="50">
        <v>16.2</v>
      </c>
      <c r="J14" s="50">
        <v>16.2</v>
      </c>
      <c r="K14" s="50">
        <v>16.2</v>
      </c>
      <c r="L14" s="50">
        <v>16.2</v>
      </c>
      <c r="M14" s="50">
        <v>16.2</v>
      </c>
      <c r="N14" s="50">
        <v>16.2</v>
      </c>
      <c r="O14" s="50">
        <v>16.2</v>
      </c>
      <c r="P14" s="50">
        <v>16.2</v>
      </c>
      <c r="Q14" s="50">
        <v>16.2</v>
      </c>
      <c r="R14" s="50">
        <v>16.2</v>
      </c>
      <c r="S14" s="50">
        <v>16.2</v>
      </c>
      <c r="T14" s="50">
        <v>16.2</v>
      </c>
      <c r="U14" s="50">
        <v>16.2</v>
      </c>
      <c r="V14" s="50">
        <v>16.2</v>
      </c>
      <c r="W14" s="50">
        <v>16.2</v>
      </c>
      <c r="X14" s="50">
        <v>16.2</v>
      </c>
      <c r="Y14" s="50">
        <v>16.2</v>
      </c>
      <c r="Z14" s="50">
        <v>16.2</v>
      </c>
      <c r="AA14" s="50">
        <v>16.2</v>
      </c>
      <c r="AB14" s="50">
        <v>16.2</v>
      </c>
      <c r="AC14" s="50">
        <v>16.2</v>
      </c>
      <c r="AD14" s="50">
        <v>16.2</v>
      </c>
      <c r="AE14" s="50">
        <v>16.2</v>
      </c>
      <c r="AF14" s="50">
        <v>16.2</v>
      </c>
      <c r="AG14" s="55">
        <v>45</v>
      </c>
      <c r="AH14" s="52">
        <f t="shared" si="2"/>
        <v>16.7</v>
      </c>
      <c r="AI14" s="53">
        <f t="shared" si="3"/>
        <v>16.2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10</v>
      </c>
      <c r="C15" s="50">
        <v>10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10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9.4</v>
      </c>
      <c r="C18" s="50">
        <v>8.6999999999999993</v>
      </c>
      <c r="D18" s="50">
        <v>8.9</v>
      </c>
      <c r="E18" s="50">
        <v>8.9</v>
      </c>
      <c r="F18" s="50">
        <v>8.9</v>
      </c>
      <c r="G18" s="50">
        <v>8.9</v>
      </c>
      <c r="H18" s="50">
        <v>8.9</v>
      </c>
      <c r="I18" s="50">
        <v>8.9</v>
      </c>
      <c r="J18" s="50">
        <v>8.9</v>
      </c>
      <c r="K18" s="50">
        <v>8.9</v>
      </c>
      <c r="L18" s="50">
        <v>8.9</v>
      </c>
      <c r="M18" s="50">
        <v>8.9</v>
      </c>
      <c r="N18" s="50">
        <v>8.9</v>
      </c>
      <c r="O18" s="50">
        <v>8.9</v>
      </c>
      <c r="P18" s="50">
        <v>8.9</v>
      </c>
      <c r="Q18" s="50">
        <v>8.9</v>
      </c>
      <c r="R18" s="50">
        <v>8.9</v>
      </c>
      <c r="S18" s="50">
        <v>8.9</v>
      </c>
      <c r="T18" s="50">
        <v>8.9</v>
      </c>
      <c r="U18" s="50">
        <v>8.9</v>
      </c>
      <c r="V18" s="50">
        <v>8.9</v>
      </c>
      <c r="W18" s="50">
        <v>8.9</v>
      </c>
      <c r="X18" s="50">
        <v>8.9</v>
      </c>
      <c r="Y18" s="50">
        <v>8.9</v>
      </c>
      <c r="Z18" s="50">
        <v>8.9</v>
      </c>
      <c r="AA18" s="50">
        <v>8.9</v>
      </c>
      <c r="AB18" s="50">
        <v>8.9</v>
      </c>
      <c r="AC18" s="50">
        <v>8.9</v>
      </c>
      <c r="AD18" s="50">
        <v>8.9</v>
      </c>
      <c r="AE18" s="50">
        <v>8.9</v>
      </c>
      <c r="AF18" s="50">
        <v>8.9</v>
      </c>
      <c r="AG18" s="56">
        <v>30</v>
      </c>
      <c r="AH18" s="52">
        <f t="shared" si="2"/>
        <v>9.4</v>
      </c>
      <c r="AI18" s="53">
        <f t="shared" si="3"/>
        <v>8.6999999999999993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9.5</v>
      </c>
      <c r="C19" s="50">
        <v>7.3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9.5</v>
      </c>
      <c r="AI19" s="53">
        <f t="shared" si="3"/>
        <v>0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13.3</v>
      </c>
      <c r="C22" s="50">
        <v>13.2</v>
      </c>
      <c r="D22" s="50">
        <v>12.3</v>
      </c>
      <c r="E22" s="50">
        <v>12.3</v>
      </c>
      <c r="F22" s="50">
        <v>12.3</v>
      </c>
      <c r="G22" s="50">
        <v>12.3</v>
      </c>
      <c r="H22" s="50">
        <v>12.3</v>
      </c>
      <c r="I22" s="50">
        <v>12.3</v>
      </c>
      <c r="J22" s="50">
        <v>12.3</v>
      </c>
      <c r="K22" s="50">
        <v>12.3</v>
      </c>
      <c r="L22" s="50">
        <v>12.3</v>
      </c>
      <c r="M22" s="50">
        <v>12.3</v>
      </c>
      <c r="N22" s="50">
        <v>12.3</v>
      </c>
      <c r="O22" s="50">
        <v>12.3</v>
      </c>
      <c r="P22" s="50">
        <v>12.3</v>
      </c>
      <c r="Q22" s="50">
        <v>12.3</v>
      </c>
      <c r="R22" s="50">
        <v>12.3</v>
      </c>
      <c r="S22" s="50">
        <v>12.3</v>
      </c>
      <c r="T22" s="50">
        <v>12.3</v>
      </c>
      <c r="U22" s="50">
        <v>12.3</v>
      </c>
      <c r="V22" s="50">
        <v>12.3</v>
      </c>
      <c r="W22" s="50">
        <v>12.3</v>
      </c>
      <c r="X22" s="50">
        <v>12.3</v>
      </c>
      <c r="Y22" s="50">
        <v>12.3</v>
      </c>
      <c r="Z22" s="50">
        <v>12.3</v>
      </c>
      <c r="AA22" s="50">
        <v>12.3</v>
      </c>
      <c r="AB22" s="50">
        <v>12.3</v>
      </c>
      <c r="AC22" s="50">
        <v>12.3</v>
      </c>
      <c r="AD22" s="50">
        <v>12.3</v>
      </c>
      <c r="AE22" s="50">
        <v>12.3</v>
      </c>
      <c r="AF22" s="50">
        <v>12.3</v>
      </c>
      <c r="AG22" s="55">
        <v>25</v>
      </c>
      <c r="AH22" s="52">
        <f t="shared" si="2"/>
        <v>13.3</v>
      </c>
      <c r="AI22" s="53">
        <f t="shared" si="3"/>
        <v>12.3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8.6</v>
      </c>
      <c r="C26" s="50">
        <v>8.6</v>
      </c>
      <c r="D26" s="50">
        <v>8.1999999999999993</v>
      </c>
      <c r="E26" s="50">
        <v>8.1999999999999993</v>
      </c>
      <c r="F26" s="50">
        <v>8.1999999999999993</v>
      </c>
      <c r="G26" s="50">
        <v>8.1999999999999993</v>
      </c>
      <c r="H26" s="50">
        <v>8.1999999999999993</v>
      </c>
      <c r="I26" s="50">
        <v>8.1999999999999993</v>
      </c>
      <c r="J26" s="50">
        <v>8.1999999999999993</v>
      </c>
      <c r="K26" s="50">
        <v>8.1999999999999993</v>
      </c>
      <c r="L26" s="50">
        <v>8.1999999999999993</v>
      </c>
      <c r="M26" s="50">
        <v>8.1999999999999993</v>
      </c>
      <c r="N26" s="50">
        <v>8.1999999999999993</v>
      </c>
      <c r="O26" s="50">
        <v>8.1999999999999993</v>
      </c>
      <c r="P26" s="50">
        <v>8.1999999999999993</v>
      </c>
      <c r="Q26" s="50">
        <v>8.1999999999999993</v>
      </c>
      <c r="R26" s="50">
        <v>8.1999999999999993</v>
      </c>
      <c r="S26" s="50">
        <v>8.1999999999999993</v>
      </c>
      <c r="T26" s="50">
        <v>8.1999999999999993</v>
      </c>
      <c r="U26" s="50">
        <v>8.1999999999999993</v>
      </c>
      <c r="V26" s="50">
        <v>8.1999999999999993</v>
      </c>
      <c r="W26" s="50">
        <v>8.1999999999999993</v>
      </c>
      <c r="X26" s="50">
        <v>8.1999999999999993</v>
      </c>
      <c r="Y26" s="50">
        <v>8.1999999999999993</v>
      </c>
      <c r="Z26" s="50">
        <v>8.1999999999999993</v>
      </c>
      <c r="AA26" s="50">
        <v>8.1999999999999993</v>
      </c>
      <c r="AB26" s="50">
        <v>8.1999999999999993</v>
      </c>
      <c r="AC26" s="50">
        <v>8.1999999999999993</v>
      </c>
      <c r="AD26" s="50">
        <v>8.1999999999999993</v>
      </c>
      <c r="AE26" s="50">
        <v>8.1999999999999993</v>
      </c>
      <c r="AF26" s="50">
        <v>8.1999999999999993</v>
      </c>
      <c r="AG26" s="55">
        <v>23.5</v>
      </c>
      <c r="AH26" s="52">
        <f t="shared" si="2"/>
        <v>8.6</v>
      </c>
      <c r="AI26" s="53">
        <f t="shared" si="3"/>
        <v>8.1999999999999993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20</v>
      </c>
      <c r="C30" s="50">
        <v>20</v>
      </c>
      <c r="D30" s="50">
        <v>20</v>
      </c>
      <c r="E30" s="50">
        <v>20</v>
      </c>
      <c r="F30" s="50">
        <v>20</v>
      </c>
      <c r="G30" s="50">
        <v>20</v>
      </c>
      <c r="H30" s="50">
        <v>20</v>
      </c>
      <c r="I30" s="50">
        <v>20</v>
      </c>
      <c r="J30" s="50">
        <v>20</v>
      </c>
      <c r="K30" s="50">
        <v>20</v>
      </c>
      <c r="L30" s="50">
        <v>20</v>
      </c>
      <c r="M30" s="50">
        <v>20</v>
      </c>
      <c r="N30" s="50">
        <v>20</v>
      </c>
      <c r="O30" s="50">
        <v>20</v>
      </c>
      <c r="P30" s="50">
        <v>20</v>
      </c>
      <c r="Q30" s="50">
        <v>20</v>
      </c>
      <c r="R30" s="50">
        <v>20</v>
      </c>
      <c r="S30" s="50">
        <v>20</v>
      </c>
      <c r="T30" s="50">
        <v>20</v>
      </c>
      <c r="U30" s="50">
        <v>20</v>
      </c>
      <c r="V30" s="50">
        <v>20</v>
      </c>
      <c r="W30" s="50">
        <v>20</v>
      </c>
      <c r="X30" s="50">
        <v>20</v>
      </c>
      <c r="Y30" s="50">
        <v>20</v>
      </c>
      <c r="Z30" s="50">
        <v>20</v>
      </c>
      <c r="AA30" s="50">
        <v>20</v>
      </c>
      <c r="AB30" s="50">
        <v>20</v>
      </c>
      <c r="AC30" s="50">
        <v>20</v>
      </c>
      <c r="AD30" s="50">
        <v>20</v>
      </c>
      <c r="AE30" s="50">
        <v>20</v>
      </c>
      <c r="AF30" s="50">
        <v>20</v>
      </c>
      <c r="AG30" s="55">
        <v>22</v>
      </c>
      <c r="AH30" s="52">
        <f t="shared" si="2"/>
        <v>20</v>
      </c>
      <c r="AI30" s="53">
        <f t="shared" si="3"/>
        <v>20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12</v>
      </c>
      <c r="C38" s="50">
        <v>12</v>
      </c>
      <c r="D38" s="50">
        <v>12</v>
      </c>
      <c r="E38" s="50">
        <v>12</v>
      </c>
      <c r="F38" s="50">
        <v>12</v>
      </c>
      <c r="G38" s="50">
        <v>12</v>
      </c>
      <c r="H38" s="50">
        <v>12</v>
      </c>
      <c r="I38" s="50">
        <v>12</v>
      </c>
      <c r="J38" s="50">
        <v>12</v>
      </c>
      <c r="K38" s="50">
        <v>12</v>
      </c>
      <c r="L38" s="50">
        <v>12</v>
      </c>
      <c r="M38" s="50">
        <v>12</v>
      </c>
      <c r="N38" s="50">
        <v>12</v>
      </c>
      <c r="O38" s="50">
        <v>12</v>
      </c>
      <c r="P38" s="50">
        <v>12</v>
      </c>
      <c r="Q38" s="50">
        <v>12</v>
      </c>
      <c r="R38" s="50">
        <v>12</v>
      </c>
      <c r="S38" s="50">
        <v>12</v>
      </c>
      <c r="T38" s="50">
        <v>12</v>
      </c>
      <c r="U38" s="50">
        <v>12</v>
      </c>
      <c r="V38" s="50">
        <v>12</v>
      </c>
      <c r="W38" s="50">
        <v>12</v>
      </c>
      <c r="X38" s="50">
        <v>12</v>
      </c>
      <c r="Y38" s="50">
        <v>12</v>
      </c>
      <c r="Z38" s="50">
        <v>12</v>
      </c>
      <c r="AA38" s="50">
        <v>12</v>
      </c>
      <c r="AB38" s="50">
        <v>12</v>
      </c>
      <c r="AC38" s="50">
        <v>12</v>
      </c>
      <c r="AD38" s="50">
        <v>12</v>
      </c>
      <c r="AE38" s="50">
        <v>12</v>
      </c>
      <c r="AF38" s="50">
        <v>12</v>
      </c>
      <c r="AG38" s="55">
        <v>12</v>
      </c>
      <c r="AH38" s="52">
        <f t="shared" si="2"/>
        <v>12</v>
      </c>
      <c r="AI38" s="53">
        <f t="shared" si="3"/>
        <v>12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4.9000000000000004</v>
      </c>
      <c r="C41" s="50">
        <v>4.9000000000000004</v>
      </c>
      <c r="D41" s="50">
        <v>4.9000000000000004</v>
      </c>
      <c r="E41" s="50">
        <v>4.9000000000000004</v>
      </c>
      <c r="F41" s="50">
        <v>4.9000000000000004</v>
      </c>
      <c r="G41" s="50">
        <v>4.9000000000000004</v>
      </c>
      <c r="H41" s="50">
        <v>4.9000000000000004</v>
      </c>
      <c r="I41" s="50">
        <v>4.9000000000000004</v>
      </c>
      <c r="J41" s="50">
        <v>4.9000000000000004</v>
      </c>
      <c r="K41" s="50">
        <v>4.9000000000000004</v>
      </c>
      <c r="L41" s="50">
        <v>4.9000000000000004</v>
      </c>
      <c r="M41" s="50">
        <v>4.9000000000000004</v>
      </c>
      <c r="N41" s="50">
        <v>4.9000000000000004</v>
      </c>
      <c r="O41" s="50">
        <v>4.9000000000000004</v>
      </c>
      <c r="P41" s="50">
        <v>4.9000000000000004</v>
      </c>
      <c r="Q41" s="50">
        <v>4.9000000000000004</v>
      </c>
      <c r="R41" s="50">
        <v>4.9000000000000004</v>
      </c>
      <c r="S41" s="50">
        <v>4.9000000000000004</v>
      </c>
      <c r="T41" s="50">
        <v>4.9000000000000004</v>
      </c>
      <c r="U41" s="50">
        <v>4.9000000000000004</v>
      </c>
      <c r="V41" s="50">
        <v>4.9000000000000004</v>
      </c>
      <c r="W41" s="50">
        <v>4.9000000000000004</v>
      </c>
      <c r="X41" s="50">
        <v>4.9000000000000004</v>
      </c>
      <c r="Y41" s="50">
        <v>4.9000000000000004</v>
      </c>
      <c r="Z41" s="50">
        <v>4.9000000000000004</v>
      </c>
      <c r="AA41" s="50">
        <v>4.9000000000000004</v>
      </c>
      <c r="AB41" s="50">
        <v>4.9000000000000004</v>
      </c>
      <c r="AC41" s="50">
        <v>4.9000000000000004</v>
      </c>
      <c r="AD41" s="50">
        <v>4.9000000000000004</v>
      </c>
      <c r="AE41" s="50">
        <v>4.9000000000000004</v>
      </c>
      <c r="AF41" s="50">
        <v>4.9000000000000004</v>
      </c>
      <c r="AG41" s="56">
        <v>11.88</v>
      </c>
      <c r="AH41" s="52">
        <f t="shared" si="2"/>
        <v>4.9000000000000004</v>
      </c>
      <c r="AI41" s="53">
        <f t="shared" si="3"/>
        <v>4.9000000000000004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3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C48" si="4">SUM(B12:B46)</f>
        <v>365</v>
      </c>
      <c r="C48" s="67">
        <f t="shared" si="4"/>
        <v>360.6</v>
      </c>
      <c r="D48" s="67">
        <f t="shared" ref="D48:AG48" si="5">SUM(D12:D46)</f>
        <v>350.3</v>
      </c>
      <c r="E48" s="67">
        <f t="shared" si="5"/>
        <v>350.3</v>
      </c>
      <c r="F48" s="67">
        <f t="shared" si="5"/>
        <v>350.3</v>
      </c>
      <c r="G48" s="67">
        <f t="shared" si="5"/>
        <v>350.3</v>
      </c>
      <c r="H48" s="67">
        <f t="shared" si="5"/>
        <v>350.3</v>
      </c>
      <c r="I48" s="67">
        <f t="shared" si="5"/>
        <v>350.3</v>
      </c>
      <c r="J48" s="67">
        <f t="shared" si="5"/>
        <v>350.3</v>
      </c>
      <c r="K48" s="67">
        <f t="shared" si="5"/>
        <v>350.3</v>
      </c>
      <c r="L48" s="67">
        <f t="shared" si="5"/>
        <v>350.3</v>
      </c>
      <c r="M48" s="67">
        <f t="shared" si="5"/>
        <v>350.3</v>
      </c>
      <c r="N48" s="67">
        <f t="shared" ref="N48" si="6">SUM(N12:N46)</f>
        <v>350.3</v>
      </c>
      <c r="O48" s="67">
        <f t="shared" si="5"/>
        <v>350.3</v>
      </c>
      <c r="P48" s="67">
        <f t="shared" si="5"/>
        <v>350.3</v>
      </c>
      <c r="Q48" s="67">
        <f t="shared" si="5"/>
        <v>350.3</v>
      </c>
      <c r="R48" s="67">
        <f t="shared" si="5"/>
        <v>350.3</v>
      </c>
      <c r="S48" s="67">
        <f t="shared" si="5"/>
        <v>342.8</v>
      </c>
      <c r="T48" s="67">
        <f t="shared" si="5"/>
        <v>342.8</v>
      </c>
      <c r="U48" s="67">
        <f t="shared" si="5"/>
        <v>342.8</v>
      </c>
      <c r="V48" s="67">
        <f t="shared" si="5"/>
        <v>342.8</v>
      </c>
      <c r="W48" s="67">
        <f t="shared" si="5"/>
        <v>342.8</v>
      </c>
      <c r="X48" s="67">
        <f t="shared" si="5"/>
        <v>342.8</v>
      </c>
      <c r="Y48" s="67">
        <f t="shared" si="5"/>
        <v>342.8</v>
      </c>
      <c r="Z48" s="67">
        <f t="shared" si="5"/>
        <v>342.8</v>
      </c>
      <c r="AA48" s="67">
        <f t="shared" si="5"/>
        <v>342.8</v>
      </c>
      <c r="AB48" s="67">
        <f t="shared" si="5"/>
        <v>349.4</v>
      </c>
      <c r="AC48" s="67">
        <f t="shared" si="5"/>
        <v>349.4</v>
      </c>
      <c r="AD48" s="67">
        <f t="shared" si="5"/>
        <v>349.4</v>
      </c>
      <c r="AE48" s="67">
        <f t="shared" si="5"/>
        <v>349.4</v>
      </c>
      <c r="AF48" s="67">
        <f t="shared" si="5"/>
        <v>349.4</v>
      </c>
      <c r="AG48" s="68">
        <f t="shared" si="5"/>
        <v>875.68</v>
      </c>
      <c r="AH48" s="52">
        <f t="shared" si="2"/>
        <v>365</v>
      </c>
      <c r="AI48" s="53">
        <f t="shared" si="3"/>
        <v>342.8</v>
      </c>
      <c r="AK48" s="54"/>
    </row>
    <row r="49" spans="1:41" x14ac:dyDescent="0.25">
      <c r="A49" s="69" t="s">
        <v>53</v>
      </c>
      <c r="B49" s="50">
        <v>90</v>
      </c>
      <c r="C49" s="50">
        <v>90</v>
      </c>
      <c r="D49" s="50">
        <v>70</v>
      </c>
      <c r="E49" s="50">
        <v>90</v>
      </c>
      <c r="F49" s="50">
        <v>70</v>
      </c>
      <c r="G49" s="50">
        <v>100</v>
      </c>
      <c r="H49" s="50">
        <v>90</v>
      </c>
      <c r="I49" s="50">
        <v>80</v>
      </c>
      <c r="J49" s="50">
        <v>140</v>
      </c>
      <c r="K49" s="50">
        <v>170</v>
      </c>
      <c r="L49" s="50">
        <v>140</v>
      </c>
      <c r="M49" s="70">
        <v>180</v>
      </c>
      <c r="N49" s="70">
        <v>85</v>
      </c>
      <c r="O49" s="70">
        <v>85</v>
      </c>
      <c r="P49" s="70">
        <v>85</v>
      </c>
      <c r="Q49" s="50">
        <v>40</v>
      </c>
      <c r="R49" s="50">
        <v>20</v>
      </c>
      <c r="S49" s="50">
        <v>20</v>
      </c>
      <c r="T49" s="50">
        <v>50</v>
      </c>
      <c r="U49" s="50">
        <v>50</v>
      </c>
      <c r="V49" s="50">
        <v>40</v>
      </c>
      <c r="W49" s="50">
        <v>40</v>
      </c>
      <c r="X49" s="50">
        <v>60</v>
      </c>
      <c r="Y49" s="50">
        <v>130</v>
      </c>
      <c r="Z49" s="50">
        <v>180</v>
      </c>
      <c r="AA49" s="50">
        <v>175</v>
      </c>
      <c r="AB49" s="50">
        <v>145</v>
      </c>
      <c r="AC49" s="50">
        <v>125</v>
      </c>
      <c r="AD49" s="50">
        <v>110</v>
      </c>
      <c r="AE49" s="50">
        <v>140</v>
      </c>
      <c r="AF49" s="50">
        <v>100</v>
      </c>
      <c r="AG49" s="56">
        <v>456</v>
      </c>
      <c r="AH49" s="52">
        <f t="shared" si="2"/>
        <v>180</v>
      </c>
      <c r="AI49" s="53">
        <f t="shared" si="3"/>
        <v>20</v>
      </c>
      <c r="AK49" s="54"/>
    </row>
    <row r="50" spans="1:41" x14ac:dyDescent="0.25">
      <c r="A50" s="71" t="s">
        <v>54</v>
      </c>
      <c r="B50" s="72">
        <v>33</v>
      </c>
      <c r="C50" s="72">
        <v>33</v>
      </c>
      <c r="D50" s="72">
        <v>33</v>
      </c>
      <c r="E50" s="72">
        <v>33</v>
      </c>
      <c r="F50" s="72">
        <v>33</v>
      </c>
      <c r="G50" s="72">
        <v>33</v>
      </c>
      <c r="H50" s="72">
        <v>33</v>
      </c>
      <c r="I50" s="72">
        <v>33</v>
      </c>
      <c r="J50" s="72">
        <v>33</v>
      </c>
      <c r="K50" s="72">
        <v>33</v>
      </c>
      <c r="L50" s="72">
        <v>33</v>
      </c>
      <c r="M50" s="72">
        <v>33</v>
      </c>
      <c r="N50" s="72">
        <v>33</v>
      </c>
      <c r="O50" s="72">
        <v>33</v>
      </c>
      <c r="P50" s="72">
        <v>33</v>
      </c>
      <c r="Q50" s="72">
        <v>33</v>
      </c>
      <c r="R50" s="72">
        <v>33</v>
      </c>
      <c r="S50" s="72">
        <v>33</v>
      </c>
      <c r="T50" s="72">
        <v>33</v>
      </c>
      <c r="U50" s="72">
        <v>33</v>
      </c>
      <c r="V50" s="72">
        <v>33</v>
      </c>
      <c r="W50" s="72">
        <v>33</v>
      </c>
      <c r="X50" s="72">
        <v>33</v>
      </c>
      <c r="Y50" s="72">
        <v>33</v>
      </c>
      <c r="Z50" s="72">
        <v>33</v>
      </c>
      <c r="AA50" s="72">
        <v>33</v>
      </c>
      <c r="AB50" s="72">
        <v>33</v>
      </c>
      <c r="AC50" s="72">
        <v>33</v>
      </c>
      <c r="AD50" s="72">
        <v>33</v>
      </c>
      <c r="AE50" s="72">
        <v>33</v>
      </c>
      <c r="AF50" s="72">
        <v>33</v>
      </c>
      <c r="AG50" s="61">
        <v>60</v>
      </c>
      <c r="AH50" s="52">
        <f t="shared" si="2"/>
        <v>33</v>
      </c>
      <c r="AI50" s="53">
        <f t="shared" si="3"/>
        <v>33</v>
      </c>
      <c r="AK50" s="54"/>
    </row>
    <row r="51" spans="1:41" ht="15.75" thickBot="1" x14ac:dyDescent="0.3">
      <c r="A51" s="73" t="s">
        <v>55</v>
      </c>
      <c r="B51" s="74">
        <v>11.2</v>
      </c>
      <c r="C51" s="74">
        <v>11.2</v>
      </c>
      <c r="D51" s="74">
        <v>11.3</v>
      </c>
      <c r="E51" s="74">
        <v>11.2</v>
      </c>
      <c r="F51" s="74">
        <v>11.2</v>
      </c>
      <c r="G51" s="74">
        <v>11.2</v>
      </c>
      <c r="H51" s="74">
        <v>11.2</v>
      </c>
      <c r="I51" s="74">
        <v>11.2</v>
      </c>
      <c r="J51" s="74">
        <v>11.2</v>
      </c>
      <c r="K51" s="74">
        <v>11.2</v>
      </c>
      <c r="L51" s="74">
        <v>11.2</v>
      </c>
      <c r="M51" s="74">
        <v>11.2</v>
      </c>
      <c r="N51" s="74">
        <v>11.2</v>
      </c>
      <c r="O51" s="74">
        <v>11.2</v>
      </c>
      <c r="P51" s="74">
        <v>11.2</v>
      </c>
      <c r="Q51" s="74">
        <v>10.5</v>
      </c>
      <c r="R51" s="74">
        <v>10.4</v>
      </c>
      <c r="S51" s="74">
        <v>10.4</v>
      </c>
      <c r="T51" s="74">
        <v>10.4</v>
      </c>
      <c r="U51" s="74">
        <v>10.4</v>
      </c>
      <c r="V51" s="74">
        <v>10.4</v>
      </c>
      <c r="W51" s="74">
        <v>10.4</v>
      </c>
      <c r="X51" s="74">
        <v>10.4</v>
      </c>
      <c r="Y51" s="74">
        <v>10.4</v>
      </c>
      <c r="Z51" s="74">
        <v>10.4</v>
      </c>
      <c r="AA51" s="74">
        <v>10.4</v>
      </c>
      <c r="AB51" s="74">
        <v>10.6</v>
      </c>
      <c r="AC51" s="74">
        <v>10.6</v>
      </c>
      <c r="AD51" s="74">
        <v>10.6</v>
      </c>
      <c r="AE51" s="74">
        <v>10.6</v>
      </c>
      <c r="AF51" s="74">
        <v>10.6</v>
      </c>
      <c r="AG51" s="75">
        <v>22.1</v>
      </c>
      <c r="AH51" s="52">
        <f t="shared" si="2"/>
        <v>11.3</v>
      </c>
      <c r="AI51" s="53">
        <f t="shared" si="3"/>
        <v>10.4</v>
      </c>
      <c r="AK51" s="54"/>
    </row>
    <row r="52" spans="1:41" ht="15.75" thickBot="1" x14ac:dyDescent="0.3">
      <c r="A52" s="76" t="s">
        <v>56</v>
      </c>
      <c r="B52" s="67">
        <f t="shared" ref="B52" si="7">SUM(B49:B51)</f>
        <v>134.19999999999999</v>
      </c>
      <c r="C52" s="67">
        <f t="shared" ref="C52:AG52" si="8">SUM(C49:C51)</f>
        <v>134.19999999999999</v>
      </c>
      <c r="D52" s="67">
        <f t="shared" si="8"/>
        <v>114.3</v>
      </c>
      <c r="E52" s="67">
        <f t="shared" si="8"/>
        <v>134.19999999999999</v>
      </c>
      <c r="F52" s="67">
        <f t="shared" si="8"/>
        <v>114.2</v>
      </c>
      <c r="G52" s="67">
        <f t="shared" si="8"/>
        <v>144.19999999999999</v>
      </c>
      <c r="H52" s="67">
        <f t="shared" si="8"/>
        <v>134.19999999999999</v>
      </c>
      <c r="I52" s="67">
        <f t="shared" si="8"/>
        <v>124.2</v>
      </c>
      <c r="J52" s="67">
        <f t="shared" si="8"/>
        <v>184.2</v>
      </c>
      <c r="K52" s="67">
        <f t="shared" si="8"/>
        <v>214.2</v>
      </c>
      <c r="L52" s="67">
        <f t="shared" si="8"/>
        <v>184.2</v>
      </c>
      <c r="M52" s="67">
        <f t="shared" si="8"/>
        <v>224.2</v>
      </c>
      <c r="N52" s="67">
        <f t="shared" ref="N52" si="9">SUM(N49:N51)</f>
        <v>129.19999999999999</v>
      </c>
      <c r="O52" s="67">
        <f t="shared" si="8"/>
        <v>129.19999999999999</v>
      </c>
      <c r="P52" s="67">
        <f t="shared" si="8"/>
        <v>129.19999999999999</v>
      </c>
      <c r="Q52" s="67">
        <f t="shared" si="8"/>
        <v>83.5</v>
      </c>
      <c r="R52" s="67">
        <f t="shared" si="8"/>
        <v>63.4</v>
      </c>
      <c r="S52" s="67">
        <f t="shared" si="8"/>
        <v>63.4</v>
      </c>
      <c r="T52" s="67">
        <f t="shared" si="8"/>
        <v>93.4</v>
      </c>
      <c r="U52" s="67">
        <f t="shared" si="8"/>
        <v>93.4</v>
      </c>
      <c r="V52" s="67">
        <f t="shared" si="8"/>
        <v>83.4</v>
      </c>
      <c r="W52" s="67">
        <f t="shared" si="8"/>
        <v>83.4</v>
      </c>
      <c r="X52" s="67">
        <f t="shared" si="8"/>
        <v>103.4</v>
      </c>
      <c r="Y52" s="67">
        <f t="shared" si="8"/>
        <v>173.4</v>
      </c>
      <c r="Z52" s="67">
        <f t="shared" si="8"/>
        <v>223.4</v>
      </c>
      <c r="AA52" s="67">
        <f t="shared" si="8"/>
        <v>218.4</v>
      </c>
      <c r="AB52" s="67">
        <f t="shared" si="8"/>
        <v>188.6</v>
      </c>
      <c r="AC52" s="67">
        <f t="shared" si="8"/>
        <v>168.6</v>
      </c>
      <c r="AD52" s="67">
        <f t="shared" si="8"/>
        <v>153.6</v>
      </c>
      <c r="AE52" s="67">
        <f t="shared" si="8"/>
        <v>183.6</v>
      </c>
      <c r="AF52" s="67">
        <f t="shared" si="8"/>
        <v>143.6</v>
      </c>
      <c r="AG52" s="68">
        <f t="shared" si="8"/>
        <v>538.1</v>
      </c>
      <c r="AH52" s="52">
        <f t="shared" si="2"/>
        <v>224.2</v>
      </c>
      <c r="AI52" s="53">
        <f t="shared" si="3"/>
        <v>63.4</v>
      </c>
      <c r="AK52" s="54"/>
    </row>
    <row r="53" spans="1:41" x14ac:dyDescent="0.25">
      <c r="A53" s="49" t="s">
        <v>57</v>
      </c>
      <c r="B53" s="50">
        <v>30.6</v>
      </c>
      <c r="C53" s="50">
        <v>30.6</v>
      </c>
      <c r="D53" s="50">
        <v>0</v>
      </c>
      <c r="E53" s="50">
        <v>0</v>
      </c>
      <c r="F53" s="50">
        <v>30.4</v>
      </c>
      <c r="G53" s="50">
        <v>30.6</v>
      </c>
      <c r="H53" s="50">
        <v>59.7</v>
      </c>
      <c r="I53" s="50">
        <v>60.9</v>
      </c>
      <c r="J53" s="50">
        <v>123.7</v>
      </c>
      <c r="K53" s="50">
        <v>142.30000000000001</v>
      </c>
      <c r="L53" s="50">
        <v>141.69999999999999</v>
      </c>
      <c r="M53" s="50">
        <v>113.8</v>
      </c>
      <c r="N53" s="50">
        <v>104</v>
      </c>
      <c r="O53" s="50">
        <v>104</v>
      </c>
      <c r="P53" s="50">
        <v>81</v>
      </c>
      <c r="Q53" s="50">
        <v>76.400000000000006</v>
      </c>
      <c r="R53" s="50">
        <v>71.400000000000006</v>
      </c>
      <c r="S53" s="50">
        <v>71.7</v>
      </c>
      <c r="T53" s="50">
        <v>82.3</v>
      </c>
      <c r="U53" s="50">
        <v>91.4</v>
      </c>
      <c r="V53" s="50">
        <v>77.7</v>
      </c>
      <c r="W53" s="50">
        <v>71.599999999999994</v>
      </c>
      <c r="X53" s="50">
        <v>71.599999999999994</v>
      </c>
      <c r="Y53" s="50">
        <v>132.9</v>
      </c>
      <c r="Z53" s="50">
        <v>138.80000000000001</v>
      </c>
      <c r="AA53" s="50">
        <v>139.19999999999999</v>
      </c>
      <c r="AB53" s="50">
        <v>90.8</v>
      </c>
      <c r="AC53" s="50">
        <v>90.8</v>
      </c>
      <c r="AD53" s="50">
        <v>61.6</v>
      </c>
      <c r="AE53" s="50">
        <v>48</v>
      </c>
      <c r="AF53" s="50">
        <v>31</v>
      </c>
      <c r="AG53" s="56">
        <v>144</v>
      </c>
      <c r="AH53" s="52">
        <f t="shared" si="2"/>
        <v>142.30000000000001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30.2</v>
      </c>
      <c r="E54" s="72">
        <v>37.4</v>
      </c>
      <c r="F54" s="72">
        <v>35.1</v>
      </c>
      <c r="G54" s="72">
        <v>35.700000000000003</v>
      </c>
      <c r="H54" s="72">
        <v>36.200000000000003</v>
      </c>
      <c r="I54" s="72">
        <v>35.9</v>
      </c>
      <c r="J54" s="72">
        <v>35.4</v>
      </c>
      <c r="K54" s="72">
        <v>42.8</v>
      </c>
      <c r="L54" s="72">
        <v>34.799999999999997</v>
      </c>
      <c r="M54" s="72">
        <v>31.6</v>
      </c>
      <c r="N54" s="72">
        <v>35</v>
      </c>
      <c r="O54" s="72">
        <v>35</v>
      </c>
      <c r="P54" s="72">
        <v>35</v>
      </c>
      <c r="Q54" s="72">
        <v>34.4</v>
      </c>
      <c r="R54" s="50">
        <v>31.3</v>
      </c>
      <c r="S54" s="50">
        <v>31.6</v>
      </c>
      <c r="T54" s="50">
        <v>33.6</v>
      </c>
      <c r="U54" s="50">
        <v>33.9</v>
      </c>
      <c r="V54" s="50">
        <v>33.5</v>
      </c>
      <c r="W54" s="50">
        <v>33.5</v>
      </c>
      <c r="X54" s="50">
        <v>33.5</v>
      </c>
      <c r="Y54" s="50">
        <v>29.3</v>
      </c>
      <c r="Z54" s="50">
        <v>29.7</v>
      </c>
      <c r="AA54" s="50">
        <v>29.7</v>
      </c>
      <c r="AB54" s="72">
        <v>29.7</v>
      </c>
      <c r="AC54" s="72">
        <v>29.7</v>
      </c>
      <c r="AD54" s="72">
        <v>29.7</v>
      </c>
      <c r="AE54" s="72">
        <v>29.7</v>
      </c>
      <c r="AF54" s="72">
        <v>29.7</v>
      </c>
      <c r="AG54" s="61">
        <v>70</v>
      </c>
      <c r="AH54" s="52">
        <f t="shared" si="2"/>
        <v>42.8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16.8</v>
      </c>
      <c r="C55" s="72">
        <v>18.100000000000001</v>
      </c>
      <c r="D55" s="72">
        <v>17.899999999999999</v>
      </c>
      <c r="E55" s="72">
        <v>19.3</v>
      </c>
      <c r="F55" s="72">
        <v>19.399999999999999</v>
      </c>
      <c r="G55" s="72">
        <v>19.399999999999999</v>
      </c>
      <c r="H55" s="72">
        <v>41.1</v>
      </c>
      <c r="I55" s="72">
        <v>41.1</v>
      </c>
      <c r="J55" s="72">
        <v>45.6</v>
      </c>
      <c r="K55" s="72">
        <v>52.8</v>
      </c>
      <c r="L55" s="72">
        <v>52.5</v>
      </c>
      <c r="M55" s="72">
        <v>37.4</v>
      </c>
      <c r="N55" s="72">
        <v>37</v>
      </c>
      <c r="O55" s="72">
        <v>37</v>
      </c>
      <c r="P55" s="72">
        <v>37</v>
      </c>
      <c r="Q55" s="72">
        <v>21.8</v>
      </c>
      <c r="R55" s="50">
        <v>22</v>
      </c>
      <c r="S55" s="50">
        <v>22</v>
      </c>
      <c r="T55" s="50">
        <v>21.9</v>
      </c>
      <c r="U55" s="50">
        <v>21.8</v>
      </c>
      <c r="V55" s="50">
        <v>39.1</v>
      </c>
      <c r="W55" s="50">
        <v>39.4</v>
      </c>
      <c r="X55" s="50">
        <v>39.4</v>
      </c>
      <c r="Y55" s="50">
        <v>71.3</v>
      </c>
      <c r="Z55" s="50">
        <v>70</v>
      </c>
      <c r="AA55" s="50">
        <v>70</v>
      </c>
      <c r="AB55" s="72">
        <v>70.099999999999994</v>
      </c>
      <c r="AC55" s="72">
        <v>69</v>
      </c>
      <c r="AD55" s="72">
        <v>69</v>
      </c>
      <c r="AE55" s="72">
        <v>52.5</v>
      </c>
      <c r="AF55" s="72">
        <v>36</v>
      </c>
      <c r="AG55" s="61">
        <v>69</v>
      </c>
      <c r="AH55" s="52">
        <f t="shared" si="2"/>
        <v>71.3</v>
      </c>
      <c r="AI55" s="53">
        <f t="shared" si="3"/>
        <v>16.8</v>
      </c>
      <c r="AK55" s="54"/>
    </row>
    <row r="56" spans="1:41" x14ac:dyDescent="0.25">
      <c r="A56" s="60" t="s">
        <v>60</v>
      </c>
      <c r="B56" s="72">
        <v>40.299999999999997</v>
      </c>
      <c r="C56" s="72">
        <v>38.5</v>
      </c>
      <c r="D56" s="72">
        <v>38.5</v>
      </c>
      <c r="E56" s="63">
        <v>38.5</v>
      </c>
      <c r="F56" s="63">
        <v>40.299999999999997</v>
      </c>
      <c r="G56" s="63">
        <v>42.1</v>
      </c>
      <c r="H56" s="63">
        <v>42.1</v>
      </c>
      <c r="I56" s="63">
        <v>42.1</v>
      </c>
      <c r="J56" s="63">
        <v>42.1</v>
      </c>
      <c r="K56" s="63">
        <v>42.1</v>
      </c>
      <c r="L56" s="63">
        <v>42.1</v>
      </c>
      <c r="M56" s="72">
        <v>40.299999999999997</v>
      </c>
      <c r="N56" s="72">
        <v>40.299999999999997</v>
      </c>
      <c r="O56" s="72">
        <v>40.299999999999997</v>
      </c>
      <c r="P56" s="72">
        <v>40.299999999999997</v>
      </c>
      <c r="Q56" s="72">
        <v>37.299999999999997</v>
      </c>
      <c r="R56" s="50">
        <v>38</v>
      </c>
      <c r="S56" s="50">
        <v>38</v>
      </c>
      <c r="T56" s="50">
        <v>38</v>
      </c>
      <c r="U56" s="50">
        <v>38</v>
      </c>
      <c r="V56" s="50">
        <v>38</v>
      </c>
      <c r="W56" s="50">
        <v>38</v>
      </c>
      <c r="X56" s="50">
        <v>38</v>
      </c>
      <c r="Y56" s="50">
        <v>38</v>
      </c>
      <c r="Z56" s="50">
        <v>38</v>
      </c>
      <c r="AA56" s="50">
        <v>38</v>
      </c>
      <c r="AB56" s="72">
        <v>38</v>
      </c>
      <c r="AC56" s="72">
        <v>38</v>
      </c>
      <c r="AD56" s="72">
        <v>38</v>
      </c>
      <c r="AE56" s="72">
        <v>38</v>
      </c>
      <c r="AF56" s="72">
        <v>38</v>
      </c>
      <c r="AG56" s="61">
        <v>60</v>
      </c>
      <c r="AH56" s="52">
        <f t="shared" si="2"/>
        <v>42.1</v>
      </c>
      <c r="AI56" s="53">
        <f t="shared" si="3"/>
        <v>37.299999999999997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0</v>
      </c>
      <c r="F57" s="63">
        <v>12.5</v>
      </c>
      <c r="G57" s="63">
        <v>12</v>
      </c>
      <c r="H57" s="63">
        <v>12</v>
      </c>
      <c r="I57" s="63">
        <v>12.1</v>
      </c>
      <c r="J57" s="63">
        <v>12.1</v>
      </c>
      <c r="K57" s="63">
        <v>15</v>
      </c>
      <c r="L57" s="63">
        <v>28.7</v>
      </c>
      <c r="M57" s="72">
        <v>20</v>
      </c>
      <c r="N57" s="72">
        <v>15</v>
      </c>
      <c r="O57" s="72">
        <v>15</v>
      </c>
      <c r="P57" s="72">
        <v>15</v>
      </c>
      <c r="Q57" s="72">
        <v>10.1</v>
      </c>
      <c r="R57" s="50">
        <v>10.199999999999999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13.9</v>
      </c>
      <c r="Z57" s="50">
        <v>25</v>
      </c>
      <c r="AA57" s="50">
        <v>30</v>
      </c>
      <c r="AB57" s="72">
        <v>30</v>
      </c>
      <c r="AC57" s="72">
        <v>20</v>
      </c>
      <c r="AD57" s="72">
        <v>20</v>
      </c>
      <c r="AE57" s="72">
        <v>20</v>
      </c>
      <c r="AF57" s="72">
        <v>10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72">
        <v>20</v>
      </c>
      <c r="R58" s="50">
        <v>20</v>
      </c>
      <c r="S58" s="50">
        <v>20</v>
      </c>
      <c r="T58" s="50">
        <v>20</v>
      </c>
      <c r="U58" s="50">
        <v>20</v>
      </c>
      <c r="V58" s="50">
        <v>20</v>
      </c>
      <c r="W58" s="50">
        <v>20</v>
      </c>
      <c r="X58" s="50">
        <v>20</v>
      </c>
      <c r="Y58" s="50">
        <v>20</v>
      </c>
      <c r="Z58" s="50">
        <v>20</v>
      </c>
      <c r="AA58" s="50">
        <v>20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20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12</v>
      </c>
      <c r="AI59" s="53">
        <f t="shared" si="3"/>
        <v>12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12.7</v>
      </c>
      <c r="C61" s="72">
        <v>12.7</v>
      </c>
      <c r="D61" s="72">
        <v>9.6</v>
      </c>
      <c r="E61" s="72">
        <v>9.6</v>
      </c>
      <c r="F61" s="72">
        <v>9.6</v>
      </c>
      <c r="G61" s="72">
        <v>9.6</v>
      </c>
      <c r="H61" s="72">
        <v>9.6</v>
      </c>
      <c r="I61" s="72">
        <v>9.6</v>
      </c>
      <c r="J61" s="72">
        <v>9.6</v>
      </c>
      <c r="K61" s="72">
        <v>9.6</v>
      </c>
      <c r="L61" s="72">
        <v>9.6</v>
      </c>
      <c r="M61" s="72">
        <v>9.6</v>
      </c>
      <c r="N61" s="72">
        <v>9.6</v>
      </c>
      <c r="O61" s="72">
        <v>9.6</v>
      </c>
      <c r="P61" s="72">
        <v>9.6</v>
      </c>
      <c r="Q61" s="72">
        <v>9.6</v>
      </c>
      <c r="R61" s="72">
        <v>9.6</v>
      </c>
      <c r="S61" s="72">
        <v>9.6</v>
      </c>
      <c r="T61" s="72">
        <v>9.6</v>
      </c>
      <c r="U61" s="72">
        <v>9.6</v>
      </c>
      <c r="V61" s="72">
        <v>9.6</v>
      </c>
      <c r="W61" s="72">
        <v>9.6</v>
      </c>
      <c r="X61" s="72">
        <v>9.6</v>
      </c>
      <c r="Y61" s="72">
        <v>9.6</v>
      </c>
      <c r="Z61" s="72">
        <v>9.6</v>
      </c>
      <c r="AA61" s="72">
        <v>9.6</v>
      </c>
      <c r="AB61" s="72">
        <v>9.6</v>
      </c>
      <c r="AC61" s="72">
        <v>9.6</v>
      </c>
      <c r="AD61" s="72">
        <v>9.6</v>
      </c>
      <c r="AE61" s="72">
        <v>9.6</v>
      </c>
      <c r="AF61" s="72">
        <v>9.6</v>
      </c>
      <c r="AG61" s="61">
        <v>14.1</v>
      </c>
      <c r="AH61" s="52">
        <f t="shared" si="2"/>
        <v>12.7</v>
      </c>
      <c r="AI61" s="53">
        <f t="shared" si="3"/>
        <v>9.6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5</v>
      </c>
      <c r="C62" s="72">
        <v>4.7</v>
      </c>
      <c r="D62" s="72">
        <v>4.7</v>
      </c>
      <c r="E62" s="72">
        <v>4.7</v>
      </c>
      <c r="F62" s="72">
        <v>4.7</v>
      </c>
      <c r="G62" s="72">
        <v>4.7</v>
      </c>
      <c r="H62" s="72">
        <v>4.7</v>
      </c>
      <c r="I62" s="72">
        <v>4.7</v>
      </c>
      <c r="J62" s="72">
        <v>3.1</v>
      </c>
      <c r="K62" s="72">
        <v>3.1</v>
      </c>
      <c r="L62" s="72">
        <v>3.1</v>
      </c>
      <c r="M62" s="72">
        <v>3.1</v>
      </c>
      <c r="N62" s="72">
        <v>3.1</v>
      </c>
      <c r="O62" s="72">
        <v>3.1</v>
      </c>
      <c r="P62" s="72">
        <v>3.1</v>
      </c>
      <c r="Q62" s="72">
        <v>3.1</v>
      </c>
      <c r="R62" s="72">
        <v>3.1</v>
      </c>
      <c r="S62" s="72">
        <v>3.1</v>
      </c>
      <c r="T62" s="72">
        <v>3.1</v>
      </c>
      <c r="U62" s="72">
        <v>3.1</v>
      </c>
      <c r="V62" s="72">
        <v>3.1</v>
      </c>
      <c r="W62" s="72">
        <v>3.1</v>
      </c>
      <c r="X62" s="72">
        <v>3.1</v>
      </c>
      <c r="Y62" s="72">
        <v>3.1</v>
      </c>
      <c r="Z62" s="72">
        <v>3.1</v>
      </c>
      <c r="AA62" s="72">
        <v>3.1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5</v>
      </c>
      <c r="AI62" s="53">
        <f t="shared" si="3"/>
        <v>3.1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" si="10">SUM(B53:B65)</f>
        <v>129.94</v>
      </c>
      <c r="C66" s="67">
        <f t="shared" ref="C66:AG66" si="11">SUM(C53:C65)</f>
        <v>129.14000000000001</v>
      </c>
      <c r="D66" s="67">
        <f t="shared" si="11"/>
        <v>125.44</v>
      </c>
      <c r="E66" s="67">
        <f t="shared" si="11"/>
        <v>134.04</v>
      </c>
      <c r="F66" s="67">
        <f t="shared" si="11"/>
        <v>176.53999999999996</v>
      </c>
      <c r="G66" s="67">
        <f t="shared" si="11"/>
        <v>178.64</v>
      </c>
      <c r="H66" s="67">
        <f t="shared" si="11"/>
        <v>229.93999999999997</v>
      </c>
      <c r="I66" s="67">
        <f t="shared" si="11"/>
        <v>230.93999999999997</v>
      </c>
      <c r="J66" s="67">
        <f t="shared" si="11"/>
        <v>296.14000000000004</v>
      </c>
      <c r="K66" s="67">
        <f t="shared" si="11"/>
        <v>332.24000000000012</v>
      </c>
      <c r="L66" s="67">
        <f t="shared" si="11"/>
        <v>337.04000000000008</v>
      </c>
      <c r="M66" s="67">
        <f t="shared" si="11"/>
        <v>280.34000000000009</v>
      </c>
      <c r="N66" s="67">
        <f t="shared" si="11"/>
        <v>268.54000000000008</v>
      </c>
      <c r="O66" s="67">
        <f t="shared" si="11"/>
        <v>268.54000000000008</v>
      </c>
      <c r="P66" s="67">
        <f t="shared" si="11"/>
        <v>245.54</v>
      </c>
      <c r="Q66" s="67">
        <f t="shared" si="11"/>
        <v>237.24</v>
      </c>
      <c r="R66" s="67">
        <f t="shared" si="11"/>
        <v>230.13999999999996</v>
      </c>
      <c r="S66" s="67">
        <f t="shared" si="11"/>
        <v>220.54</v>
      </c>
      <c r="T66" s="67">
        <f t="shared" si="11"/>
        <v>233.04</v>
      </c>
      <c r="U66" s="67">
        <f t="shared" si="11"/>
        <v>242.34</v>
      </c>
      <c r="V66" s="67">
        <f t="shared" si="11"/>
        <v>245.54</v>
      </c>
      <c r="W66" s="67">
        <f t="shared" si="11"/>
        <v>239.73999999999998</v>
      </c>
      <c r="X66" s="67">
        <f t="shared" si="11"/>
        <v>239.73999999999998</v>
      </c>
      <c r="Y66" s="67">
        <f t="shared" si="11"/>
        <v>342.64000000000004</v>
      </c>
      <c r="Z66" s="67">
        <f t="shared" si="11"/>
        <v>358.74000000000007</v>
      </c>
      <c r="AA66" s="67">
        <f t="shared" si="11"/>
        <v>364.14000000000004</v>
      </c>
      <c r="AB66" s="67">
        <f t="shared" si="11"/>
        <v>297.54000000000008</v>
      </c>
      <c r="AC66" s="67">
        <f t="shared" si="11"/>
        <v>286.44000000000005</v>
      </c>
      <c r="AD66" s="67">
        <f t="shared" si="11"/>
        <v>257.24</v>
      </c>
      <c r="AE66" s="67">
        <f t="shared" si="11"/>
        <v>227.14</v>
      </c>
      <c r="AF66" s="67">
        <f t="shared" si="11"/>
        <v>183.64</v>
      </c>
      <c r="AG66" s="68">
        <f t="shared" si="11"/>
        <v>489.91</v>
      </c>
      <c r="AH66" s="52">
        <f t="shared" si="2"/>
        <v>364.14000000000004</v>
      </c>
      <c r="AI66" s="53">
        <f t="shared" si="3"/>
        <v>125.44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40</v>
      </c>
      <c r="AA67" s="50">
        <v>14</v>
      </c>
      <c r="AB67" s="50">
        <v>10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40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72">
        <v>0</v>
      </c>
      <c r="Z68" s="72">
        <v>15.6</v>
      </c>
      <c r="AA68" s="72">
        <v>4.5999999999999996</v>
      </c>
      <c r="AB68" s="72">
        <v>4.9000000000000004</v>
      </c>
      <c r="AC68" s="72">
        <v>0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15.6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74">
        <v>0</v>
      </c>
      <c r="Z69" s="74">
        <v>5.7</v>
      </c>
      <c r="AA69" s="74">
        <v>1.7</v>
      </c>
      <c r="AB69" s="74">
        <v>1.8</v>
      </c>
      <c r="AC69" s="74">
        <v>0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5.7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2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3">M67+M68+M69</f>
        <v>0</v>
      </c>
      <c r="N70" s="67">
        <f t="shared" si="13"/>
        <v>0</v>
      </c>
      <c r="O70" s="67">
        <f t="shared" si="13"/>
        <v>0</v>
      </c>
      <c r="P70" s="67">
        <f t="shared" si="13"/>
        <v>0</v>
      </c>
      <c r="Q70" s="67">
        <f t="shared" si="13"/>
        <v>0</v>
      </c>
      <c r="R70" s="67">
        <f t="shared" si="13"/>
        <v>0</v>
      </c>
      <c r="S70" s="67">
        <f t="shared" si="13"/>
        <v>0</v>
      </c>
      <c r="T70" s="67">
        <f t="shared" si="13"/>
        <v>0</v>
      </c>
      <c r="U70" s="67">
        <f t="shared" si="13"/>
        <v>0</v>
      </c>
      <c r="V70" s="67">
        <f t="shared" si="13"/>
        <v>0</v>
      </c>
      <c r="W70" s="67">
        <f t="shared" si="13"/>
        <v>0</v>
      </c>
      <c r="X70" s="67">
        <f t="shared" si="13"/>
        <v>0</v>
      </c>
      <c r="Y70" s="67">
        <f t="shared" si="13"/>
        <v>0</v>
      </c>
      <c r="Z70" s="67">
        <f t="shared" si="13"/>
        <v>61.300000000000004</v>
      </c>
      <c r="AA70" s="67">
        <f t="shared" si="13"/>
        <v>20.3</v>
      </c>
      <c r="AB70" s="67">
        <f t="shared" si="13"/>
        <v>16.7</v>
      </c>
      <c r="AC70" s="67">
        <f t="shared" si="13"/>
        <v>0</v>
      </c>
      <c r="AD70" s="67">
        <f t="shared" si="13"/>
        <v>0</v>
      </c>
      <c r="AE70" s="67">
        <f t="shared" si="13"/>
        <v>0</v>
      </c>
      <c r="AF70" s="67">
        <f t="shared" si="13"/>
        <v>0</v>
      </c>
      <c r="AG70" s="68">
        <f>SUM(AG67:AG69)</f>
        <v>106</v>
      </c>
      <c r="AH70" s="52">
        <f t="shared" si="2"/>
        <v>61.300000000000004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56.9</v>
      </c>
      <c r="C71" s="50">
        <v>52</v>
      </c>
      <c r="D71" s="50">
        <v>61</v>
      </c>
      <c r="E71" s="50">
        <v>62.1</v>
      </c>
      <c r="F71" s="50">
        <v>45.9</v>
      </c>
      <c r="G71" s="50">
        <v>43.2</v>
      </c>
      <c r="H71" s="50">
        <v>56.5</v>
      </c>
      <c r="I71" s="50">
        <v>55.6</v>
      </c>
      <c r="J71" s="50">
        <v>69.400000000000006</v>
      </c>
      <c r="K71" s="50">
        <v>67.8</v>
      </c>
      <c r="L71" s="50">
        <v>75.400000000000006</v>
      </c>
      <c r="M71" s="50">
        <v>65</v>
      </c>
      <c r="N71" s="50">
        <v>65</v>
      </c>
      <c r="O71" s="50">
        <v>65</v>
      </c>
      <c r="P71" s="50">
        <v>66</v>
      </c>
      <c r="Q71" s="50">
        <v>66.599999999999994</v>
      </c>
      <c r="R71" s="50">
        <v>66.599999999999994</v>
      </c>
      <c r="S71" s="50">
        <v>71</v>
      </c>
      <c r="T71" s="50">
        <v>63.6</v>
      </c>
      <c r="U71" s="50">
        <v>67.599999999999994</v>
      </c>
      <c r="V71" s="50">
        <v>63.4</v>
      </c>
      <c r="W71" s="50">
        <v>64.7</v>
      </c>
      <c r="X71" s="50">
        <v>69.900000000000006</v>
      </c>
      <c r="Y71" s="50">
        <v>65.400000000000006</v>
      </c>
      <c r="Z71" s="50">
        <v>66.8</v>
      </c>
      <c r="AA71" s="50">
        <v>67</v>
      </c>
      <c r="AB71" s="50">
        <v>54.8</v>
      </c>
      <c r="AC71" s="50">
        <v>59</v>
      </c>
      <c r="AD71" s="50">
        <v>62.8</v>
      </c>
      <c r="AE71" s="50">
        <v>68</v>
      </c>
      <c r="AF71" s="50">
        <v>63</v>
      </c>
      <c r="AG71" s="56"/>
      <c r="AH71" s="52">
        <f t="shared" si="2"/>
        <v>75.400000000000006</v>
      </c>
      <c r="AI71" s="53">
        <f t="shared" si="3"/>
        <v>43.2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193</v>
      </c>
      <c r="C73" s="72">
        <v>190</v>
      </c>
      <c r="D73" s="72">
        <v>192.5</v>
      </c>
      <c r="E73" s="72">
        <v>202.5</v>
      </c>
      <c r="F73" s="72">
        <v>197</v>
      </c>
      <c r="G73" s="72">
        <v>205.2</v>
      </c>
      <c r="H73" s="72">
        <v>237</v>
      </c>
      <c r="I73" s="72">
        <v>247</v>
      </c>
      <c r="J73" s="72">
        <v>203.7</v>
      </c>
      <c r="K73" s="72">
        <v>215.1</v>
      </c>
      <c r="L73" s="72">
        <v>198</v>
      </c>
      <c r="M73" s="72">
        <v>211.7</v>
      </c>
      <c r="N73" s="72">
        <v>270</v>
      </c>
      <c r="O73" s="72">
        <v>270</v>
      </c>
      <c r="P73" s="72">
        <v>318</v>
      </c>
      <c r="Q73" s="72">
        <v>324</v>
      </c>
      <c r="R73" s="72">
        <v>326</v>
      </c>
      <c r="S73" s="72">
        <v>348</v>
      </c>
      <c r="T73" s="72">
        <v>340</v>
      </c>
      <c r="U73" s="72">
        <v>335.4</v>
      </c>
      <c r="V73" s="72">
        <v>318.60000000000002</v>
      </c>
      <c r="W73" s="72">
        <v>312.89999999999998</v>
      </c>
      <c r="X73" s="72">
        <v>318.10000000000002</v>
      </c>
      <c r="Y73" s="72">
        <v>317.60000000000002</v>
      </c>
      <c r="Z73" s="72">
        <v>234.6</v>
      </c>
      <c r="AA73" s="72">
        <v>239.6</v>
      </c>
      <c r="AB73" s="72">
        <v>223</v>
      </c>
      <c r="AC73" s="72">
        <v>240</v>
      </c>
      <c r="AD73" s="72">
        <v>242.6</v>
      </c>
      <c r="AE73" s="72">
        <v>192</v>
      </c>
      <c r="AF73" s="72">
        <v>203</v>
      </c>
      <c r="AG73" s="82"/>
      <c r="AH73" s="52">
        <f t="shared" si="2"/>
        <v>348</v>
      </c>
      <c r="AI73" s="53">
        <f t="shared" si="3"/>
        <v>190</v>
      </c>
      <c r="AK73" s="54"/>
    </row>
    <row r="74" spans="1:40" x14ac:dyDescent="0.25">
      <c r="A74" s="60" t="s">
        <v>78</v>
      </c>
      <c r="B74" s="72">
        <v>16.2</v>
      </c>
      <c r="C74" s="72">
        <v>16.2</v>
      </c>
      <c r="D74" s="72">
        <v>16.100000000000001</v>
      </c>
      <c r="E74" s="83">
        <v>16.100000000000001</v>
      </c>
      <c r="F74" s="83">
        <v>16.3</v>
      </c>
      <c r="G74" s="83">
        <v>15</v>
      </c>
      <c r="H74" s="83">
        <v>15</v>
      </c>
      <c r="I74" s="83">
        <v>54.6</v>
      </c>
      <c r="J74" s="83">
        <v>58.1</v>
      </c>
      <c r="K74" s="83">
        <v>52</v>
      </c>
      <c r="L74" s="83">
        <v>58.8</v>
      </c>
      <c r="M74" s="83">
        <v>58</v>
      </c>
      <c r="N74" s="83">
        <v>58</v>
      </c>
      <c r="O74" s="83">
        <v>58</v>
      </c>
      <c r="P74" s="83">
        <v>58</v>
      </c>
      <c r="Q74" s="83">
        <v>58.5</v>
      </c>
      <c r="R74" s="83">
        <v>57.2</v>
      </c>
      <c r="S74" s="83">
        <v>55</v>
      </c>
      <c r="T74" s="83">
        <v>55</v>
      </c>
      <c r="U74" s="83">
        <v>56.1</v>
      </c>
      <c r="V74" s="83">
        <v>56.1</v>
      </c>
      <c r="W74" s="83">
        <v>59</v>
      </c>
      <c r="X74" s="83">
        <v>59</v>
      </c>
      <c r="Y74" s="72">
        <v>63.2</v>
      </c>
      <c r="Z74" s="72">
        <v>65.8</v>
      </c>
      <c r="AA74" s="72">
        <v>65.8</v>
      </c>
      <c r="AB74" s="72">
        <v>59.8</v>
      </c>
      <c r="AC74" s="72">
        <v>59.8</v>
      </c>
      <c r="AD74" s="72">
        <v>59.8</v>
      </c>
      <c r="AE74" s="72">
        <v>59.8</v>
      </c>
      <c r="AF74" s="72">
        <v>15</v>
      </c>
      <c r="AG74" s="82"/>
      <c r="AH74" s="52">
        <f t="shared" si="2"/>
        <v>65.8</v>
      </c>
      <c r="AI74" s="53">
        <f t="shared" si="3"/>
        <v>15</v>
      </c>
      <c r="AK74" s="54"/>
    </row>
    <row r="75" spans="1:40" x14ac:dyDescent="0.25">
      <c r="A75" s="60" t="s">
        <v>79</v>
      </c>
      <c r="B75" s="50">
        <v>23.8</v>
      </c>
      <c r="C75" s="50">
        <v>24.8</v>
      </c>
      <c r="D75" s="50">
        <v>23.3</v>
      </c>
      <c r="E75" s="50">
        <v>0</v>
      </c>
      <c r="F75" s="50">
        <v>0</v>
      </c>
      <c r="G75" s="50">
        <v>0</v>
      </c>
      <c r="H75" s="50">
        <v>24</v>
      </c>
      <c r="I75" s="50">
        <v>24.8</v>
      </c>
      <c r="J75" s="50">
        <v>24.5</v>
      </c>
      <c r="K75" s="50">
        <v>22.2</v>
      </c>
      <c r="L75" s="50">
        <v>24.7</v>
      </c>
      <c r="M75" s="50">
        <v>64.2</v>
      </c>
      <c r="N75" s="50">
        <v>72</v>
      </c>
      <c r="O75" s="50">
        <v>72</v>
      </c>
      <c r="P75" s="50">
        <v>65</v>
      </c>
      <c r="Q75" s="50">
        <v>71.5</v>
      </c>
      <c r="R75" s="50">
        <v>86.5</v>
      </c>
      <c r="S75" s="50">
        <v>84</v>
      </c>
      <c r="T75" s="50">
        <v>76</v>
      </c>
      <c r="U75" s="50">
        <v>83</v>
      </c>
      <c r="V75" s="50">
        <v>78.3</v>
      </c>
      <c r="W75" s="50">
        <v>87.1</v>
      </c>
      <c r="X75" s="50">
        <v>88.1</v>
      </c>
      <c r="Y75" s="50">
        <v>83.2</v>
      </c>
      <c r="Z75" s="50">
        <v>73.400000000000006</v>
      </c>
      <c r="AA75" s="50">
        <v>65</v>
      </c>
      <c r="AB75" s="50">
        <v>99.4</v>
      </c>
      <c r="AC75" s="50">
        <v>79</v>
      </c>
      <c r="AD75" s="50">
        <v>83</v>
      </c>
      <c r="AE75" s="50">
        <v>21.4</v>
      </c>
      <c r="AF75" s="50">
        <v>23</v>
      </c>
      <c r="AG75" s="82"/>
      <c r="AH75" s="52">
        <f t="shared" ref="AH75:AH117" si="14">MAX(B75:AF75)</f>
        <v>99.4</v>
      </c>
      <c r="AI75" s="53">
        <f t="shared" ref="AI75:AI117" si="15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5</v>
      </c>
      <c r="N76" s="84">
        <v>5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5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4"/>
        <v>5</v>
      </c>
      <c r="AI76" s="53">
        <f t="shared" si="15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4"/>
        <v>0</v>
      </c>
      <c r="AI77" s="53">
        <f t="shared" si="15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4"/>
        <v>0</v>
      </c>
      <c r="AI78" s="53">
        <f t="shared" si="15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4"/>
        <v>0</v>
      </c>
      <c r="AI79" s="53">
        <f t="shared" si="15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4"/>
        <v>0</v>
      </c>
      <c r="AI80" s="53">
        <f t="shared" si="15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4"/>
        <v>0</v>
      </c>
      <c r="AI81" s="53">
        <f t="shared" si="15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16">SUMIF(B71:B81,"&gt;0")</f>
        <v>289.90000000000003</v>
      </c>
      <c r="C82" s="67">
        <f t="shared" ref="C82:AF82" si="17">SUMIF(C71:C81,"&gt;0")</f>
        <v>283</v>
      </c>
      <c r="D82" s="67">
        <f t="shared" si="17"/>
        <v>292.90000000000003</v>
      </c>
      <c r="E82" s="67">
        <f t="shared" si="17"/>
        <v>280.70000000000005</v>
      </c>
      <c r="F82" s="67">
        <f t="shared" si="17"/>
        <v>259.2</v>
      </c>
      <c r="G82" s="67">
        <f t="shared" si="17"/>
        <v>263.39999999999998</v>
      </c>
      <c r="H82" s="67">
        <f t="shared" si="17"/>
        <v>332.5</v>
      </c>
      <c r="I82" s="67">
        <f t="shared" si="17"/>
        <v>382.00000000000006</v>
      </c>
      <c r="J82" s="67">
        <f t="shared" si="17"/>
        <v>355.70000000000005</v>
      </c>
      <c r="K82" s="67">
        <f t="shared" si="17"/>
        <v>357.09999999999997</v>
      </c>
      <c r="L82" s="67">
        <f t="shared" si="17"/>
        <v>356.9</v>
      </c>
      <c r="M82" s="67">
        <f t="shared" si="17"/>
        <v>403.9</v>
      </c>
      <c r="N82" s="67">
        <f t="shared" si="17"/>
        <v>470</v>
      </c>
      <c r="O82" s="67">
        <f t="shared" si="17"/>
        <v>465</v>
      </c>
      <c r="P82" s="67">
        <f t="shared" si="17"/>
        <v>507</v>
      </c>
      <c r="Q82" s="67">
        <f t="shared" si="17"/>
        <v>520.6</v>
      </c>
      <c r="R82" s="67">
        <f t="shared" si="17"/>
        <v>536.29999999999995</v>
      </c>
      <c r="S82" s="67">
        <f t="shared" si="17"/>
        <v>558</v>
      </c>
      <c r="T82" s="67">
        <f t="shared" si="17"/>
        <v>534.6</v>
      </c>
      <c r="U82" s="67">
        <f t="shared" si="17"/>
        <v>542.1</v>
      </c>
      <c r="V82" s="67">
        <f t="shared" si="17"/>
        <v>516.4</v>
      </c>
      <c r="W82" s="67">
        <f t="shared" si="17"/>
        <v>523.69999999999993</v>
      </c>
      <c r="X82" s="67">
        <f t="shared" si="17"/>
        <v>535.1</v>
      </c>
      <c r="Y82" s="67">
        <f t="shared" si="17"/>
        <v>529.4</v>
      </c>
      <c r="Z82" s="67">
        <f t="shared" si="17"/>
        <v>445.6</v>
      </c>
      <c r="AA82" s="67">
        <f t="shared" si="17"/>
        <v>437.40000000000003</v>
      </c>
      <c r="AB82" s="67">
        <f t="shared" si="17"/>
        <v>437</v>
      </c>
      <c r="AC82" s="67">
        <f t="shared" si="17"/>
        <v>437.8</v>
      </c>
      <c r="AD82" s="67">
        <f t="shared" si="17"/>
        <v>448.2</v>
      </c>
      <c r="AE82" s="67">
        <f t="shared" si="17"/>
        <v>341.2</v>
      </c>
      <c r="AF82" s="67">
        <f t="shared" si="17"/>
        <v>304</v>
      </c>
      <c r="AG82" s="95">
        <f>SUM(AG71:AG81)</f>
        <v>0</v>
      </c>
      <c r="AH82" s="52">
        <f t="shared" si="14"/>
        <v>558</v>
      </c>
      <c r="AI82" s="53">
        <f t="shared" si="15"/>
        <v>259.2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4"/>
        <v>0</v>
      </c>
      <c r="AI83" s="53">
        <f t="shared" si="15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4"/>
        <v>0</v>
      </c>
      <c r="AI84" s="53">
        <f t="shared" si="15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4"/>
        <v>0</v>
      </c>
      <c r="AI85" s="53">
        <f t="shared" si="15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4"/>
        <v>0</v>
      </c>
      <c r="AI86" s="53">
        <f t="shared" si="15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18">B48+B52+B70+B66+B82+B86</f>
        <v>919.04</v>
      </c>
      <c r="C87" s="102">
        <f t="shared" ref="C87:AG87" si="19">C48+C52+C70+C66+C82+C86</f>
        <v>906.94</v>
      </c>
      <c r="D87" s="102">
        <f t="shared" si="19"/>
        <v>882.94</v>
      </c>
      <c r="E87" s="102">
        <f t="shared" si="19"/>
        <v>899.24</v>
      </c>
      <c r="F87" s="102">
        <f t="shared" si="19"/>
        <v>900.24</v>
      </c>
      <c r="G87" s="102">
        <f t="shared" si="19"/>
        <v>936.54</v>
      </c>
      <c r="H87" s="102">
        <f t="shared" si="19"/>
        <v>1046.94</v>
      </c>
      <c r="I87" s="102">
        <f t="shared" si="19"/>
        <v>1087.44</v>
      </c>
      <c r="J87" s="102">
        <f t="shared" si="19"/>
        <v>1186.3400000000001</v>
      </c>
      <c r="K87" s="102">
        <f t="shared" si="19"/>
        <v>1253.8400000000001</v>
      </c>
      <c r="L87" s="102">
        <f t="shared" si="19"/>
        <v>1228.44</v>
      </c>
      <c r="M87" s="102">
        <f t="shared" si="19"/>
        <v>1258.7400000000002</v>
      </c>
      <c r="N87" s="102">
        <f t="shared" si="19"/>
        <v>1218.04</v>
      </c>
      <c r="O87" s="102">
        <f t="shared" si="19"/>
        <v>1213.04</v>
      </c>
      <c r="P87" s="102">
        <f t="shared" si="19"/>
        <v>1232.04</v>
      </c>
      <c r="Q87" s="102">
        <f t="shared" si="19"/>
        <v>1191.6399999999999</v>
      </c>
      <c r="R87" s="102">
        <f t="shared" si="19"/>
        <v>1180.1399999999999</v>
      </c>
      <c r="S87" s="102">
        <f t="shared" si="19"/>
        <v>1184.74</v>
      </c>
      <c r="T87" s="102">
        <f t="shared" si="19"/>
        <v>1203.8400000000001</v>
      </c>
      <c r="U87" s="102">
        <f t="shared" si="19"/>
        <v>1220.6400000000001</v>
      </c>
      <c r="V87" s="102">
        <f t="shared" si="19"/>
        <v>1188.1399999999999</v>
      </c>
      <c r="W87" s="102">
        <f t="shared" si="19"/>
        <v>1189.6399999999999</v>
      </c>
      <c r="X87" s="102">
        <f t="shared" si="19"/>
        <v>1221.04</v>
      </c>
      <c r="Y87" s="102">
        <f t="shared" si="19"/>
        <v>1388.2400000000002</v>
      </c>
      <c r="Z87" s="102">
        <f t="shared" si="19"/>
        <v>1431.8400000000001</v>
      </c>
      <c r="AA87" s="102">
        <f t="shared" si="19"/>
        <v>1383.0400000000002</v>
      </c>
      <c r="AB87" s="102">
        <f t="shared" si="19"/>
        <v>1289.2400000000002</v>
      </c>
      <c r="AC87" s="102">
        <f t="shared" si="19"/>
        <v>1242.24</v>
      </c>
      <c r="AD87" s="102">
        <f t="shared" si="19"/>
        <v>1208.44</v>
      </c>
      <c r="AE87" s="102">
        <f t="shared" si="19"/>
        <v>1101.3399999999999</v>
      </c>
      <c r="AF87" s="102">
        <f t="shared" si="19"/>
        <v>980.64</v>
      </c>
      <c r="AG87" s="68">
        <f t="shared" si="19"/>
        <v>2065.09</v>
      </c>
      <c r="AH87" s="52">
        <f>MAX(B87:AF87)</f>
        <v>1431.8400000000001</v>
      </c>
      <c r="AI87" s="53">
        <f>MIN(B87:AF87)</f>
        <v>882.94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>
        <v>30</v>
      </c>
      <c r="C88" s="104">
        <v>30</v>
      </c>
      <c r="D88" s="104">
        <v>30</v>
      </c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>
        <v>50</v>
      </c>
      <c r="AC88" s="104">
        <v>50</v>
      </c>
      <c r="AD88" s="104">
        <v>50</v>
      </c>
      <c r="AE88" s="104">
        <v>50</v>
      </c>
      <c r="AF88" s="104"/>
      <c r="AG88" s="95"/>
      <c r="AH88" s="52">
        <f t="shared" si="14"/>
        <v>50</v>
      </c>
      <c r="AI88" s="53">
        <f t="shared" si="15"/>
        <v>30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20">B87+B88</f>
        <v>949.04</v>
      </c>
      <c r="C89" s="102">
        <f t="shared" ref="C89:AF89" si="21">C87+C88</f>
        <v>936.94</v>
      </c>
      <c r="D89" s="102">
        <f t="shared" si="21"/>
        <v>912.94</v>
      </c>
      <c r="E89" s="102">
        <f t="shared" si="21"/>
        <v>899.24</v>
      </c>
      <c r="F89" s="102">
        <f t="shared" si="21"/>
        <v>900.24</v>
      </c>
      <c r="G89" s="102">
        <f t="shared" si="21"/>
        <v>936.54</v>
      </c>
      <c r="H89" s="102">
        <f t="shared" si="21"/>
        <v>1046.94</v>
      </c>
      <c r="I89" s="102">
        <f t="shared" si="21"/>
        <v>1087.44</v>
      </c>
      <c r="J89" s="102">
        <f t="shared" si="21"/>
        <v>1186.3400000000001</v>
      </c>
      <c r="K89" s="102">
        <f t="shared" si="21"/>
        <v>1253.8400000000001</v>
      </c>
      <c r="L89" s="102">
        <f t="shared" si="21"/>
        <v>1228.44</v>
      </c>
      <c r="M89" s="102">
        <f t="shared" si="21"/>
        <v>1258.7400000000002</v>
      </c>
      <c r="N89" s="102">
        <f t="shared" si="21"/>
        <v>1218.04</v>
      </c>
      <c r="O89" s="102">
        <f t="shared" si="21"/>
        <v>1213.04</v>
      </c>
      <c r="P89" s="102">
        <f t="shared" si="21"/>
        <v>1232.04</v>
      </c>
      <c r="Q89" s="102">
        <f t="shared" si="21"/>
        <v>1191.6399999999999</v>
      </c>
      <c r="R89" s="102">
        <f t="shared" si="21"/>
        <v>1180.1399999999999</v>
      </c>
      <c r="S89" s="102">
        <f t="shared" si="21"/>
        <v>1184.74</v>
      </c>
      <c r="T89" s="102">
        <f t="shared" si="21"/>
        <v>1203.8400000000001</v>
      </c>
      <c r="U89" s="102">
        <f t="shared" si="21"/>
        <v>1220.6400000000001</v>
      </c>
      <c r="V89" s="102">
        <f t="shared" si="21"/>
        <v>1188.1399999999999</v>
      </c>
      <c r="W89" s="102">
        <f t="shared" si="21"/>
        <v>1189.6399999999999</v>
      </c>
      <c r="X89" s="102">
        <f t="shared" si="21"/>
        <v>1221.04</v>
      </c>
      <c r="Y89" s="102">
        <f t="shared" si="21"/>
        <v>1388.2400000000002</v>
      </c>
      <c r="Z89" s="102">
        <f t="shared" si="21"/>
        <v>1431.8400000000001</v>
      </c>
      <c r="AA89" s="102">
        <f t="shared" si="21"/>
        <v>1383.0400000000002</v>
      </c>
      <c r="AB89" s="102">
        <f t="shared" si="21"/>
        <v>1339.2400000000002</v>
      </c>
      <c r="AC89" s="102">
        <f t="shared" si="21"/>
        <v>1292.24</v>
      </c>
      <c r="AD89" s="102">
        <f t="shared" si="21"/>
        <v>1258.44</v>
      </c>
      <c r="AE89" s="102">
        <f t="shared" si="21"/>
        <v>1151.3399999999999</v>
      </c>
      <c r="AF89" s="102">
        <f t="shared" si="21"/>
        <v>980.64</v>
      </c>
      <c r="AG89" s="95">
        <f>AG86+AG82+AG70+AG66+AG48+AG88</f>
        <v>1526.99</v>
      </c>
      <c r="AH89" s="52">
        <f t="shared" si="14"/>
        <v>1431.8400000000001</v>
      </c>
      <c r="AI89" s="53">
        <f t="shared" si="15"/>
        <v>899.24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22">B89-B97</f>
        <v>949.04</v>
      </c>
      <c r="C90" s="102">
        <f t="shared" ref="C90:AF90" si="23">C89-C97</f>
        <v>936.94</v>
      </c>
      <c r="D90" s="102">
        <f t="shared" si="23"/>
        <v>912.94</v>
      </c>
      <c r="E90" s="102">
        <f t="shared" si="23"/>
        <v>899.24</v>
      </c>
      <c r="F90" s="102">
        <f t="shared" si="23"/>
        <v>900.24</v>
      </c>
      <c r="G90" s="102">
        <f t="shared" si="23"/>
        <v>936.54</v>
      </c>
      <c r="H90" s="102">
        <f t="shared" si="23"/>
        <v>1046.94</v>
      </c>
      <c r="I90" s="102">
        <f t="shared" si="23"/>
        <v>1087.44</v>
      </c>
      <c r="J90" s="102">
        <f t="shared" si="23"/>
        <v>1186.3400000000001</v>
      </c>
      <c r="K90" s="102">
        <f t="shared" si="23"/>
        <v>1253.8400000000001</v>
      </c>
      <c r="L90" s="102">
        <f t="shared" si="23"/>
        <v>1228.44</v>
      </c>
      <c r="M90" s="102">
        <f t="shared" si="23"/>
        <v>1258.7400000000002</v>
      </c>
      <c r="N90" s="102">
        <f t="shared" si="23"/>
        <v>1218.04</v>
      </c>
      <c r="O90" s="102">
        <f t="shared" si="23"/>
        <v>1213.04</v>
      </c>
      <c r="P90" s="102">
        <f t="shared" si="23"/>
        <v>1232.04</v>
      </c>
      <c r="Q90" s="102">
        <f t="shared" si="23"/>
        <v>1191.6399999999999</v>
      </c>
      <c r="R90" s="102">
        <f t="shared" si="23"/>
        <v>1180.1399999999999</v>
      </c>
      <c r="S90" s="102">
        <f t="shared" si="23"/>
        <v>1184.74</v>
      </c>
      <c r="T90" s="102">
        <f t="shared" si="23"/>
        <v>1203.8400000000001</v>
      </c>
      <c r="U90" s="102">
        <f t="shared" si="23"/>
        <v>1220.6400000000001</v>
      </c>
      <c r="V90" s="102">
        <f t="shared" si="23"/>
        <v>1188.1399999999999</v>
      </c>
      <c r="W90" s="102">
        <f t="shared" si="23"/>
        <v>1189.6399999999999</v>
      </c>
      <c r="X90" s="102">
        <f t="shared" si="23"/>
        <v>1221.04</v>
      </c>
      <c r="Y90" s="102">
        <f t="shared" si="23"/>
        <v>1388.2400000000002</v>
      </c>
      <c r="Z90" s="102">
        <f t="shared" si="23"/>
        <v>1431.8400000000001</v>
      </c>
      <c r="AA90" s="102">
        <f t="shared" si="23"/>
        <v>1383.0400000000002</v>
      </c>
      <c r="AB90" s="102">
        <f t="shared" si="23"/>
        <v>1339.2400000000002</v>
      </c>
      <c r="AC90" s="102">
        <f t="shared" si="23"/>
        <v>1292.24</v>
      </c>
      <c r="AD90" s="102">
        <f t="shared" si="23"/>
        <v>1258.44</v>
      </c>
      <c r="AE90" s="102">
        <f t="shared" si="23"/>
        <v>1151.3399999999999</v>
      </c>
      <c r="AF90" s="102">
        <f t="shared" si="23"/>
        <v>980.64</v>
      </c>
      <c r="AG90" s="95"/>
      <c r="AH90" s="52">
        <f t="shared" si="14"/>
        <v>1431.8400000000001</v>
      </c>
      <c r="AI90" s="53">
        <f t="shared" si="15"/>
        <v>899.24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4"/>
        <v>0</v>
      </c>
      <c r="AI91" s="53">
        <f t="shared" si="15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4"/>
        <v>0</v>
      </c>
      <c r="AI92" s="53">
        <f t="shared" si="15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4"/>
        <v>0</v>
      </c>
      <c r="AI93" s="53">
        <f t="shared" si="15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4"/>
        <v>0</v>
      </c>
      <c r="AI94" s="53">
        <f t="shared" si="15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4"/>
        <v>0</v>
      </c>
      <c r="AI95" s="53">
        <f t="shared" si="15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4"/>
        <v>0</v>
      </c>
      <c r="AI96" s="53">
        <f t="shared" si="15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4"/>
        <v>0</v>
      </c>
      <c r="AI97" s="53">
        <f t="shared" si="15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" si="24">B82-B97</f>
        <v>289.90000000000003</v>
      </c>
      <c r="C98" s="67">
        <f t="shared" ref="C98:AF98" si="25">C82-C97</f>
        <v>283</v>
      </c>
      <c r="D98" s="67">
        <f t="shared" si="25"/>
        <v>292.90000000000003</v>
      </c>
      <c r="E98" s="67">
        <f t="shared" si="25"/>
        <v>280.70000000000005</v>
      </c>
      <c r="F98" s="67">
        <f t="shared" si="25"/>
        <v>259.2</v>
      </c>
      <c r="G98" s="67">
        <f t="shared" si="25"/>
        <v>263.39999999999998</v>
      </c>
      <c r="H98" s="67">
        <f t="shared" si="25"/>
        <v>332.5</v>
      </c>
      <c r="I98" s="67">
        <f t="shared" si="25"/>
        <v>382.00000000000006</v>
      </c>
      <c r="J98" s="67">
        <f t="shared" si="25"/>
        <v>355.70000000000005</v>
      </c>
      <c r="K98" s="67">
        <f t="shared" si="25"/>
        <v>357.09999999999997</v>
      </c>
      <c r="L98" s="67">
        <f t="shared" si="25"/>
        <v>356.9</v>
      </c>
      <c r="M98" s="67">
        <f t="shared" si="25"/>
        <v>403.9</v>
      </c>
      <c r="N98" s="67">
        <f t="shared" si="25"/>
        <v>470</v>
      </c>
      <c r="O98" s="67">
        <f t="shared" si="25"/>
        <v>465</v>
      </c>
      <c r="P98" s="67">
        <f t="shared" si="25"/>
        <v>507</v>
      </c>
      <c r="Q98" s="67">
        <f t="shared" si="25"/>
        <v>520.6</v>
      </c>
      <c r="R98" s="67">
        <f t="shared" si="25"/>
        <v>536.29999999999995</v>
      </c>
      <c r="S98" s="67">
        <f t="shared" si="25"/>
        <v>558</v>
      </c>
      <c r="T98" s="67">
        <f t="shared" si="25"/>
        <v>534.6</v>
      </c>
      <c r="U98" s="67">
        <f t="shared" si="25"/>
        <v>542.1</v>
      </c>
      <c r="V98" s="67">
        <f t="shared" si="25"/>
        <v>516.4</v>
      </c>
      <c r="W98" s="67">
        <f t="shared" si="25"/>
        <v>523.69999999999993</v>
      </c>
      <c r="X98" s="67">
        <f t="shared" si="25"/>
        <v>535.1</v>
      </c>
      <c r="Y98" s="67">
        <f t="shared" si="25"/>
        <v>529.4</v>
      </c>
      <c r="Z98" s="67">
        <f t="shared" si="25"/>
        <v>445.6</v>
      </c>
      <c r="AA98" s="67">
        <f t="shared" si="25"/>
        <v>437.40000000000003</v>
      </c>
      <c r="AB98" s="67">
        <f t="shared" si="25"/>
        <v>437</v>
      </c>
      <c r="AC98" s="67">
        <f t="shared" si="25"/>
        <v>437.8</v>
      </c>
      <c r="AD98" s="67">
        <f t="shared" si="25"/>
        <v>448.2</v>
      </c>
      <c r="AE98" s="67">
        <f t="shared" si="25"/>
        <v>341.2</v>
      </c>
      <c r="AF98" s="67">
        <f t="shared" si="25"/>
        <v>304</v>
      </c>
      <c r="AG98" s="95"/>
      <c r="AH98" s="52">
        <f t="shared" si="14"/>
        <v>558</v>
      </c>
      <c r="AI98" s="53">
        <f t="shared" si="15"/>
        <v>259.2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50.06</v>
      </c>
      <c r="C99" s="108">
        <v>50.05</v>
      </c>
      <c r="D99" s="108">
        <v>49.95</v>
      </c>
      <c r="E99" s="108">
        <v>50.002000000000002</v>
      </c>
      <c r="F99" s="108">
        <v>50.004600000000003</v>
      </c>
      <c r="G99" s="108">
        <v>49.951000000000001</v>
      </c>
      <c r="H99" s="108">
        <v>49.94</v>
      </c>
      <c r="I99" s="108">
        <v>49.887999999999998</v>
      </c>
      <c r="J99" s="108">
        <v>49.933</v>
      </c>
      <c r="K99" s="108">
        <v>49.965000000000003</v>
      </c>
      <c r="L99" s="108">
        <v>49.951999999999998</v>
      </c>
      <c r="M99" s="108">
        <v>49.945999999999998</v>
      </c>
      <c r="N99" s="108">
        <v>49.926000000000002</v>
      </c>
      <c r="O99" s="108">
        <v>49.926000000000002</v>
      </c>
      <c r="P99" s="108">
        <v>49.926000000000002</v>
      </c>
      <c r="Q99" s="108">
        <v>50.02</v>
      </c>
      <c r="R99" s="108">
        <v>49.966000000000001</v>
      </c>
      <c r="S99" s="108">
        <v>50.1</v>
      </c>
      <c r="T99" s="108">
        <v>50</v>
      </c>
      <c r="U99" s="108">
        <v>50.01</v>
      </c>
      <c r="V99" s="108">
        <v>50.052999999999997</v>
      </c>
      <c r="W99" s="108">
        <v>50.026000000000003</v>
      </c>
      <c r="X99" s="108">
        <v>49.98</v>
      </c>
      <c r="Y99" s="108">
        <v>50.11</v>
      </c>
      <c r="Z99" s="108">
        <v>49.997</v>
      </c>
      <c r="AA99" s="108">
        <v>49.993000000000002</v>
      </c>
      <c r="AB99" s="108">
        <v>50.11</v>
      </c>
      <c r="AC99" s="108">
        <v>49.914999999999999</v>
      </c>
      <c r="AD99" s="108">
        <v>49.972999999999999</v>
      </c>
      <c r="AE99" s="108">
        <v>50.048999999999999</v>
      </c>
      <c r="AF99" s="108">
        <v>49.991</v>
      </c>
      <c r="AG99" s="109"/>
      <c r="AH99" s="52">
        <f t="shared" si="14"/>
        <v>50.11</v>
      </c>
      <c r="AI99" s="53">
        <f t="shared" si="15"/>
        <v>49.887999999999998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127.5</v>
      </c>
      <c r="C100" s="72">
        <v>127.1</v>
      </c>
      <c r="D100" s="72">
        <v>128.80000000000001</v>
      </c>
      <c r="E100" s="72">
        <v>127.3</v>
      </c>
      <c r="F100" s="72">
        <v>128.1</v>
      </c>
      <c r="G100" s="72">
        <v>128.9</v>
      </c>
      <c r="H100" s="72">
        <v>126.9</v>
      </c>
      <c r="I100" s="72">
        <v>126.5</v>
      </c>
      <c r="J100" s="72">
        <v>126.5</v>
      </c>
      <c r="K100" s="72">
        <v>126</v>
      </c>
      <c r="L100" s="72">
        <v>128.4</v>
      </c>
      <c r="M100" s="72">
        <v>126.3</v>
      </c>
      <c r="N100" s="72">
        <v>127</v>
      </c>
      <c r="O100" s="72">
        <v>127</v>
      </c>
      <c r="P100" s="72">
        <v>127</v>
      </c>
      <c r="Q100" s="72">
        <v>125.4</v>
      </c>
      <c r="R100" s="72">
        <v>126.3</v>
      </c>
      <c r="S100" s="72">
        <v>126</v>
      </c>
      <c r="T100" s="72">
        <v>126</v>
      </c>
      <c r="U100" s="72">
        <v>125.3</v>
      </c>
      <c r="V100" s="72">
        <v>127.3</v>
      </c>
      <c r="W100" s="72">
        <v>127.3</v>
      </c>
      <c r="X100" s="72">
        <v>127.5</v>
      </c>
      <c r="Y100" s="72">
        <v>126.3</v>
      </c>
      <c r="Z100" s="72">
        <v>127.5</v>
      </c>
      <c r="AA100" s="72">
        <v>127.5</v>
      </c>
      <c r="AB100" s="72">
        <v>129.9</v>
      </c>
      <c r="AC100" s="72">
        <v>129</v>
      </c>
      <c r="AD100" s="72">
        <v>129.5</v>
      </c>
      <c r="AE100" s="72">
        <v>128.19999999999999</v>
      </c>
      <c r="AF100" s="72">
        <v>128.4</v>
      </c>
      <c r="AG100" s="111"/>
      <c r="AH100" s="52">
        <f t="shared" si="14"/>
        <v>129.9</v>
      </c>
      <c r="AI100" s="53">
        <f t="shared" si="15"/>
        <v>125.3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131.19999999999999</v>
      </c>
      <c r="C101" s="72">
        <v>131.1</v>
      </c>
      <c r="D101" s="72">
        <v>132.5</v>
      </c>
      <c r="E101" s="72">
        <v>131.19999999999999</v>
      </c>
      <c r="F101" s="72">
        <v>131.9</v>
      </c>
      <c r="G101" s="72">
        <v>132.1</v>
      </c>
      <c r="H101" s="72">
        <v>132.1</v>
      </c>
      <c r="I101" s="72">
        <v>130.4</v>
      </c>
      <c r="J101" s="72">
        <v>129.4</v>
      </c>
      <c r="K101" s="72">
        <v>128.4</v>
      </c>
      <c r="L101" s="72">
        <v>130.69999999999999</v>
      </c>
      <c r="M101" s="72">
        <v>129</v>
      </c>
      <c r="N101" s="72">
        <v>129.69999999999999</v>
      </c>
      <c r="O101" s="72">
        <v>129.69999999999999</v>
      </c>
      <c r="P101" s="72">
        <v>129.69999999999999</v>
      </c>
      <c r="Q101" s="72">
        <v>128.30000000000001</v>
      </c>
      <c r="R101" s="72">
        <v>129.69999999999999</v>
      </c>
      <c r="S101" s="72">
        <v>128.5</v>
      </c>
      <c r="T101" s="72">
        <v>128.5</v>
      </c>
      <c r="U101" s="72">
        <v>127.8</v>
      </c>
      <c r="V101" s="72">
        <v>129.69999999999999</v>
      </c>
      <c r="W101" s="72">
        <v>129.69999999999999</v>
      </c>
      <c r="X101" s="72">
        <v>129.6</v>
      </c>
      <c r="Y101" s="72">
        <v>128.5</v>
      </c>
      <c r="Z101" s="72">
        <v>129.5</v>
      </c>
      <c r="AA101" s="72">
        <v>129.5</v>
      </c>
      <c r="AB101" s="72">
        <v>131.69999999999999</v>
      </c>
      <c r="AC101" s="72">
        <v>131</v>
      </c>
      <c r="AD101" s="72">
        <v>131.69999999999999</v>
      </c>
      <c r="AE101" s="72">
        <v>131.69999999999999</v>
      </c>
      <c r="AF101" s="72">
        <v>131.69999999999999</v>
      </c>
      <c r="AG101" s="111"/>
      <c r="AH101" s="52">
        <f t="shared" si="14"/>
        <v>132.5</v>
      </c>
      <c r="AI101" s="53">
        <f t="shared" si="15"/>
        <v>127.8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131.19999999999999</v>
      </c>
      <c r="C102" s="72">
        <v>132.69999999999999</v>
      </c>
      <c r="D102" s="72">
        <v>132.1</v>
      </c>
      <c r="E102" s="72">
        <v>132.4</v>
      </c>
      <c r="F102" s="72">
        <v>132.80000000000001</v>
      </c>
      <c r="G102" s="72">
        <v>132.30000000000001</v>
      </c>
      <c r="H102" s="72">
        <v>132.30000000000001</v>
      </c>
      <c r="I102" s="72">
        <v>128.69999999999999</v>
      </c>
      <c r="J102" s="72">
        <v>128</v>
      </c>
      <c r="K102" s="72">
        <v>127.9</v>
      </c>
      <c r="L102" s="72">
        <v>129.5</v>
      </c>
      <c r="M102" s="72">
        <v>125.9</v>
      </c>
      <c r="N102" s="72">
        <v>128.9</v>
      </c>
      <c r="O102" s="72">
        <v>128.9</v>
      </c>
      <c r="P102" s="72">
        <v>128.9</v>
      </c>
      <c r="Q102" s="72">
        <v>128.5</v>
      </c>
      <c r="R102" s="72">
        <v>129.4</v>
      </c>
      <c r="S102" s="72">
        <v>129</v>
      </c>
      <c r="T102" s="72">
        <v>129</v>
      </c>
      <c r="U102" s="72">
        <v>128.69999999999999</v>
      </c>
      <c r="V102" s="72">
        <v>128.5</v>
      </c>
      <c r="W102" s="72">
        <v>128.5</v>
      </c>
      <c r="X102" s="72">
        <v>129.9</v>
      </c>
      <c r="Y102" s="72">
        <v>127.6</v>
      </c>
      <c r="Z102" s="72">
        <v>129.1</v>
      </c>
      <c r="AA102" s="72">
        <v>129.1</v>
      </c>
      <c r="AB102" s="72">
        <v>131.4</v>
      </c>
      <c r="AC102" s="72">
        <v>131</v>
      </c>
      <c r="AD102" s="72">
        <v>132</v>
      </c>
      <c r="AE102" s="72">
        <v>133.19999999999999</v>
      </c>
      <c r="AF102" s="72">
        <v>133.69999999999999</v>
      </c>
      <c r="AG102" s="111"/>
      <c r="AH102" s="52">
        <f t="shared" si="14"/>
        <v>133.69999999999999</v>
      </c>
      <c r="AI102" s="53">
        <f t="shared" si="15"/>
        <v>125.9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4"/>
        <v>0</v>
      </c>
      <c r="AI103" s="53">
        <f t="shared" si="15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132.30000000000001</v>
      </c>
      <c r="C104" s="113">
        <v>129.9</v>
      </c>
      <c r="D104" s="113">
        <v>130.9</v>
      </c>
      <c r="E104" s="113">
        <v>131.30000000000001</v>
      </c>
      <c r="F104" s="113">
        <v>132.6</v>
      </c>
      <c r="G104" s="113">
        <v>133.5</v>
      </c>
      <c r="H104" s="113">
        <v>133.5</v>
      </c>
      <c r="I104" s="113">
        <v>136.69999999999999</v>
      </c>
      <c r="J104" s="113">
        <v>135.9</v>
      </c>
      <c r="K104" s="113">
        <v>135.80000000000001</v>
      </c>
      <c r="L104" s="113">
        <v>137.19999999999999</v>
      </c>
      <c r="M104" s="113">
        <v>135.30000000000001</v>
      </c>
      <c r="N104" s="113">
        <v>135.30000000000001</v>
      </c>
      <c r="O104" s="113">
        <v>135.30000000000001</v>
      </c>
      <c r="P104" s="113">
        <v>135.30000000000001</v>
      </c>
      <c r="Q104" s="113">
        <v>132.9</v>
      </c>
      <c r="R104" s="113">
        <v>133.80000000000001</v>
      </c>
      <c r="S104" s="113">
        <v>133.5</v>
      </c>
      <c r="T104" s="113">
        <v>133.5</v>
      </c>
      <c r="U104" s="113">
        <v>134</v>
      </c>
      <c r="V104" s="113">
        <v>135.80000000000001</v>
      </c>
      <c r="W104" s="113">
        <v>135.80000000000001</v>
      </c>
      <c r="X104" s="113">
        <v>134.69999999999999</v>
      </c>
      <c r="Y104" s="113">
        <v>134.6</v>
      </c>
      <c r="Z104" s="113">
        <v>135.19999999999999</v>
      </c>
      <c r="AA104" s="113">
        <v>135.19999999999999</v>
      </c>
      <c r="AB104" s="113">
        <v>135.6</v>
      </c>
      <c r="AC104" s="113">
        <v>135.30000000000001</v>
      </c>
      <c r="AD104" s="113">
        <v>135.69999999999999</v>
      </c>
      <c r="AE104" s="113">
        <v>134.1</v>
      </c>
      <c r="AF104" s="113">
        <v>130.69999999999999</v>
      </c>
      <c r="AG104" s="114"/>
      <c r="AH104" s="52">
        <f t="shared" si="14"/>
        <v>137.19999999999999</v>
      </c>
      <c r="AI104" s="53">
        <f t="shared" si="15"/>
        <v>129.9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135.69999999999999</v>
      </c>
      <c r="C105" s="72">
        <v>137.1</v>
      </c>
      <c r="D105" s="72">
        <v>133.30000000000001</v>
      </c>
      <c r="E105" s="72">
        <v>135.9</v>
      </c>
      <c r="F105" s="72">
        <v>136.9</v>
      </c>
      <c r="G105" s="72">
        <v>137.4</v>
      </c>
      <c r="H105" s="72">
        <v>137.4</v>
      </c>
      <c r="I105" s="72">
        <v>132.6</v>
      </c>
      <c r="J105" s="72">
        <v>131.9</v>
      </c>
      <c r="K105" s="72">
        <v>128.4</v>
      </c>
      <c r="L105" s="72">
        <v>122.4</v>
      </c>
      <c r="M105" s="72">
        <v>129.30000000000001</v>
      </c>
      <c r="N105" s="72">
        <v>129</v>
      </c>
      <c r="O105" s="72">
        <v>129</v>
      </c>
      <c r="P105" s="72">
        <v>129</v>
      </c>
      <c r="Q105" s="72">
        <v>129.9</v>
      </c>
      <c r="R105" s="72">
        <v>128</v>
      </c>
      <c r="S105" s="72">
        <v>126</v>
      </c>
      <c r="T105" s="72">
        <v>126</v>
      </c>
      <c r="U105" s="72">
        <v>134.19999999999999</v>
      </c>
      <c r="V105" s="72">
        <v>133.19999999999999</v>
      </c>
      <c r="W105" s="72">
        <v>133.19999999999999</v>
      </c>
      <c r="X105" s="72">
        <v>132.30000000000001</v>
      </c>
      <c r="Y105" s="72">
        <v>126.4</v>
      </c>
      <c r="Z105" s="72">
        <v>135.69999999999999</v>
      </c>
      <c r="AA105" s="72">
        <v>135.69999999999999</v>
      </c>
      <c r="AB105" s="72">
        <v>132.1</v>
      </c>
      <c r="AC105" s="72">
        <v>132.9</v>
      </c>
      <c r="AD105" s="72">
        <v>134</v>
      </c>
      <c r="AE105" s="72">
        <v>134.6</v>
      </c>
      <c r="AF105" s="72">
        <v>132.4</v>
      </c>
      <c r="AG105" s="111"/>
      <c r="AH105" s="52">
        <f t="shared" si="14"/>
        <v>137.4</v>
      </c>
      <c r="AI105" s="53">
        <f t="shared" si="15"/>
        <v>122.4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65.900000000000006</v>
      </c>
      <c r="C106" s="99">
        <v>65.7</v>
      </c>
      <c r="D106" s="99">
        <v>66.5</v>
      </c>
      <c r="E106" s="99">
        <v>66.099999999999994</v>
      </c>
      <c r="F106" s="99">
        <v>66.400000000000006</v>
      </c>
      <c r="G106" s="99">
        <v>66.3</v>
      </c>
      <c r="H106" s="99">
        <v>66.3</v>
      </c>
      <c r="I106" s="99">
        <v>65.099999999999994</v>
      </c>
      <c r="J106" s="99">
        <v>65.2</v>
      </c>
      <c r="K106" s="99">
        <v>64.5</v>
      </c>
      <c r="L106" s="99">
        <v>65.5</v>
      </c>
      <c r="M106" s="99">
        <v>64.900000000000006</v>
      </c>
      <c r="N106" s="99">
        <v>65.2</v>
      </c>
      <c r="O106" s="99">
        <v>65.2</v>
      </c>
      <c r="P106" s="99">
        <v>65.2</v>
      </c>
      <c r="Q106" s="99">
        <v>64.3</v>
      </c>
      <c r="R106" s="99">
        <v>64.599999999999994</v>
      </c>
      <c r="S106" s="99">
        <v>64.400000000000006</v>
      </c>
      <c r="T106" s="99">
        <v>64.400000000000006</v>
      </c>
      <c r="U106" s="99">
        <v>64</v>
      </c>
      <c r="V106" s="99">
        <v>64.900000000000006</v>
      </c>
      <c r="W106" s="99">
        <v>64.900000000000006</v>
      </c>
      <c r="X106" s="99">
        <v>65</v>
      </c>
      <c r="Y106" s="99">
        <v>64.400000000000006</v>
      </c>
      <c r="Z106" s="99">
        <v>64.8</v>
      </c>
      <c r="AA106" s="99">
        <v>64.8</v>
      </c>
      <c r="AB106" s="99">
        <v>66.3</v>
      </c>
      <c r="AC106" s="99">
        <v>65.7</v>
      </c>
      <c r="AD106" s="99">
        <v>66.2</v>
      </c>
      <c r="AE106" s="99">
        <v>66.3</v>
      </c>
      <c r="AF106" s="99">
        <v>66.099999999999994</v>
      </c>
      <c r="AG106" s="115"/>
      <c r="AH106" s="52">
        <f t="shared" si="14"/>
        <v>66.5</v>
      </c>
      <c r="AI106" s="53">
        <f t="shared" si="15"/>
        <v>64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4"/>
        <v>0</v>
      </c>
      <c r="AI107" s="53">
        <f t="shared" si="15"/>
        <v>0</v>
      </c>
    </row>
    <row r="108" spans="1:88" ht="15.75" thickBot="1" x14ac:dyDescent="0.3">
      <c r="A108" s="117" t="s">
        <v>112</v>
      </c>
      <c r="B108" s="118">
        <f t="shared" ref="B108" si="26">SUM(B18,B24,B27:B28,B56,B58:B59,B61,B63,B109:B113,B135,B141,B147,B156,B158,B170,B177,B180:B181,B188,B190,B192,B196:B198,B200:B202,B207,B213:B214,B216:B218,B226,B231)</f>
        <v>119.9</v>
      </c>
      <c r="C108" s="118">
        <f t="shared" ref="C108:AF108" si="27">SUM(C18,C24,C27:C28,C56,C58:C59,C61,C63,C109:C113,C135,C141,C147,C156,C158,C170,C177,C180:C181,C188,C190,C192,C196:C198,C200:C202,C207,C213:C214,C216:C218,C226,C231)</f>
        <v>112.54</v>
      </c>
      <c r="D108" s="118">
        <f t="shared" si="27"/>
        <v>113.14000000000001</v>
      </c>
      <c r="E108" s="118">
        <f t="shared" si="27"/>
        <v>99.239999999999981</v>
      </c>
      <c r="F108" s="118">
        <f t="shared" si="27"/>
        <v>110.93999999999998</v>
      </c>
      <c r="G108" s="118">
        <f t="shared" si="27"/>
        <v>200.54</v>
      </c>
      <c r="H108" s="118">
        <f t="shared" si="27"/>
        <v>221.04</v>
      </c>
      <c r="I108" s="118">
        <f t="shared" si="27"/>
        <v>197.34</v>
      </c>
      <c r="J108" s="118">
        <f t="shared" si="27"/>
        <v>252.04</v>
      </c>
      <c r="K108" s="118">
        <f t="shared" si="27"/>
        <v>293.33999999999997</v>
      </c>
      <c r="L108" s="118">
        <f t="shared" si="27"/>
        <v>318.03999999999996</v>
      </c>
      <c r="M108" s="118">
        <f t="shared" si="27"/>
        <v>305.04000000000002</v>
      </c>
      <c r="N108" s="118">
        <f t="shared" si="27"/>
        <v>275.23999999999995</v>
      </c>
      <c r="O108" s="118">
        <f t="shared" si="27"/>
        <v>275.23999999999995</v>
      </c>
      <c r="P108" s="118">
        <v>42</v>
      </c>
      <c r="Q108" s="118">
        <f t="shared" si="27"/>
        <v>265.39999999999998</v>
      </c>
      <c r="R108" s="118">
        <f t="shared" si="27"/>
        <v>251.09999999999997</v>
      </c>
      <c r="S108" s="118">
        <f t="shared" si="27"/>
        <v>252.5</v>
      </c>
      <c r="T108" s="118">
        <f t="shared" si="27"/>
        <v>275</v>
      </c>
      <c r="U108" s="118">
        <f t="shared" si="27"/>
        <v>282.79999999999995</v>
      </c>
      <c r="V108" s="118">
        <f t="shared" si="27"/>
        <v>279.20000000000005</v>
      </c>
      <c r="W108" s="118">
        <f t="shared" si="27"/>
        <v>286.09999999999997</v>
      </c>
      <c r="X108" s="118">
        <f t="shared" si="27"/>
        <v>305.8</v>
      </c>
      <c r="Y108" s="118">
        <f t="shared" si="27"/>
        <v>367.3</v>
      </c>
      <c r="Z108" s="118">
        <v>24.4</v>
      </c>
      <c r="AA108" s="118">
        <f t="shared" si="27"/>
        <v>353.6</v>
      </c>
      <c r="AB108" s="118">
        <f t="shared" si="27"/>
        <v>301.89999999999998</v>
      </c>
      <c r="AC108" s="118">
        <f t="shared" si="27"/>
        <v>283</v>
      </c>
      <c r="AD108" s="118">
        <f t="shared" si="27"/>
        <v>257.10000000000002</v>
      </c>
      <c r="AE108" s="118">
        <f t="shared" si="27"/>
        <v>185.89999999999998</v>
      </c>
      <c r="AF108" s="118">
        <f t="shared" si="27"/>
        <v>136.30000000000001</v>
      </c>
      <c r="AG108" s="119"/>
      <c r="AH108" s="52">
        <f t="shared" si="14"/>
        <v>367.3</v>
      </c>
      <c r="AI108" s="53">
        <f t="shared" si="15"/>
        <v>24.4</v>
      </c>
    </row>
    <row r="109" spans="1:88" x14ac:dyDescent="0.25">
      <c r="A109" s="107" t="s">
        <v>113</v>
      </c>
      <c r="B109" s="120">
        <v>-12.4</v>
      </c>
      <c r="C109" s="120">
        <v>-16.399999999999999</v>
      </c>
      <c r="D109" s="120">
        <v>-10.8</v>
      </c>
      <c r="E109" s="120">
        <v>-15.2</v>
      </c>
      <c r="F109" s="120">
        <v>-10.3</v>
      </c>
      <c r="G109" s="120">
        <v>-10.4</v>
      </c>
      <c r="H109" s="120">
        <v>5.6</v>
      </c>
      <c r="I109" s="120">
        <v>8.6999999999999993</v>
      </c>
      <c r="J109" s="120">
        <v>16.8</v>
      </c>
      <c r="K109" s="120">
        <v>22.6</v>
      </c>
      <c r="L109" s="120">
        <v>20.2</v>
      </c>
      <c r="M109" s="120">
        <v>11.4</v>
      </c>
      <c r="N109" s="120">
        <v>17.5</v>
      </c>
      <c r="O109" s="120">
        <v>17.5</v>
      </c>
      <c r="P109" s="120">
        <v>9.9</v>
      </c>
      <c r="Q109" s="120">
        <v>7.2</v>
      </c>
      <c r="R109" s="120">
        <v>1.6</v>
      </c>
      <c r="S109" s="120">
        <v>-1</v>
      </c>
      <c r="T109" s="120">
        <v>5.3</v>
      </c>
      <c r="U109" s="120">
        <v>7.3</v>
      </c>
      <c r="V109" s="120">
        <v>10.199999999999999</v>
      </c>
      <c r="W109" s="120">
        <v>10.7</v>
      </c>
      <c r="X109" s="120">
        <v>8.8000000000000007</v>
      </c>
      <c r="Y109" s="120">
        <v>28</v>
      </c>
      <c r="Z109" s="120">
        <v>23.5</v>
      </c>
      <c r="AA109" s="120">
        <v>31.8</v>
      </c>
      <c r="AB109" s="120">
        <v>23.8</v>
      </c>
      <c r="AC109" s="120">
        <v>23.5</v>
      </c>
      <c r="AD109" s="120">
        <v>21.5</v>
      </c>
      <c r="AE109" s="120">
        <v>13.3</v>
      </c>
      <c r="AF109" s="120">
        <v>-4.3</v>
      </c>
      <c r="AG109" s="121">
        <v>75</v>
      </c>
      <c r="AH109" s="52">
        <f t="shared" si="14"/>
        <v>31.8</v>
      </c>
      <c r="AI109" s="53">
        <f t="shared" si="15"/>
        <v>-16.399999999999999</v>
      </c>
    </row>
    <row r="110" spans="1:88" x14ac:dyDescent="0.25">
      <c r="A110" s="110" t="s">
        <v>114</v>
      </c>
      <c r="B110" s="122">
        <v>-15.1</v>
      </c>
      <c r="C110" s="122">
        <v>-19.100000000000001</v>
      </c>
      <c r="D110" s="122">
        <v>-11.6</v>
      </c>
      <c r="E110" s="122">
        <v>-17.7</v>
      </c>
      <c r="F110" s="122">
        <v>-11</v>
      </c>
      <c r="G110" s="122">
        <v>-11.7</v>
      </c>
      <c r="H110" s="122">
        <v>9</v>
      </c>
      <c r="I110" s="122">
        <v>11.4</v>
      </c>
      <c r="J110" s="122">
        <v>22.7</v>
      </c>
      <c r="K110" s="122">
        <v>30</v>
      </c>
      <c r="L110" s="122">
        <v>26.3</v>
      </c>
      <c r="M110" s="122">
        <v>13.3</v>
      </c>
      <c r="N110" s="122">
        <v>23.5</v>
      </c>
      <c r="O110" s="122">
        <v>23.5</v>
      </c>
      <c r="P110" s="122">
        <v>14</v>
      </c>
      <c r="Q110" s="122">
        <v>9.6999999999999993</v>
      </c>
      <c r="R110" s="122">
        <v>2.6</v>
      </c>
      <c r="S110" s="122">
        <v>-2</v>
      </c>
      <c r="T110" s="122">
        <v>6.6</v>
      </c>
      <c r="U110" s="122">
        <v>9.1</v>
      </c>
      <c r="V110" s="122">
        <v>6.9</v>
      </c>
      <c r="W110" s="122">
        <v>7.2</v>
      </c>
      <c r="X110" s="122">
        <v>4.8</v>
      </c>
      <c r="Y110" s="122">
        <v>30.3</v>
      </c>
      <c r="Z110" s="122">
        <v>22.9</v>
      </c>
      <c r="AA110" s="122">
        <v>35.1</v>
      </c>
      <c r="AB110" s="122">
        <v>24.1</v>
      </c>
      <c r="AC110" s="122">
        <v>23</v>
      </c>
      <c r="AD110" s="122">
        <v>23</v>
      </c>
      <c r="AE110" s="122">
        <v>13.2</v>
      </c>
      <c r="AF110" s="122">
        <v>-9.1999999999999993</v>
      </c>
      <c r="AG110" s="121">
        <v>240</v>
      </c>
      <c r="AH110" s="52">
        <f t="shared" si="14"/>
        <v>35.1</v>
      </c>
      <c r="AI110" s="53">
        <f t="shared" si="15"/>
        <v>-19.100000000000001</v>
      </c>
    </row>
    <row r="111" spans="1:88" x14ac:dyDescent="0.25">
      <c r="A111" s="110" t="s">
        <v>115</v>
      </c>
      <c r="B111" s="122">
        <f>-16.7-18.4</f>
        <v>-35.099999999999994</v>
      </c>
      <c r="C111" s="122">
        <f>-16.9-18.7</f>
        <v>-35.599999999999994</v>
      </c>
      <c r="D111" s="122">
        <f>-15.7-17.4</f>
        <v>-33.099999999999994</v>
      </c>
      <c r="E111" s="122">
        <v>-43</v>
      </c>
      <c r="F111" s="122">
        <v>-41</v>
      </c>
      <c r="G111" s="122">
        <v>37</v>
      </c>
      <c r="H111" s="122">
        <v>1.4</v>
      </c>
      <c r="I111" s="122">
        <v>-17</v>
      </c>
      <c r="J111" s="122">
        <v>-3.3</v>
      </c>
      <c r="K111" s="122">
        <v>12.6</v>
      </c>
      <c r="L111" s="122">
        <v>41.8</v>
      </c>
      <c r="M111" s="122">
        <v>53</v>
      </c>
      <c r="N111" s="122">
        <v>37</v>
      </c>
      <c r="O111" s="122">
        <v>37</v>
      </c>
      <c r="P111" s="122">
        <v>19</v>
      </c>
      <c r="Q111" s="122">
        <v>19.600000000000001</v>
      </c>
      <c r="R111" s="122">
        <v>20.2</v>
      </c>
      <c r="S111" s="122">
        <v>24</v>
      </c>
      <c r="T111" s="122">
        <v>28.6</v>
      </c>
      <c r="U111" s="122">
        <v>30</v>
      </c>
      <c r="V111" s="122">
        <v>25.8</v>
      </c>
      <c r="W111" s="122">
        <v>34.299999999999997</v>
      </c>
      <c r="X111" s="122">
        <v>46.1</v>
      </c>
      <c r="Y111" s="122">
        <v>40.9</v>
      </c>
      <c r="Z111" s="122">
        <v>80</v>
      </c>
      <c r="AA111" s="122">
        <v>54.6</v>
      </c>
      <c r="AB111" s="122">
        <v>33</v>
      </c>
      <c r="AC111" s="122">
        <v>29</v>
      </c>
      <c r="AD111" s="122">
        <v>14</v>
      </c>
      <c r="AE111" s="122">
        <v>-24</v>
      </c>
      <c r="AF111" s="122">
        <v>-26</v>
      </c>
      <c r="AG111" s="121">
        <v>240</v>
      </c>
      <c r="AH111" s="52">
        <f t="shared" si="14"/>
        <v>80</v>
      </c>
      <c r="AI111" s="53">
        <f t="shared" si="15"/>
        <v>-43</v>
      </c>
    </row>
    <row r="112" spans="1:88" x14ac:dyDescent="0.25">
      <c r="A112" s="110" t="s">
        <v>116</v>
      </c>
      <c r="B112" s="122">
        <v>-2.4</v>
      </c>
      <c r="C112" s="122">
        <v>-1.7</v>
      </c>
      <c r="D112" s="122">
        <v>2.5</v>
      </c>
      <c r="E112" s="122">
        <v>-1.9</v>
      </c>
      <c r="F112" s="122">
        <v>0.7</v>
      </c>
      <c r="G112" s="122">
        <v>0.2</v>
      </c>
      <c r="H112" s="122">
        <v>3.5</v>
      </c>
      <c r="I112" s="122">
        <v>4.5</v>
      </c>
      <c r="J112" s="122">
        <v>9.3000000000000007</v>
      </c>
      <c r="K112" s="122">
        <v>13.2</v>
      </c>
      <c r="L112" s="122">
        <v>19.600000000000001</v>
      </c>
      <c r="M112" s="122">
        <v>21.8</v>
      </c>
      <c r="N112" s="122">
        <v>18.5</v>
      </c>
      <c r="O112" s="122">
        <v>18.5</v>
      </c>
      <c r="P112" s="122">
        <v>13.5</v>
      </c>
      <c r="Q112" s="122">
        <v>13.5</v>
      </c>
      <c r="R112" s="122">
        <v>15.2</v>
      </c>
      <c r="S112" s="122">
        <v>14</v>
      </c>
      <c r="T112" s="122">
        <v>15</v>
      </c>
      <c r="U112" s="122">
        <v>15.2</v>
      </c>
      <c r="V112" s="122">
        <v>15.4</v>
      </c>
      <c r="W112" s="122">
        <v>14.7</v>
      </c>
      <c r="X112" s="122">
        <v>14.8</v>
      </c>
      <c r="Y112" s="122">
        <v>35.299999999999997</v>
      </c>
      <c r="Z112" s="122">
        <v>53.1</v>
      </c>
      <c r="AA112" s="122">
        <v>35.1</v>
      </c>
      <c r="AB112" s="122">
        <v>31</v>
      </c>
      <c r="AC112" s="122">
        <v>20</v>
      </c>
      <c r="AD112" s="122">
        <v>12.1</v>
      </c>
      <c r="AE112" s="122">
        <v>4.0999999999999996</v>
      </c>
      <c r="AF112" s="122">
        <v>0</v>
      </c>
      <c r="AG112" s="121">
        <v>60</v>
      </c>
      <c r="AH112" s="52">
        <f t="shared" si="14"/>
        <v>53.1</v>
      </c>
      <c r="AI112" s="53">
        <f t="shared" si="15"/>
        <v>-2.4</v>
      </c>
    </row>
    <row r="113" spans="1:37" x14ac:dyDescent="0.25">
      <c r="A113" s="123" t="s">
        <v>117</v>
      </c>
      <c r="B113" s="124">
        <v>87.5</v>
      </c>
      <c r="C113" s="124">
        <v>89.5</v>
      </c>
      <c r="D113" s="124">
        <v>73.2</v>
      </c>
      <c r="E113" s="124">
        <v>84.1</v>
      </c>
      <c r="F113" s="124">
        <v>77.8</v>
      </c>
      <c r="G113" s="124">
        <v>88.9</v>
      </c>
      <c r="H113" s="124">
        <v>105</v>
      </c>
      <c r="I113" s="124">
        <v>93.2</v>
      </c>
      <c r="J113" s="124">
        <v>110</v>
      </c>
      <c r="K113" s="124">
        <v>118.4</v>
      </c>
      <c r="L113" s="124">
        <v>113.6</v>
      </c>
      <c r="M113" s="124">
        <v>110.8</v>
      </c>
      <c r="N113" s="124">
        <v>84</v>
      </c>
      <c r="O113" s="124">
        <v>84</v>
      </c>
      <c r="P113" s="124">
        <v>106</v>
      </c>
      <c r="Q113" s="124">
        <v>104.6</v>
      </c>
      <c r="R113" s="124">
        <v>100</v>
      </c>
      <c r="S113" s="124">
        <v>106</v>
      </c>
      <c r="T113" s="124">
        <v>108</v>
      </c>
      <c r="U113" s="124">
        <v>109.7</v>
      </c>
      <c r="V113" s="124">
        <v>109.4</v>
      </c>
      <c r="W113" s="124">
        <v>107.7</v>
      </c>
      <c r="X113" s="124">
        <v>119.8</v>
      </c>
      <c r="Y113" s="124">
        <v>121.3</v>
      </c>
      <c r="Z113" s="124">
        <v>96.7</v>
      </c>
      <c r="AA113" s="124">
        <v>85.5</v>
      </c>
      <c r="AB113" s="124">
        <v>98.5</v>
      </c>
      <c r="AC113" s="124">
        <v>96</v>
      </c>
      <c r="AD113" s="124">
        <v>95</v>
      </c>
      <c r="AE113" s="124">
        <v>87.8</v>
      </c>
      <c r="AF113" s="124">
        <v>84.3</v>
      </c>
      <c r="AG113" s="125">
        <v>120</v>
      </c>
      <c r="AH113" s="52">
        <f t="shared" si="14"/>
        <v>121.3</v>
      </c>
      <c r="AI113" s="53">
        <f t="shared" si="15"/>
        <v>73.2</v>
      </c>
    </row>
    <row r="114" spans="1:37" x14ac:dyDescent="0.25">
      <c r="A114" s="123" t="s">
        <v>118</v>
      </c>
      <c r="B114" s="124">
        <v>82.2</v>
      </c>
      <c r="C114" s="124">
        <v>83.2</v>
      </c>
      <c r="D114" s="124">
        <v>77.900000000000006</v>
      </c>
      <c r="E114" s="124">
        <v>88.4</v>
      </c>
      <c r="F114" s="124">
        <v>86.5</v>
      </c>
      <c r="G114" s="124">
        <v>94.7</v>
      </c>
      <c r="H114" s="124">
        <v>102</v>
      </c>
      <c r="I114" s="124">
        <v>87.6</v>
      </c>
      <c r="J114" s="124">
        <v>93.5</v>
      </c>
      <c r="K114" s="124">
        <v>93.6</v>
      </c>
      <c r="L114" s="124">
        <v>90.8</v>
      </c>
      <c r="M114" s="124">
        <v>104.9</v>
      </c>
      <c r="N114" s="124">
        <v>88.3</v>
      </c>
      <c r="O114" s="124">
        <v>88.3</v>
      </c>
      <c r="P114" s="124">
        <v>85</v>
      </c>
      <c r="Q114" s="124">
        <v>83.2</v>
      </c>
      <c r="R114" s="124">
        <v>80.2</v>
      </c>
      <c r="S114" s="124">
        <v>87</v>
      </c>
      <c r="T114" s="124">
        <v>86.5</v>
      </c>
      <c r="U114" s="124">
        <v>86.4</v>
      </c>
      <c r="V114" s="124">
        <v>85</v>
      </c>
      <c r="W114" s="124">
        <v>82.3</v>
      </c>
      <c r="X114" s="124">
        <v>88.9</v>
      </c>
      <c r="Y114" s="124">
        <v>85.6</v>
      </c>
      <c r="Z114" s="124">
        <v>96.7</v>
      </c>
      <c r="AA114" s="124">
        <v>84.3</v>
      </c>
      <c r="AB114" s="124">
        <v>67.8</v>
      </c>
      <c r="AC114" s="124">
        <v>71</v>
      </c>
      <c r="AD114" s="124">
        <v>69</v>
      </c>
      <c r="AE114" s="124">
        <v>78</v>
      </c>
      <c r="AF114" s="124">
        <v>83</v>
      </c>
      <c r="AG114" s="125"/>
      <c r="AH114" s="52">
        <f t="shared" si="14"/>
        <v>104.9</v>
      </c>
      <c r="AI114" s="53">
        <f t="shared" si="15"/>
        <v>67.8</v>
      </c>
    </row>
    <row r="115" spans="1:37" x14ac:dyDescent="0.25">
      <c r="A115" s="123" t="s">
        <v>119</v>
      </c>
      <c r="B115" s="124">
        <v>37.6</v>
      </c>
      <c r="C115" s="124">
        <v>42</v>
      </c>
      <c r="D115" s="124"/>
      <c r="E115" s="124">
        <v>46.4</v>
      </c>
      <c r="F115" s="124">
        <v>40.799999999999997</v>
      </c>
      <c r="G115" s="124"/>
      <c r="H115" s="124">
        <v>24.2</v>
      </c>
      <c r="I115" s="124">
        <v>18.5</v>
      </c>
      <c r="J115" s="124">
        <v>23</v>
      </c>
      <c r="K115" s="124"/>
      <c r="L115" s="124"/>
      <c r="M115" s="124"/>
      <c r="N115" s="124">
        <v>8.1999999999999993</v>
      </c>
      <c r="O115" s="124">
        <v>8.1999999999999993</v>
      </c>
      <c r="P115" s="124"/>
      <c r="Q115" s="124">
        <v>16.100000000000001</v>
      </c>
      <c r="R115" s="124">
        <v>17</v>
      </c>
      <c r="S115" s="124">
        <v>106</v>
      </c>
      <c r="T115" s="124"/>
      <c r="U115" s="124"/>
      <c r="V115" s="124">
        <v>9.1</v>
      </c>
      <c r="W115" s="124"/>
      <c r="X115" s="124"/>
      <c r="Y115" s="124">
        <v>0.7</v>
      </c>
      <c r="Z115" s="124">
        <v>6.1</v>
      </c>
      <c r="AA115" s="124"/>
      <c r="AB115" s="124"/>
      <c r="AC115" s="124"/>
      <c r="AD115" s="124"/>
      <c r="AE115" s="124"/>
      <c r="AF115" s="124">
        <v>43.4</v>
      </c>
      <c r="AG115" s="126"/>
      <c r="AH115" s="52">
        <f t="shared" si="14"/>
        <v>106</v>
      </c>
      <c r="AI115" s="53">
        <f t="shared" si="15"/>
        <v>0.7</v>
      </c>
    </row>
    <row r="116" spans="1:37" x14ac:dyDescent="0.25">
      <c r="A116" s="127" t="s">
        <v>120</v>
      </c>
      <c r="B116" s="113">
        <v>44</v>
      </c>
      <c r="C116" s="113">
        <v>43</v>
      </c>
      <c r="D116" s="113">
        <v>43</v>
      </c>
      <c r="E116" s="113">
        <v>85.8</v>
      </c>
      <c r="F116" s="113">
        <v>79.5</v>
      </c>
      <c r="G116" s="113">
        <v>76.5</v>
      </c>
      <c r="H116" s="113">
        <v>51.7</v>
      </c>
      <c r="I116" s="113">
        <v>48.2</v>
      </c>
      <c r="J116" s="113">
        <v>35.4</v>
      </c>
      <c r="K116" s="113">
        <v>28.7</v>
      </c>
      <c r="L116" s="113">
        <v>19.2</v>
      </c>
      <c r="M116" s="113">
        <v>23.3</v>
      </c>
      <c r="N116" s="113">
        <v>21.3</v>
      </c>
      <c r="O116" s="113">
        <v>21.3</v>
      </c>
      <c r="P116" s="113">
        <v>25</v>
      </c>
      <c r="Q116" s="113">
        <v>12.8</v>
      </c>
      <c r="R116" s="113">
        <v>17.2</v>
      </c>
      <c r="S116" s="113">
        <v>14</v>
      </c>
      <c r="T116" s="113">
        <v>19.5</v>
      </c>
      <c r="U116" s="113">
        <v>24.4</v>
      </c>
      <c r="V116" s="113">
        <v>15.2</v>
      </c>
      <c r="W116" s="113">
        <v>2.4</v>
      </c>
      <c r="X116" s="113">
        <v>5.5</v>
      </c>
      <c r="Y116" s="113">
        <v>-9.6999999999999993</v>
      </c>
      <c r="Z116" s="113">
        <v>-2.2000000000000002</v>
      </c>
      <c r="AA116" s="113">
        <v>-3</v>
      </c>
      <c r="AB116" s="113">
        <v>9.6</v>
      </c>
      <c r="AC116" s="113">
        <v>17</v>
      </c>
      <c r="AD116" s="113">
        <v>22.4</v>
      </c>
      <c r="AE116" s="113">
        <v>38.299999999999997</v>
      </c>
      <c r="AF116" s="113">
        <v>58.3</v>
      </c>
      <c r="AG116" s="126"/>
      <c r="AH116" s="52">
        <f t="shared" si="14"/>
        <v>85.8</v>
      </c>
      <c r="AI116" s="53">
        <f t="shared" si="15"/>
        <v>-9.6999999999999993</v>
      </c>
    </row>
    <row r="117" spans="1:37" ht="15.75" thickBot="1" x14ac:dyDescent="0.3">
      <c r="A117" s="127" t="s">
        <v>121</v>
      </c>
      <c r="B117" s="113">
        <v>39.4</v>
      </c>
      <c r="C117" s="113">
        <v>34</v>
      </c>
      <c r="D117" s="113">
        <v>32.4</v>
      </c>
      <c r="E117" s="113">
        <v>31.5</v>
      </c>
      <c r="F117" s="113">
        <v>30.8</v>
      </c>
      <c r="G117" s="113">
        <v>31.2</v>
      </c>
      <c r="H117" s="113">
        <v>37.4</v>
      </c>
      <c r="I117" s="113">
        <v>42.8</v>
      </c>
      <c r="J117" s="113">
        <v>47.6</v>
      </c>
      <c r="K117" s="113">
        <v>59.9</v>
      </c>
      <c r="L117" s="113">
        <v>53.1</v>
      </c>
      <c r="M117" s="113">
        <v>57.8</v>
      </c>
      <c r="N117" s="113">
        <v>61.2</v>
      </c>
      <c r="O117" s="113">
        <v>61.2</v>
      </c>
      <c r="P117" s="113">
        <v>68.7</v>
      </c>
      <c r="Q117" s="113">
        <v>65.900000000000006</v>
      </c>
      <c r="R117" s="113">
        <v>65.8</v>
      </c>
      <c r="S117" s="113">
        <v>86</v>
      </c>
      <c r="T117" s="113">
        <v>72.599999999999994</v>
      </c>
      <c r="U117" s="113">
        <v>60.4</v>
      </c>
      <c r="V117" s="113">
        <v>63.1</v>
      </c>
      <c r="W117" s="113">
        <v>64.2</v>
      </c>
      <c r="X117" s="113">
        <v>61.5</v>
      </c>
      <c r="Y117" s="113">
        <v>81.400000000000006</v>
      </c>
      <c r="Z117" s="113">
        <v>80.5</v>
      </c>
      <c r="AA117" s="113">
        <v>77.5</v>
      </c>
      <c r="AB117" s="113">
        <v>75.900000000000006</v>
      </c>
      <c r="AC117" s="113">
        <v>77</v>
      </c>
      <c r="AD117" s="113">
        <v>72</v>
      </c>
      <c r="AE117" s="113">
        <v>58</v>
      </c>
      <c r="AF117" s="113">
        <v>42</v>
      </c>
      <c r="AG117" s="126"/>
      <c r="AH117" s="52">
        <f t="shared" si="14"/>
        <v>86</v>
      </c>
      <c r="AI117" s="53">
        <f t="shared" si="15"/>
        <v>30.8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8">SUM(B119:B223)</f>
        <v>0</v>
      </c>
      <c r="C224" s="144">
        <f t="shared" si="28"/>
        <v>0</v>
      </c>
      <c r="D224" s="144">
        <f t="shared" si="28"/>
        <v>0</v>
      </c>
      <c r="E224" s="144">
        <f t="shared" si="28"/>
        <v>0</v>
      </c>
      <c r="F224" s="144">
        <f t="shared" si="28"/>
        <v>0</v>
      </c>
      <c r="G224" s="144">
        <f t="shared" si="28"/>
        <v>0</v>
      </c>
      <c r="H224" s="144">
        <f t="shared" si="28"/>
        <v>0</v>
      </c>
      <c r="I224" s="144">
        <f t="shared" si="28"/>
        <v>0</v>
      </c>
      <c r="J224" s="144">
        <f t="shared" si="28"/>
        <v>0</v>
      </c>
      <c r="K224" s="144">
        <f t="shared" si="28"/>
        <v>0</v>
      </c>
      <c r="L224" s="144">
        <f t="shared" si="28"/>
        <v>0</v>
      </c>
      <c r="M224" s="144">
        <f t="shared" si="28"/>
        <v>0</v>
      </c>
      <c r="N224" s="144">
        <f t="shared" si="28"/>
        <v>0</v>
      </c>
      <c r="O224" s="144">
        <f t="shared" si="28"/>
        <v>0</v>
      </c>
      <c r="P224" s="144">
        <f t="shared" si="28"/>
        <v>0</v>
      </c>
      <c r="Q224" s="144">
        <f t="shared" si="28"/>
        <v>0</v>
      </c>
      <c r="R224" s="144">
        <f t="shared" si="28"/>
        <v>0</v>
      </c>
      <c r="S224" s="144">
        <f t="shared" si="28"/>
        <v>0</v>
      </c>
      <c r="T224" s="144">
        <f t="shared" si="28"/>
        <v>0</v>
      </c>
      <c r="U224" s="144">
        <f t="shared" si="28"/>
        <v>0</v>
      </c>
      <c r="V224" s="144">
        <f t="shared" si="28"/>
        <v>0</v>
      </c>
      <c r="W224" s="144">
        <f t="shared" si="28"/>
        <v>0</v>
      </c>
      <c r="X224" s="144">
        <f t="shared" si="28"/>
        <v>0</v>
      </c>
      <c r="Y224" s="144">
        <f t="shared" si="28"/>
        <v>0</v>
      </c>
      <c r="Z224" s="144">
        <f t="shared" si="28"/>
        <v>0</v>
      </c>
      <c r="AA224" s="144">
        <f t="shared" si="28"/>
        <v>0</v>
      </c>
      <c r="AB224" s="144">
        <f t="shared" si="28"/>
        <v>0</v>
      </c>
      <c r="AC224" s="144">
        <f t="shared" si="28"/>
        <v>0</v>
      </c>
      <c r="AD224" s="144">
        <f t="shared" si="28"/>
        <v>0</v>
      </c>
      <c r="AE224" s="144">
        <f t="shared" si="28"/>
        <v>0</v>
      </c>
      <c r="AF224" s="145">
        <f t="shared" si="28"/>
        <v>0</v>
      </c>
      <c r="AG224" s="146">
        <f t="shared" si="28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9">AF226</f>
        <v>0</v>
      </c>
      <c r="C226" s="149">
        <v>0.3</v>
      </c>
      <c r="D226" s="149">
        <f t="shared" ref="D226:P231" si="30">C226</f>
        <v>0.3</v>
      </c>
      <c r="E226" s="149">
        <f t="shared" si="30"/>
        <v>0.3</v>
      </c>
      <c r="F226" s="149">
        <f t="shared" si="30"/>
        <v>0.3</v>
      </c>
      <c r="G226" s="149">
        <f t="shared" si="30"/>
        <v>0.3</v>
      </c>
      <c r="H226" s="149">
        <f t="shared" si="30"/>
        <v>0.3</v>
      </c>
      <c r="I226" s="149">
        <f t="shared" si="30"/>
        <v>0.3</v>
      </c>
      <c r="J226" s="149">
        <f t="shared" si="30"/>
        <v>0.3</v>
      </c>
      <c r="K226" s="149">
        <f t="shared" si="30"/>
        <v>0.3</v>
      </c>
      <c r="L226" s="149">
        <f t="shared" si="30"/>
        <v>0.3</v>
      </c>
      <c r="M226" s="149">
        <f t="shared" si="30"/>
        <v>0.3</v>
      </c>
      <c r="N226" s="149">
        <f t="shared" si="30"/>
        <v>0.3</v>
      </c>
      <c r="O226" s="149">
        <f t="shared" si="30"/>
        <v>0.3</v>
      </c>
      <c r="P226" s="149">
        <f t="shared" si="30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9"/>
        <v>0</v>
      </c>
      <c r="C227" s="136">
        <v>0.4</v>
      </c>
      <c r="D227" s="136">
        <f t="shared" si="30"/>
        <v>0.4</v>
      </c>
      <c r="E227" s="136">
        <f t="shared" si="30"/>
        <v>0.4</v>
      </c>
      <c r="F227" s="136">
        <f t="shared" si="30"/>
        <v>0.4</v>
      </c>
      <c r="G227" s="136">
        <f t="shared" si="30"/>
        <v>0.4</v>
      </c>
      <c r="H227" s="136">
        <f t="shared" si="30"/>
        <v>0.4</v>
      </c>
      <c r="I227" s="136">
        <f t="shared" si="30"/>
        <v>0.4</v>
      </c>
      <c r="J227" s="136">
        <f t="shared" si="30"/>
        <v>0.4</v>
      </c>
      <c r="K227" s="136">
        <f t="shared" si="30"/>
        <v>0.4</v>
      </c>
      <c r="L227" s="136">
        <f t="shared" si="30"/>
        <v>0.4</v>
      </c>
      <c r="M227" s="136">
        <f t="shared" si="30"/>
        <v>0.4</v>
      </c>
      <c r="N227" s="136">
        <f t="shared" si="30"/>
        <v>0.4</v>
      </c>
      <c r="O227" s="136">
        <f t="shared" si="30"/>
        <v>0.4</v>
      </c>
      <c r="P227" s="136">
        <f t="shared" si="30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9"/>
        <v>0</v>
      </c>
      <c r="C228" s="136">
        <v>1.5</v>
      </c>
      <c r="D228" s="136">
        <f t="shared" si="30"/>
        <v>1.5</v>
      </c>
      <c r="E228" s="136">
        <f t="shared" si="30"/>
        <v>1.5</v>
      </c>
      <c r="F228" s="136">
        <f t="shared" si="30"/>
        <v>1.5</v>
      </c>
      <c r="G228" s="136">
        <f t="shared" si="30"/>
        <v>1.5</v>
      </c>
      <c r="H228" s="136">
        <f t="shared" si="30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0"/>
        <v>1.5</v>
      </c>
      <c r="K228" s="136">
        <f t="shared" ca="1" si="30"/>
        <v>1.5</v>
      </c>
      <c r="L228" s="136">
        <f t="shared" ca="1" si="30"/>
        <v>1.5</v>
      </c>
      <c r="M228" s="136">
        <f t="shared" ca="1" si="30"/>
        <v>1.5</v>
      </c>
      <c r="N228" s="136">
        <f t="shared" ca="1" si="30"/>
        <v>1.5</v>
      </c>
      <c r="O228" s="136">
        <f t="shared" ca="1" si="30"/>
        <v>1.5</v>
      </c>
      <c r="P228" s="136">
        <f t="shared" ca="1" si="30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9"/>
        <v>0</v>
      </c>
      <c r="C229" s="136">
        <v>0.3</v>
      </c>
      <c r="D229" s="136">
        <f t="shared" si="30"/>
        <v>0.3</v>
      </c>
      <c r="E229" s="136">
        <f t="shared" si="30"/>
        <v>0.3</v>
      </c>
      <c r="F229" s="136">
        <f t="shared" si="30"/>
        <v>0.3</v>
      </c>
      <c r="G229" s="136">
        <f t="shared" si="30"/>
        <v>0.3</v>
      </c>
      <c r="H229" s="136">
        <f t="shared" si="30"/>
        <v>0.3</v>
      </c>
      <c r="I229" s="136">
        <f t="shared" si="30"/>
        <v>0.3</v>
      </c>
      <c r="J229" s="136">
        <f t="shared" si="30"/>
        <v>0.3</v>
      </c>
      <c r="K229" s="136">
        <f t="shared" si="30"/>
        <v>0.3</v>
      </c>
      <c r="L229" s="136">
        <f t="shared" si="30"/>
        <v>0.3</v>
      </c>
      <c r="M229" s="136">
        <f t="shared" si="30"/>
        <v>0.3</v>
      </c>
      <c r="N229" s="136">
        <f t="shared" si="30"/>
        <v>0.3</v>
      </c>
      <c r="O229" s="136">
        <f t="shared" si="30"/>
        <v>0.3</v>
      </c>
      <c r="P229" s="136">
        <f t="shared" si="30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9"/>
        <v>0</v>
      </c>
      <c r="C230" s="136">
        <v>0.4</v>
      </c>
      <c r="D230" s="136">
        <f t="shared" si="30"/>
        <v>0.4</v>
      </c>
      <c r="E230" s="136">
        <f t="shared" si="30"/>
        <v>0.4</v>
      </c>
      <c r="F230" s="136">
        <f t="shared" si="30"/>
        <v>0.4</v>
      </c>
      <c r="G230" s="136">
        <f t="shared" si="30"/>
        <v>0.4</v>
      </c>
      <c r="H230" s="136">
        <f t="shared" si="30"/>
        <v>0.4</v>
      </c>
      <c r="I230" s="136">
        <f t="shared" si="30"/>
        <v>0.4</v>
      </c>
      <c r="J230" s="136">
        <f t="shared" si="30"/>
        <v>0.4</v>
      </c>
      <c r="K230" s="136">
        <f t="shared" si="30"/>
        <v>0.4</v>
      </c>
      <c r="L230" s="136">
        <f t="shared" si="30"/>
        <v>0.4</v>
      </c>
      <c r="M230" s="136">
        <f t="shared" si="30"/>
        <v>0.4</v>
      </c>
      <c r="N230" s="136">
        <f t="shared" si="30"/>
        <v>0.4</v>
      </c>
      <c r="O230" s="136">
        <f t="shared" si="30"/>
        <v>0.4</v>
      </c>
      <c r="P230" s="136">
        <f t="shared" si="30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9"/>
        <v>0</v>
      </c>
      <c r="C231" s="140">
        <v>0.64</v>
      </c>
      <c r="D231" s="140">
        <f t="shared" si="30"/>
        <v>0.64</v>
      </c>
      <c r="E231" s="140">
        <f t="shared" si="30"/>
        <v>0.64</v>
      </c>
      <c r="F231" s="140">
        <f t="shared" si="30"/>
        <v>0.64</v>
      </c>
      <c r="G231" s="140">
        <f t="shared" si="30"/>
        <v>0.64</v>
      </c>
      <c r="H231" s="140">
        <f t="shared" si="30"/>
        <v>0.64</v>
      </c>
      <c r="I231" s="140">
        <f t="shared" si="30"/>
        <v>0.64</v>
      </c>
      <c r="J231" s="140">
        <f t="shared" si="30"/>
        <v>0.64</v>
      </c>
      <c r="K231" s="140">
        <f t="shared" si="30"/>
        <v>0.64</v>
      </c>
      <c r="L231" s="140">
        <f t="shared" si="30"/>
        <v>0.64</v>
      </c>
      <c r="M231" s="140">
        <f t="shared" si="30"/>
        <v>0.64</v>
      </c>
      <c r="N231" s="140">
        <f t="shared" si="30"/>
        <v>0.64</v>
      </c>
      <c r="O231" s="140">
        <f t="shared" si="30"/>
        <v>0.64</v>
      </c>
      <c r="P231" s="140">
        <f t="shared" si="30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31">SUM(B226:B231)</f>
        <v>0</v>
      </c>
      <c r="C232" s="144">
        <f t="shared" si="31"/>
        <v>3.54</v>
      </c>
      <c r="D232" s="144">
        <f t="shared" si="31"/>
        <v>3.54</v>
      </c>
      <c r="E232" s="144">
        <f t="shared" si="31"/>
        <v>3.54</v>
      </c>
      <c r="F232" s="144">
        <f t="shared" si="31"/>
        <v>3.54</v>
      </c>
      <c r="G232" s="144">
        <f t="shared" si="31"/>
        <v>3.54</v>
      </c>
      <c r="H232" s="144">
        <f t="shared" si="31"/>
        <v>3.54</v>
      </c>
      <c r="I232" s="144">
        <f t="shared" ca="1" si="31"/>
        <v>3.54</v>
      </c>
      <c r="J232" s="144">
        <f t="shared" ca="1" si="31"/>
        <v>3.54</v>
      </c>
      <c r="K232" s="144">
        <f t="shared" ca="1" si="31"/>
        <v>3.54</v>
      </c>
      <c r="L232" s="144">
        <f t="shared" ca="1" si="31"/>
        <v>3.54</v>
      </c>
      <c r="M232" s="144">
        <f t="shared" ca="1" si="31"/>
        <v>3.54</v>
      </c>
      <c r="N232" s="144">
        <f t="shared" ca="1" si="31"/>
        <v>3.54</v>
      </c>
      <c r="O232" s="144">
        <f t="shared" ca="1" si="31"/>
        <v>3.54</v>
      </c>
      <c r="P232" s="144">
        <f t="shared" ca="1" si="31"/>
        <v>3.54</v>
      </c>
      <c r="Q232" s="144">
        <f t="shared" si="31"/>
        <v>0</v>
      </c>
      <c r="R232" s="144">
        <f t="shared" si="31"/>
        <v>0</v>
      </c>
      <c r="S232" s="144">
        <f t="shared" si="31"/>
        <v>0</v>
      </c>
      <c r="T232" s="144">
        <f t="shared" si="31"/>
        <v>0</v>
      </c>
      <c r="U232" s="144">
        <f t="shared" si="31"/>
        <v>0</v>
      </c>
      <c r="V232" s="144">
        <f t="shared" si="31"/>
        <v>0</v>
      </c>
      <c r="W232" s="144">
        <f t="shared" si="31"/>
        <v>0</v>
      </c>
      <c r="X232" s="144">
        <f t="shared" si="31"/>
        <v>0</v>
      </c>
      <c r="Y232" s="144">
        <f t="shared" si="31"/>
        <v>0</v>
      </c>
      <c r="Z232" s="144">
        <f t="shared" si="31"/>
        <v>0</v>
      </c>
      <c r="AA232" s="144">
        <f t="shared" si="31"/>
        <v>0</v>
      </c>
      <c r="AB232" s="144">
        <f t="shared" si="31"/>
        <v>0</v>
      </c>
      <c r="AC232" s="144">
        <f t="shared" si="31"/>
        <v>0</v>
      </c>
      <c r="AD232" s="144">
        <f t="shared" si="31"/>
        <v>0</v>
      </c>
      <c r="AE232" s="144">
        <f t="shared" si="31"/>
        <v>0</v>
      </c>
      <c r="AF232" s="144">
        <f t="shared" si="31"/>
        <v>0</v>
      </c>
      <c r="AG232" s="154">
        <f t="shared" si="31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1258.7400000000002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08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2079/12/8)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2079/12/8)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2">B89</f>
        <v>949.04</v>
      </c>
      <c r="U246" s="180">
        <f t="shared" si="32"/>
        <v>936.94</v>
      </c>
      <c r="V246" s="180">
        <f t="shared" si="32"/>
        <v>912.94</v>
      </c>
      <c r="W246" s="180">
        <f t="shared" si="32"/>
        <v>899.24</v>
      </c>
      <c r="X246" s="180">
        <f t="shared" si="32"/>
        <v>900.24</v>
      </c>
      <c r="Y246" s="180">
        <f t="shared" si="32"/>
        <v>936.54</v>
      </c>
      <c r="Z246" s="180">
        <f t="shared" si="32"/>
        <v>1046.94</v>
      </c>
      <c r="AA246" s="180">
        <f t="shared" si="32"/>
        <v>1087.44</v>
      </c>
      <c r="AB246" s="180">
        <f t="shared" si="32"/>
        <v>1186.3400000000001</v>
      </c>
      <c r="AC246" s="180">
        <f t="shared" si="32"/>
        <v>1253.8400000000001</v>
      </c>
      <c r="AD246" s="180">
        <f t="shared" si="32"/>
        <v>1228.44</v>
      </c>
      <c r="AE246" s="180">
        <f t="shared" si="32"/>
        <v>1258.7400000000002</v>
      </c>
      <c r="AF246" s="180">
        <f t="shared" si="32"/>
        <v>1218.04</v>
      </c>
      <c r="AG246" s="180">
        <f t="shared" si="32"/>
        <v>1213.04</v>
      </c>
      <c r="AH246" s="180">
        <f t="shared" si="32"/>
        <v>1232.04</v>
      </c>
      <c r="AI246" s="180">
        <f t="shared" si="32"/>
        <v>1191.6399999999999</v>
      </c>
      <c r="AJ246" s="180">
        <f t="shared" si="32"/>
        <v>1180.1399999999999</v>
      </c>
      <c r="AK246" s="180">
        <f t="shared" si="32"/>
        <v>1184.74</v>
      </c>
      <c r="AL246" s="180">
        <f t="shared" si="32"/>
        <v>1203.8400000000001</v>
      </c>
      <c r="AM246" s="180">
        <f t="shared" si="32"/>
        <v>1220.6400000000001</v>
      </c>
      <c r="AN246" s="180">
        <f t="shared" si="32"/>
        <v>1188.1399999999999</v>
      </c>
      <c r="AO246" s="180">
        <f t="shared" si="32"/>
        <v>1189.6399999999999</v>
      </c>
      <c r="AP246" s="180">
        <f t="shared" si="32"/>
        <v>1221.04</v>
      </c>
      <c r="AQ246" s="180">
        <f t="shared" si="32"/>
        <v>1388.2400000000002</v>
      </c>
      <c r="AR246" s="180">
        <f t="shared" si="32"/>
        <v>1431.8400000000001</v>
      </c>
      <c r="AS246" s="180">
        <f t="shared" si="32"/>
        <v>1383.0400000000002</v>
      </c>
      <c r="AT246" s="180">
        <f t="shared" si="32"/>
        <v>1339.2400000000002</v>
      </c>
      <c r="AU246" s="180">
        <f t="shared" si="32"/>
        <v>1292.24</v>
      </c>
      <c r="AV246" s="180">
        <f t="shared" si="32"/>
        <v>1258.44</v>
      </c>
      <c r="AW246" s="180">
        <f t="shared" si="32"/>
        <v>1151.3399999999999</v>
      </c>
      <c r="AX246" s="180">
        <f t="shared" si="32"/>
        <v>980.64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3">C231</f>
        <v>0.64</v>
      </c>
      <c r="C267" s="183">
        <f t="shared" si="33"/>
        <v>0.64</v>
      </c>
      <c r="D267" s="183">
        <f t="shared" si="33"/>
        <v>0.64</v>
      </c>
      <c r="E267" s="183">
        <f t="shared" si="33"/>
        <v>0.64</v>
      </c>
      <c r="F267" s="183">
        <f t="shared" si="33"/>
        <v>0.64</v>
      </c>
      <c r="G267" s="183">
        <f t="shared" si="33"/>
        <v>0.64</v>
      </c>
      <c r="H267" s="183">
        <f t="shared" si="33"/>
        <v>0.64</v>
      </c>
      <c r="I267" s="183">
        <f t="shared" si="33"/>
        <v>0.64</v>
      </c>
      <c r="J267" s="183">
        <f t="shared" si="33"/>
        <v>0.64</v>
      </c>
      <c r="K267" s="183">
        <f t="shared" si="33"/>
        <v>0.64</v>
      </c>
      <c r="L267" s="183">
        <f t="shared" si="33"/>
        <v>0.64</v>
      </c>
      <c r="M267" s="183">
        <f t="shared" si="33"/>
        <v>0.64</v>
      </c>
      <c r="N267" s="183">
        <f t="shared" si="33"/>
        <v>0.64</v>
      </c>
      <c r="O267" s="183">
        <f t="shared" si="33"/>
        <v>0.64</v>
      </c>
      <c r="P267" s="183">
        <f t="shared" si="33"/>
        <v>0</v>
      </c>
      <c r="Q267" s="183">
        <f t="shared" si="33"/>
        <v>0</v>
      </c>
      <c r="R267" s="183">
        <f t="shared" si="33"/>
        <v>0</v>
      </c>
      <c r="S267" s="183">
        <f t="shared" si="33"/>
        <v>0</v>
      </c>
      <c r="T267" s="183">
        <f t="shared" si="33"/>
        <v>0</v>
      </c>
      <c r="U267" s="183">
        <f t="shared" si="33"/>
        <v>0</v>
      </c>
      <c r="V267" s="183">
        <f t="shared" si="33"/>
        <v>0</v>
      </c>
      <c r="W267" s="183">
        <f t="shared" si="33"/>
        <v>0</v>
      </c>
      <c r="X267" s="183">
        <f t="shared" si="33"/>
        <v>0</v>
      </c>
      <c r="Y267" s="183">
        <f t="shared" si="33"/>
        <v>0</v>
      </c>
      <c r="Z267" s="183">
        <f t="shared" si="33"/>
        <v>0</v>
      </c>
      <c r="AA267" s="183">
        <f t="shared" si="33"/>
        <v>0</v>
      </c>
      <c r="AB267" s="183">
        <f t="shared" si="33"/>
        <v>0</v>
      </c>
      <c r="AC267" s="183">
        <f t="shared" si="33"/>
        <v>0</v>
      </c>
      <c r="AD267" s="183">
        <f t="shared" si="33"/>
        <v>0</v>
      </c>
      <c r="AE267" s="183">
        <f t="shared" si="33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4">IF(B235&lt;100,"",B235-520)</f>
        <v/>
      </c>
      <c r="C268" s="184" t="str">
        <f t="shared" si="34"/>
        <v/>
      </c>
      <c r="D268" s="184" t="str">
        <f t="shared" si="34"/>
        <v/>
      </c>
      <c r="E268" s="184" t="str">
        <f t="shared" si="34"/>
        <v/>
      </c>
      <c r="F268" s="184" t="str">
        <f t="shared" si="34"/>
        <v/>
      </c>
      <c r="G268" s="184" t="str">
        <f t="shared" si="34"/>
        <v/>
      </c>
      <c r="H268" s="184" t="str">
        <f t="shared" si="34"/>
        <v/>
      </c>
      <c r="I268" s="184" t="str">
        <f t="shared" si="34"/>
        <v/>
      </c>
      <c r="J268" s="184" t="str">
        <f t="shared" si="34"/>
        <v/>
      </c>
      <c r="K268" s="184" t="str">
        <f t="shared" si="34"/>
        <v/>
      </c>
      <c r="L268" s="184" t="str">
        <f t="shared" si="34"/>
        <v/>
      </c>
      <c r="M268" s="184" t="str">
        <f t="shared" si="34"/>
        <v/>
      </c>
      <c r="N268" s="184" t="str">
        <f t="shared" si="34"/>
        <v/>
      </c>
      <c r="O268" s="184" t="str">
        <f t="shared" si="34"/>
        <v/>
      </c>
      <c r="P268" s="184" t="str">
        <f t="shared" si="34"/>
        <v/>
      </c>
      <c r="Q268" s="184" t="str">
        <f t="shared" si="34"/>
        <v/>
      </c>
      <c r="R268" s="184" t="str">
        <f t="shared" si="34"/>
        <v/>
      </c>
      <c r="S268" s="184" t="str">
        <f t="shared" si="34"/>
        <v/>
      </c>
      <c r="T268" s="184" t="str">
        <f t="shared" si="34"/>
        <v/>
      </c>
      <c r="U268" s="184" t="str">
        <f t="shared" si="34"/>
        <v/>
      </c>
      <c r="V268" s="184" t="str">
        <f t="shared" si="34"/>
        <v/>
      </c>
      <c r="W268" s="184" t="str">
        <f t="shared" si="34"/>
        <v/>
      </c>
      <c r="X268" s="184" t="str">
        <f t="shared" si="34"/>
        <v/>
      </c>
      <c r="Y268" s="184" t="str">
        <f t="shared" si="34"/>
        <v/>
      </c>
      <c r="Z268" s="184" t="str">
        <f t="shared" si="34"/>
        <v/>
      </c>
      <c r="AA268" s="184" t="str">
        <f t="shared" si="34"/>
        <v/>
      </c>
      <c r="AB268" s="184" t="str">
        <f t="shared" si="34"/>
        <v/>
      </c>
      <c r="AC268" s="184" t="str">
        <f t="shared" si="34"/>
        <v/>
      </c>
      <c r="AD268" s="184" t="str">
        <f t="shared" si="34"/>
        <v/>
      </c>
      <c r="AE268" s="184" t="str">
        <f t="shared" si="34"/>
        <v/>
      </c>
      <c r="AF268" s="184" t="str">
        <f t="shared" si="34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5">IF(B236&lt;100,"",B236-620)</f>
        <v/>
      </c>
      <c r="C269" s="184" t="str">
        <f t="shared" si="35"/>
        <v/>
      </c>
      <c r="D269" s="184" t="str">
        <f t="shared" si="35"/>
        <v/>
      </c>
      <c r="E269" s="184" t="str">
        <f t="shared" si="35"/>
        <v/>
      </c>
      <c r="F269" s="184" t="str">
        <f t="shared" si="35"/>
        <v/>
      </c>
      <c r="G269" s="184" t="str">
        <f t="shared" si="35"/>
        <v/>
      </c>
      <c r="H269" s="184" t="str">
        <f t="shared" si="35"/>
        <v/>
      </c>
      <c r="I269" s="184" t="str">
        <f t="shared" si="35"/>
        <v/>
      </c>
      <c r="J269" s="184" t="str">
        <f t="shared" si="35"/>
        <v/>
      </c>
      <c r="K269" s="184" t="str">
        <f t="shared" si="35"/>
        <v/>
      </c>
      <c r="L269" s="184" t="str">
        <f t="shared" si="35"/>
        <v/>
      </c>
      <c r="M269" s="184" t="str">
        <f t="shared" si="35"/>
        <v/>
      </c>
      <c r="N269" s="184" t="str">
        <f t="shared" si="35"/>
        <v/>
      </c>
      <c r="O269" s="184" t="str">
        <f t="shared" si="35"/>
        <v/>
      </c>
      <c r="P269" s="184" t="str">
        <f t="shared" si="35"/>
        <v/>
      </c>
      <c r="Q269" s="184" t="str">
        <f t="shared" si="35"/>
        <v/>
      </c>
      <c r="R269" s="184" t="str">
        <f t="shared" si="35"/>
        <v/>
      </c>
      <c r="S269" s="184" t="str">
        <f t="shared" si="35"/>
        <v/>
      </c>
      <c r="T269" s="184" t="str">
        <f t="shared" si="35"/>
        <v/>
      </c>
      <c r="U269" s="184" t="str">
        <f t="shared" si="35"/>
        <v/>
      </c>
      <c r="V269" s="184" t="str">
        <f t="shared" si="35"/>
        <v/>
      </c>
      <c r="W269" s="184" t="str">
        <f t="shared" si="35"/>
        <v/>
      </c>
      <c r="X269" s="184" t="str">
        <f t="shared" si="35"/>
        <v/>
      </c>
      <c r="Y269" s="184" t="str">
        <f t="shared" si="35"/>
        <v/>
      </c>
      <c r="Z269" s="184" t="str">
        <f t="shared" si="35"/>
        <v/>
      </c>
      <c r="AA269" s="184" t="str">
        <f t="shared" si="35"/>
        <v/>
      </c>
      <c r="AB269" s="184" t="str">
        <f t="shared" si="35"/>
        <v/>
      </c>
      <c r="AC269" s="184" t="str">
        <f t="shared" si="35"/>
        <v/>
      </c>
      <c r="AD269" s="184" t="str">
        <f t="shared" si="35"/>
        <v/>
      </c>
      <c r="AE269" s="184" t="str">
        <f t="shared" si="35"/>
        <v/>
      </c>
      <c r="AF269" s="184" t="str">
        <f t="shared" si="35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6">IF(B237&lt;100,"",B237-330)</f>
        <v/>
      </c>
      <c r="C270" s="184" t="str">
        <f t="shared" si="36"/>
        <v/>
      </c>
      <c r="D270" s="184" t="str">
        <f t="shared" si="36"/>
        <v/>
      </c>
      <c r="E270" s="184" t="str">
        <f t="shared" si="36"/>
        <v/>
      </c>
      <c r="F270" s="184" t="str">
        <f t="shared" si="36"/>
        <v/>
      </c>
      <c r="G270" s="184" t="str">
        <f t="shared" si="36"/>
        <v/>
      </c>
      <c r="H270" s="184" t="str">
        <f t="shared" si="36"/>
        <v/>
      </c>
      <c r="I270" s="184" t="str">
        <f t="shared" si="36"/>
        <v/>
      </c>
      <c r="J270" s="184" t="str">
        <f t="shared" si="36"/>
        <v/>
      </c>
      <c r="K270" s="184" t="str">
        <f t="shared" si="36"/>
        <v/>
      </c>
      <c r="L270" s="184" t="str">
        <f t="shared" si="36"/>
        <v/>
      </c>
      <c r="M270" s="184" t="str">
        <f t="shared" si="36"/>
        <v/>
      </c>
      <c r="N270" s="184" t="str">
        <f t="shared" si="36"/>
        <v/>
      </c>
      <c r="O270" s="184" t="str">
        <f t="shared" si="36"/>
        <v/>
      </c>
      <c r="P270" s="184" t="str">
        <f t="shared" si="36"/>
        <v/>
      </c>
      <c r="Q270" s="184" t="str">
        <f t="shared" si="36"/>
        <v/>
      </c>
      <c r="R270" s="184" t="str">
        <f t="shared" si="36"/>
        <v/>
      </c>
      <c r="S270" s="184" t="str">
        <f t="shared" si="36"/>
        <v/>
      </c>
      <c r="T270" s="184" t="str">
        <f t="shared" si="36"/>
        <v/>
      </c>
      <c r="U270" s="184" t="str">
        <f t="shared" si="36"/>
        <v/>
      </c>
      <c r="V270" s="184" t="str">
        <f t="shared" si="36"/>
        <v/>
      </c>
      <c r="W270" s="184" t="str">
        <f t="shared" si="36"/>
        <v/>
      </c>
      <c r="X270" s="184" t="str">
        <f t="shared" si="36"/>
        <v/>
      </c>
      <c r="Y270" s="184" t="str">
        <f t="shared" si="36"/>
        <v/>
      </c>
      <c r="Z270" s="184" t="str">
        <f t="shared" si="36"/>
        <v/>
      </c>
      <c r="AA270" s="184" t="str">
        <f t="shared" si="36"/>
        <v/>
      </c>
      <c r="AB270" s="184" t="str">
        <f t="shared" si="36"/>
        <v/>
      </c>
      <c r="AC270" s="184" t="str">
        <f t="shared" si="36"/>
        <v/>
      </c>
      <c r="AD270" s="184" t="str">
        <f t="shared" si="36"/>
        <v/>
      </c>
      <c r="AE270" s="184" t="str">
        <f t="shared" si="36"/>
        <v/>
      </c>
      <c r="AF270" s="184" t="str">
        <f t="shared" si="36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7">IF(B238&lt;100,"",B238-1500)</f>
        <v/>
      </c>
      <c r="C271" s="184" t="str">
        <f t="shared" si="37"/>
        <v/>
      </c>
      <c r="D271" s="184" t="str">
        <f t="shared" si="37"/>
        <v/>
      </c>
      <c r="E271" s="184" t="str">
        <f t="shared" si="37"/>
        <v/>
      </c>
      <c r="F271" s="184" t="str">
        <f t="shared" si="37"/>
        <v/>
      </c>
      <c r="G271" s="184" t="str">
        <f t="shared" si="37"/>
        <v/>
      </c>
      <c r="H271" s="184" t="str">
        <f t="shared" si="37"/>
        <v/>
      </c>
      <c r="I271" s="184" t="str">
        <f t="shared" si="37"/>
        <v/>
      </c>
      <c r="J271" s="184" t="str">
        <f t="shared" si="37"/>
        <v/>
      </c>
      <c r="K271" s="184" t="str">
        <f t="shared" si="37"/>
        <v/>
      </c>
      <c r="L271" s="184" t="str">
        <f t="shared" si="37"/>
        <v/>
      </c>
      <c r="M271" s="184" t="str">
        <f t="shared" si="37"/>
        <v/>
      </c>
      <c r="N271" s="184" t="str">
        <f t="shared" si="37"/>
        <v/>
      </c>
      <c r="O271" s="184" t="str">
        <f t="shared" si="37"/>
        <v/>
      </c>
      <c r="P271" s="184" t="str">
        <f t="shared" si="37"/>
        <v/>
      </c>
      <c r="Q271" s="184" t="str">
        <f t="shared" si="37"/>
        <v/>
      </c>
      <c r="R271" s="184" t="str">
        <f t="shared" si="37"/>
        <v/>
      </c>
      <c r="S271" s="184" t="str">
        <f t="shared" si="37"/>
        <v/>
      </c>
      <c r="T271" s="184" t="str">
        <f t="shared" si="37"/>
        <v/>
      </c>
      <c r="U271" s="184" t="str">
        <f t="shared" si="37"/>
        <v/>
      </c>
      <c r="V271" s="184" t="str">
        <f t="shared" si="37"/>
        <v/>
      </c>
      <c r="W271" s="184" t="str">
        <f t="shared" si="37"/>
        <v/>
      </c>
      <c r="X271" s="184" t="str">
        <f t="shared" si="37"/>
        <v/>
      </c>
      <c r="Y271" s="184" t="str">
        <f t="shared" si="37"/>
        <v/>
      </c>
      <c r="Z271" s="184" t="str">
        <f t="shared" si="37"/>
        <v/>
      </c>
      <c r="AA271" s="184" t="str">
        <f t="shared" si="37"/>
        <v/>
      </c>
      <c r="AB271" s="184" t="str">
        <f t="shared" si="37"/>
        <v/>
      </c>
      <c r="AC271" s="184" t="str">
        <f t="shared" si="37"/>
        <v/>
      </c>
      <c r="AD271" s="184" t="str">
        <f t="shared" si="37"/>
        <v/>
      </c>
      <c r="AE271" s="184" t="str">
        <f t="shared" si="37"/>
        <v/>
      </c>
      <c r="AF271" s="184" t="str">
        <f t="shared" si="37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6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06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9394" priority="602">
      <formula>B$9&gt;=20/24</formula>
    </cfRule>
    <cfRule type="expression" dxfId="9393" priority="603">
      <formula>AND(B$9&gt;=14/24,B$9&lt;20/24)</formula>
    </cfRule>
    <cfRule type="expression" dxfId="9392" priority="604">
      <formula>AND(B$9&gt;=8/24,B$9&lt;14/24)</formula>
    </cfRule>
    <cfRule type="expression" dxfId="9391" priority="605">
      <formula>B$9&lt;8/24</formula>
    </cfRule>
  </conditionalFormatting>
  <conditionalFormatting sqref="AL4:AL6">
    <cfRule type="iconSet" priority="601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9390" priority="600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9389" priority="599">
      <formula>$AH12=0</formula>
    </cfRule>
  </conditionalFormatting>
  <conditionalFormatting sqref="A114">
    <cfRule type="expression" dxfId="9388" priority="598">
      <formula>$AH114=0</formula>
    </cfRule>
  </conditionalFormatting>
  <conditionalFormatting sqref="AL42">
    <cfRule type="iconSet" priority="597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9387" priority="596">
      <formula>$AH45=0</formula>
    </cfRule>
  </conditionalFormatting>
  <conditionalFormatting sqref="A98">
    <cfRule type="expression" dxfId="9386" priority="595">
      <formula>$AH98=0</formula>
    </cfRule>
  </conditionalFormatting>
  <conditionalFormatting sqref="A18">
    <cfRule type="expression" dxfId="9385" priority="594">
      <formula>$AH18=0</formula>
    </cfRule>
  </conditionalFormatting>
  <conditionalFormatting sqref="A196:A201">
    <cfRule type="expression" dxfId="9384" priority="593">
      <formula>$AH196=0</formula>
    </cfRule>
  </conditionalFormatting>
  <conditionalFormatting sqref="A190:A195">
    <cfRule type="expression" dxfId="9383" priority="592">
      <formula>$AH190=0</formula>
    </cfRule>
  </conditionalFormatting>
  <conditionalFormatting sqref="A58">
    <cfRule type="expression" dxfId="9382" priority="591">
      <formula>$AH58=0</formula>
    </cfRule>
  </conditionalFormatting>
  <conditionalFormatting sqref="A94">
    <cfRule type="expression" dxfId="9381" priority="590">
      <formula>$AH94=0</formula>
    </cfRule>
  </conditionalFormatting>
  <conditionalFormatting sqref="AD99:AF99 E99:X99">
    <cfRule type="expression" dxfId="9380" priority="586">
      <formula>E$9&gt;=20/24</formula>
    </cfRule>
    <cfRule type="expression" dxfId="9379" priority="587">
      <formula>AND(E$9&gt;=14/24,E$9&lt;20/24)</formula>
    </cfRule>
    <cfRule type="expression" dxfId="9378" priority="588">
      <formula>AND(E$9&gt;=8/24,E$9&lt;14/24)</formula>
    </cfRule>
    <cfRule type="expression" dxfId="9377" priority="589">
      <formula>E$9&lt;8/24</formula>
    </cfRule>
  </conditionalFormatting>
  <conditionalFormatting sqref="AL43">
    <cfRule type="iconSet" priority="58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376" priority="608">
      <formula>C$9&gt;=20/24</formula>
    </cfRule>
    <cfRule type="expression" dxfId="9375" priority="609">
      <formula>AND(C$9&gt;=14/24,C$9&lt;20/24)</formula>
    </cfRule>
    <cfRule type="expression" dxfId="9374" priority="610">
      <formula>AND(C$9&gt;=8/24,C$9&lt;14/24)</formula>
    </cfRule>
    <cfRule type="expression" dxfId="9373" priority="611">
      <formula>C$9&lt;8/24</formula>
    </cfRule>
  </conditionalFormatting>
  <conditionalFormatting sqref="A233">
    <cfRule type="expression" dxfId="9372" priority="612">
      <formula>$AH233=0</formula>
    </cfRule>
  </conditionalFormatting>
  <conditionalFormatting sqref="AG245">
    <cfRule type="expression" dxfId="9371" priority="613">
      <formula>B$9&gt;=20/24</formula>
    </cfRule>
    <cfRule type="expression" dxfId="9370" priority="614">
      <formula>AND(B$9&gt;=14/24,B$9&lt;20/24)</formula>
    </cfRule>
    <cfRule type="expression" dxfId="9369" priority="615">
      <formula>AND(B$9&gt;=8/24,B$9&lt;14/24)</formula>
    </cfRule>
    <cfRule type="expression" dxfId="9368" priority="616">
      <formula>B$9&lt;8/24</formula>
    </cfRule>
  </conditionalFormatting>
  <conditionalFormatting sqref="S8">
    <cfRule type="expression" dxfId="9367" priority="581">
      <formula>U$9&gt;=20/24</formula>
    </cfRule>
    <cfRule type="expression" dxfId="9366" priority="582">
      <formula>AND(U$9&gt;=14/24,U$9&lt;20/24)</formula>
    </cfRule>
    <cfRule type="expression" dxfId="9365" priority="583">
      <formula>AND(U$9&gt;=8/24,U$9&lt;14/24)</formula>
    </cfRule>
    <cfRule type="expression" dxfId="9364" priority="584">
      <formula>U$9&lt;8/24</formula>
    </cfRule>
  </conditionalFormatting>
  <conditionalFormatting sqref="AB8">
    <cfRule type="expression" dxfId="9363" priority="577">
      <formula>AD$9&gt;=20/24</formula>
    </cfRule>
    <cfRule type="expression" dxfId="9362" priority="578">
      <formula>AND(AD$9&gt;=14/24,AD$9&lt;20/24)</formula>
    </cfRule>
    <cfRule type="expression" dxfId="9361" priority="579">
      <formula>AND(AD$9&gt;=8/24,AD$9&lt;14/24)</formula>
    </cfRule>
    <cfRule type="expression" dxfId="9360" priority="580">
      <formula>AD$9&lt;8/24</formula>
    </cfRule>
  </conditionalFormatting>
  <conditionalFormatting sqref="AH245:AX245">
    <cfRule type="expression" dxfId="9359" priority="617">
      <formula>AG$9&gt;=20/24</formula>
    </cfRule>
    <cfRule type="expression" dxfId="9358" priority="618">
      <formula>AND(AG$9&gt;=14/24,AG$9&lt;20/24)</formula>
    </cfRule>
    <cfRule type="expression" dxfId="9357" priority="619">
      <formula>AND(AG$9&gt;=8/24,AG$9&lt;14/24)</formula>
    </cfRule>
    <cfRule type="expression" dxfId="9356" priority="620">
      <formula>AG$9&lt;8/24</formula>
    </cfRule>
  </conditionalFormatting>
  <conditionalFormatting sqref="T245">
    <cfRule type="expression" dxfId="9355" priority="621">
      <formula>AX$9&gt;=20/24</formula>
    </cfRule>
    <cfRule type="expression" dxfId="9354" priority="622">
      <formula>AND(AX$9&gt;=14/24,AX$9&lt;20/24)</formula>
    </cfRule>
    <cfRule type="expression" dxfId="9353" priority="623">
      <formula>AND(AX$9&gt;=8/24,AX$9&lt;14/24)</formula>
    </cfRule>
    <cfRule type="expression" dxfId="9352" priority="624">
      <formula>AX$9&lt;8/24</formula>
    </cfRule>
  </conditionalFormatting>
  <conditionalFormatting sqref="A115:A116">
    <cfRule type="expression" dxfId="9351" priority="576">
      <formula>$AH115=0</formula>
    </cfRule>
  </conditionalFormatting>
  <conditionalFormatting sqref="Q54:Q58 M54:P57 AB54:AF57 E71:AF71">
    <cfRule type="expression" dxfId="9350" priority="572">
      <formula>E$9&gt;=20/24</formula>
    </cfRule>
    <cfRule type="expression" dxfId="9349" priority="573">
      <formula>AND(E$9&gt;=14/24,E$9&lt;20/24)</formula>
    </cfRule>
    <cfRule type="expression" dxfId="9348" priority="574">
      <formula>AND(E$9&gt;=8/24,E$9&lt;14/24)</formula>
    </cfRule>
    <cfRule type="expression" dxfId="9347" priority="575">
      <formula>E$9&lt;8/24</formula>
    </cfRule>
  </conditionalFormatting>
  <conditionalFormatting sqref="M53:Q53 AB53:AF53">
    <cfRule type="expression" dxfId="9346" priority="568">
      <formula>M$9&gt;=20/24</formula>
    </cfRule>
    <cfRule type="expression" dxfId="9345" priority="569">
      <formula>AND(M$9&gt;=14/24,M$9&lt;20/24)</formula>
    </cfRule>
    <cfRule type="expression" dxfId="9344" priority="570">
      <formula>AND(M$9&gt;=8/24,M$9&lt;14/24)</formula>
    </cfRule>
    <cfRule type="expression" dxfId="9343" priority="571">
      <formula>M$9&lt;8/24</formula>
    </cfRule>
  </conditionalFormatting>
  <conditionalFormatting sqref="Q53:Q58 M53:P57 AB53:AF57">
    <cfRule type="expression" dxfId="9342" priority="567">
      <formula>M53&gt;$AG53</formula>
    </cfRule>
  </conditionalFormatting>
  <conditionalFormatting sqref="D86:AF86 X96:AF96 AD100:AF106 X47:AF47 M100:X106 E72:AB73 Y74:AB74 Y67:AF69 AC72:AF74">
    <cfRule type="expression" dxfId="9341" priority="563">
      <formula>D$9&gt;=20/24</formula>
    </cfRule>
    <cfRule type="expression" dxfId="9340" priority="564">
      <formula>AND(D$9&gt;=14/24,D$9&lt;20/24)</formula>
    </cfRule>
    <cfRule type="expression" dxfId="9339" priority="565">
      <formula>AND(D$9&gt;=8/24,D$9&lt;14/24)</formula>
    </cfRule>
    <cfRule type="expression" dxfId="9338" priority="566">
      <formula>D$9&lt;8/24</formula>
    </cfRule>
  </conditionalFormatting>
  <conditionalFormatting sqref="X47:AF47 Y67:AF69">
    <cfRule type="expression" dxfId="9337" priority="562">
      <formula>X47&gt;$AG47</formula>
    </cfRule>
  </conditionalFormatting>
  <conditionalFormatting sqref="R53:AA58 AB58:AF58">
    <cfRule type="expression" dxfId="9336" priority="558">
      <formula>R$9&gt;=20/24</formula>
    </cfRule>
    <cfRule type="expression" dxfId="9335" priority="559">
      <formula>AND(R$9&gt;=14/24,R$9&lt;20/24)</formula>
    </cfRule>
    <cfRule type="expression" dxfId="9334" priority="560">
      <formula>AND(R$9&gt;=8/24,R$9&lt;14/24)</formula>
    </cfRule>
    <cfRule type="expression" dxfId="9333" priority="561">
      <formula>R$9&lt;8/24</formula>
    </cfRule>
  </conditionalFormatting>
  <conditionalFormatting sqref="R53:AA58 AB58:AF58">
    <cfRule type="expression" dxfId="9332" priority="557">
      <formula>R53&gt;$AG53</formula>
    </cfRule>
  </conditionalFormatting>
  <conditionalFormatting sqref="C97:AF97 D88:AF88">
    <cfRule type="expression" dxfId="9331" priority="553">
      <formula>C$9&gt;=20/24</formula>
    </cfRule>
    <cfRule type="expression" dxfId="9330" priority="554">
      <formula>AND(C$9&gt;=14/24,C$9&lt;20/24)</formula>
    </cfRule>
    <cfRule type="expression" dxfId="9329" priority="555">
      <formula>AND(C$9&gt;=8/24,C$9&lt;14/24)</formula>
    </cfRule>
    <cfRule type="expression" dxfId="9328" priority="556">
      <formula>C$9&lt;8/24</formula>
    </cfRule>
  </conditionalFormatting>
  <conditionalFormatting sqref="T47:W47">
    <cfRule type="expression" dxfId="9327" priority="549">
      <formula>T$9&gt;=20/24</formula>
    </cfRule>
    <cfRule type="expression" dxfId="9326" priority="550">
      <formula>AND(T$9&gt;=14/24,T$9&lt;20/24)</formula>
    </cfRule>
    <cfRule type="expression" dxfId="9325" priority="551">
      <formula>AND(T$9&gt;=8/24,T$9&lt;14/24)</formula>
    </cfRule>
    <cfRule type="expression" dxfId="9324" priority="552">
      <formula>T$9&lt;8/24</formula>
    </cfRule>
  </conditionalFormatting>
  <conditionalFormatting sqref="T47:W47">
    <cfRule type="expression" dxfId="9323" priority="548">
      <formula>T47&gt;$AG47</formula>
    </cfRule>
  </conditionalFormatting>
  <conditionalFormatting sqref="E54:L55">
    <cfRule type="expression" dxfId="9322" priority="544">
      <formula>E$9&gt;=20/24</formula>
    </cfRule>
    <cfRule type="expression" dxfId="9321" priority="545">
      <formula>AND(E$9&gt;=14/24,E$9&lt;20/24)</formula>
    </cfRule>
    <cfRule type="expression" dxfId="9320" priority="546">
      <formula>AND(E$9&gt;=8/24,E$9&lt;14/24)</formula>
    </cfRule>
    <cfRule type="expression" dxfId="9319" priority="547">
      <formula>E$9&lt;8/24</formula>
    </cfRule>
  </conditionalFormatting>
  <conditionalFormatting sqref="E53:L53">
    <cfRule type="expression" dxfId="9318" priority="540">
      <formula>E$9&gt;=20/24</formula>
    </cfRule>
    <cfRule type="expression" dxfId="9317" priority="541">
      <formula>AND(E$9&gt;=14/24,E$9&lt;20/24)</formula>
    </cfRule>
    <cfRule type="expression" dxfId="9316" priority="542">
      <formula>AND(E$9&gt;=8/24,E$9&lt;14/24)</formula>
    </cfRule>
    <cfRule type="expression" dxfId="9315" priority="543">
      <formula>E$9&lt;8/24</formula>
    </cfRule>
  </conditionalFormatting>
  <conditionalFormatting sqref="E53:L55">
    <cfRule type="expression" dxfId="9314" priority="539">
      <formula>E53&gt;$AG53</formula>
    </cfRule>
  </conditionalFormatting>
  <conditionalFormatting sqref="AG70 AG87 E100:L106 Q67:X69">
    <cfRule type="expression" dxfId="9313" priority="535">
      <formula>E$9&gt;=20/24</formula>
    </cfRule>
    <cfRule type="expression" dxfId="9312" priority="536">
      <formula>AND(E$9&gt;=14/24,E$9&lt;20/24)</formula>
    </cfRule>
    <cfRule type="expression" dxfId="9311" priority="537">
      <formula>AND(E$9&gt;=8/24,E$9&lt;14/24)</formula>
    </cfRule>
    <cfRule type="expression" dxfId="9310" priority="538">
      <formula>E$9&lt;8/24</formula>
    </cfRule>
  </conditionalFormatting>
  <conditionalFormatting sqref="AG48 AG66 AG70 Q67:X69">
    <cfRule type="expression" dxfId="9309" priority="534">
      <formula>Q48&gt;$AG48</formula>
    </cfRule>
  </conditionalFormatting>
  <conditionalFormatting sqref="A43">
    <cfRule type="expression" dxfId="9308" priority="528">
      <formula>$AH43=0</formula>
    </cfRule>
  </conditionalFormatting>
  <conditionalFormatting sqref="X91:AF95">
    <cfRule type="expression" dxfId="9307" priority="524">
      <formula>X$9&gt;=20/24</formula>
    </cfRule>
    <cfRule type="expression" dxfId="9306" priority="525">
      <formula>AND(X$9&gt;=14/24,X$9&lt;20/24)</formula>
    </cfRule>
    <cfRule type="expression" dxfId="9305" priority="526">
      <formula>AND(X$9&gt;=8/24,X$9&lt;14/24)</formula>
    </cfRule>
    <cfRule type="expression" dxfId="9304" priority="527">
      <formula>X$9&lt;8/24</formula>
    </cfRule>
  </conditionalFormatting>
  <conditionalFormatting sqref="AL45 AL41 AL22:AL32 AL38:AL39 AL7:AL15 AL17:AL20 AL34:AL36">
    <cfRule type="iconSet" priority="625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9303" priority="520">
      <formula>E$9&gt;=20/24</formula>
    </cfRule>
    <cfRule type="expression" dxfId="9302" priority="521">
      <formula>AND(E$9&gt;=14/24,E$9&lt;20/24)</formula>
    </cfRule>
    <cfRule type="expression" dxfId="9301" priority="522">
      <formula>AND(E$9&gt;=8/24,E$9&lt;14/24)</formula>
    </cfRule>
    <cfRule type="expression" dxfId="9300" priority="523">
      <formula>E$9&lt;8/24</formula>
    </cfRule>
  </conditionalFormatting>
  <conditionalFormatting sqref="E49:AF51">
    <cfRule type="expression" dxfId="9299" priority="519">
      <formula>E49&gt;$AG49</formula>
    </cfRule>
  </conditionalFormatting>
  <conditionalFormatting sqref="AG52">
    <cfRule type="expression" dxfId="9298" priority="515">
      <formula>AG$9&gt;=20/24</formula>
    </cfRule>
    <cfRule type="expression" dxfId="9297" priority="516">
      <formula>AND(AG$9&gt;=14/24,AG$9&lt;20/24)</formula>
    </cfRule>
    <cfRule type="expression" dxfId="9296" priority="517">
      <formula>AND(AG$9&gt;=8/24,AG$9&lt;14/24)</formula>
    </cfRule>
    <cfRule type="expression" dxfId="9295" priority="518">
      <formula>AG$9&lt;8/24</formula>
    </cfRule>
  </conditionalFormatting>
  <conditionalFormatting sqref="AG52">
    <cfRule type="expression" dxfId="9294" priority="514">
      <formula>AG52&gt;$AG52</formula>
    </cfRule>
  </conditionalFormatting>
  <conditionalFormatting sqref="C107:AF107">
    <cfRule type="expression" dxfId="9293" priority="510">
      <formula>C$9&gt;=20/24</formula>
    </cfRule>
    <cfRule type="expression" dxfId="9292" priority="511">
      <formula>AND(C$9&gt;=14/24,C$9&lt;20/24)</formula>
    </cfRule>
    <cfRule type="expression" dxfId="9291" priority="512">
      <formula>AND(C$9&gt;=8/24,C$9&lt;14/24)</formula>
    </cfRule>
    <cfRule type="expression" dxfId="9290" priority="513">
      <formula>C$9&lt;8/24</formula>
    </cfRule>
  </conditionalFormatting>
  <conditionalFormatting sqref="AL40">
    <cfRule type="iconSet" priority="509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289" priority="508">
      <formula>$AH40=0</formula>
    </cfRule>
  </conditionalFormatting>
  <conditionalFormatting sqref="A90">
    <cfRule type="expression" dxfId="9288" priority="506">
      <formula>$AH90=0</formula>
    </cfRule>
  </conditionalFormatting>
  <conditionalFormatting sqref="A87">
    <cfRule type="expression" dxfId="9287" priority="507">
      <formula>$AH87=0</formula>
    </cfRule>
  </conditionalFormatting>
  <conditionalFormatting sqref="D110:AF110">
    <cfRule type="expression" dxfId="9286" priority="502">
      <formula>D$9&gt;=20/24</formula>
    </cfRule>
    <cfRule type="expression" dxfId="9285" priority="503">
      <formula>AND(D$9&gt;=14/24,D$9&lt;20/24)</formula>
    </cfRule>
    <cfRule type="expression" dxfId="9284" priority="504">
      <formula>AND(D$9&gt;=8/24,D$9&lt;14/24)</formula>
    </cfRule>
    <cfRule type="expression" dxfId="9283" priority="505">
      <formula>D$9&lt;8/24</formula>
    </cfRule>
  </conditionalFormatting>
  <conditionalFormatting sqref="A110">
    <cfRule type="expression" dxfId="9282" priority="501">
      <formula>$AH110=0</formula>
    </cfRule>
  </conditionalFormatting>
  <conditionalFormatting sqref="A21">
    <cfRule type="expression" dxfId="9281" priority="499">
      <formula>$AH21=0</formula>
    </cfRule>
  </conditionalFormatting>
  <conditionalFormatting sqref="AL21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280" priority="497">
      <formula>$AH37=0</formula>
    </cfRule>
  </conditionalFormatting>
  <conditionalFormatting sqref="AL37">
    <cfRule type="iconSet" priority="498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9279" priority="493">
      <formula>Y$9&gt;=20/24</formula>
    </cfRule>
    <cfRule type="expression" dxfId="9278" priority="494">
      <formula>AND(Y$9&gt;=14/24,Y$9&lt;20/24)</formula>
    </cfRule>
    <cfRule type="expression" dxfId="9277" priority="495">
      <formula>AND(Y$9&gt;=8/24,Y$9&lt;14/24)</formula>
    </cfRule>
    <cfRule type="expression" dxfId="9276" priority="496">
      <formula>Y$9&lt;8/24</formula>
    </cfRule>
  </conditionalFormatting>
  <conditionalFormatting sqref="Y100:AC106">
    <cfRule type="expression" dxfId="9275" priority="489">
      <formula>Y$9&gt;=20/24</formula>
    </cfRule>
    <cfRule type="expression" dxfId="9274" priority="490">
      <formula>AND(Y$9&gt;=14/24,Y$9&lt;20/24)</formula>
    </cfRule>
    <cfRule type="expression" dxfId="9273" priority="491">
      <formula>AND(Y$9&gt;=8/24,Y$9&lt;14/24)</formula>
    </cfRule>
    <cfRule type="expression" dxfId="9272" priority="492">
      <formula>Y$9&lt;8/24</formula>
    </cfRule>
  </conditionalFormatting>
  <conditionalFormatting sqref="C109 C111:C116">
    <cfRule type="expression" dxfId="9271" priority="485">
      <formula>C$9&gt;=20/24</formula>
    </cfRule>
    <cfRule type="expression" dxfId="9270" priority="486">
      <formula>AND(C$9&gt;=14/24,C$9&lt;20/24)</formula>
    </cfRule>
    <cfRule type="expression" dxfId="9269" priority="487">
      <formula>AND(C$9&gt;=8/24,C$9&lt;14/24)</formula>
    </cfRule>
    <cfRule type="expression" dxfId="9268" priority="488">
      <formula>C$9&lt;8/24</formula>
    </cfRule>
  </conditionalFormatting>
  <conditionalFormatting sqref="D47:S47">
    <cfRule type="expression" dxfId="9267" priority="481">
      <formula>D$9&gt;=20/24</formula>
    </cfRule>
    <cfRule type="expression" dxfId="9266" priority="482">
      <formula>AND(D$9&gt;=14/24,D$9&lt;20/24)</formula>
    </cfRule>
    <cfRule type="expression" dxfId="9265" priority="483">
      <formula>AND(D$9&gt;=8/24,D$9&lt;14/24)</formula>
    </cfRule>
    <cfRule type="expression" dxfId="9264" priority="484">
      <formula>D$9&lt;8/24</formula>
    </cfRule>
  </conditionalFormatting>
  <conditionalFormatting sqref="D47:S47">
    <cfRule type="expression" dxfId="9263" priority="480">
      <formula>D47&gt;$AG47</formula>
    </cfRule>
  </conditionalFormatting>
  <conditionalFormatting sqref="C99:D99">
    <cfRule type="expression" dxfId="9262" priority="476">
      <formula>C$9&gt;=20/24</formula>
    </cfRule>
    <cfRule type="expression" dxfId="9261" priority="477">
      <formula>AND(C$9&gt;=14/24,C$9&lt;20/24)</formula>
    </cfRule>
    <cfRule type="expression" dxfId="9260" priority="478">
      <formula>AND(C$9&gt;=8/24,C$9&lt;14/24)</formula>
    </cfRule>
    <cfRule type="expression" dxfId="9259" priority="479">
      <formula>C$9&lt;8/24</formula>
    </cfRule>
  </conditionalFormatting>
  <conditionalFormatting sqref="C86 C96:W96 C83:AF85 C100:D106 E67:P69 E74:X76 Y75:AF76">
    <cfRule type="expression" dxfId="9258" priority="472">
      <formula>C$9&gt;=20/24</formula>
    </cfRule>
    <cfRule type="expression" dxfId="9257" priority="473">
      <formula>AND(C$9&gt;=14/24,C$9&lt;20/24)</formula>
    </cfRule>
    <cfRule type="expression" dxfId="9256" priority="474">
      <formula>AND(C$9&gt;=8/24,C$9&lt;14/24)</formula>
    </cfRule>
    <cfRule type="expression" dxfId="9255" priority="475">
      <formula>C$9&lt;8/24</formula>
    </cfRule>
  </conditionalFormatting>
  <conditionalFormatting sqref="E56:L57 E67:P69">
    <cfRule type="expression" dxfId="9254" priority="471">
      <formula>E56&gt;$AG56</formula>
    </cfRule>
  </conditionalFormatting>
  <conditionalFormatting sqref="E58:P58">
    <cfRule type="expression" dxfId="9253" priority="467">
      <formula>E$9&gt;=20/24</formula>
    </cfRule>
    <cfRule type="expression" dxfId="9252" priority="468">
      <formula>AND(E$9&gt;=14/24,E$9&lt;20/24)</formula>
    </cfRule>
    <cfRule type="expression" dxfId="9251" priority="469">
      <formula>AND(E$9&gt;=8/24,E$9&lt;14/24)</formula>
    </cfRule>
    <cfRule type="expression" dxfId="9250" priority="470">
      <formula>E$9&lt;8/24</formula>
    </cfRule>
  </conditionalFormatting>
  <conditionalFormatting sqref="E58:P58">
    <cfRule type="expression" dxfId="9249" priority="466">
      <formula>E58&gt;$AG58</formula>
    </cfRule>
  </conditionalFormatting>
  <conditionalFormatting sqref="C54:D57 C71:D71">
    <cfRule type="expression" dxfId="9248" priority="390">
      <formula>C$9&gt;=20/24</formula>
    </cfRule>
    <cfRule type="expression" dxfId="9247" priority="391">
      <formula>AND(C$9&gt;=14/24,C$9&lt;20/24)</formula>
    </cfRule>
    <cfRule type="expression" dxfId="9246" priority="392">
      <formula>AND(C$9&gt;=8/24,C$9&lt;14/24)</formula>
    </cfRule>
    <cfRule type="expression" dxfId="9245" priority="393">
      <formula>C$9&lt;8/24</formula>
    </cfRule>
  </conditionalFormatting>
  <conditionalFormatting sqref="S46:AF46">
    <cfRule type="expression" dxfId="9244" priority="462">
      <formula>S$9&gt;=20/24</formula>
    </cfRule>
    <cfRule type="expression" dxfId="9243" priority="463">
      <formula>AND(S$9&gt;=14/24,S$9&lt;20/24)</formula>
    </cfRule>
    <cfRule type="expression" dxfId="9242" priority="464">
      <formula>AND(S$9&gt;=8/24,S$9&lt;14/24)</formula>
    </cfRule>
    <cfRule type="expression" dxfId="9241" priority="465">
      <formula>S$9&lt;8/24</formula>
    </cfRule>
  </conditionalFormatting>
  <conditionalFormatting sqref="S46:AF46">
    <cfRule type="expression" dxfId="9240" priority="461">
      <formula>S46&gt;$AG46</formula>
    </cfRule>
  </conditionalFormatting>
  <conditionalFormatting sqref="C87:AF87 C89:AF89 C98:AF98 C70:AF70">
    <cfRule type="expression" dxfId="9239" priority="457">
      <formula>C$9&gt;=20/24</formula>
    </cfRule>
    <cfRule type="expression" dxfId="9238" priority="458">
      <formula>AND(C$9&gt;=14/24,C$9&lt;20/24)</formula>
    </cfRule>
    <cfRule type="expression" dxfId="9237" priority="459">
      <formula>AND(C$9&gt;=8/24,C$9&lt;14/24)</formula>
    </cfRule>
    <cfRule type="expression" dxfId="9236" priority="460">
      <formula>C$9&lt;8/24</formula>
    </cfRule>
  </conditionalFormatting>
  <conditionalFormatting sqref="C70:AF70 C65:AF66 D48:AF48">
    <cfRule type="expression" dxfId="9235" priority="456">
      <formula>C48&gt;$AG48</formula>
    </cfRule>
  </conditionalFormatting>
  <conditionalFormatting sqref="C82:AF82">
    <cfRule type="expression" dxfId="9234" priority="452">
      <formula>C$9&gt;=20/24</formula>
    </cfRule>
    <cfRule type="expression" dxfId="9233" priority="453">
      <formula>AND(C$9&gt;=14/24,C$9&lt;20/24)</formula>
    </cfRule>
    <cfRule type="expression" dxfId="9232" priority="454">
      <formula>AND(C$9&gt;=8/24,C$9&lt;14/24)</formula>
    </cfRule>
    <cfRule type="expression" dxfId="9231" priority="455">
      <formula>C$9&lt;8/24</formula>
    </cfRule>
  </conditionalFormatting>
  <conditionalFormatting sqref="C91:W95">
    <cfRule type="expression" dxfId="9230" priority="448">
      <formula>C$9&gt;=20/24</formula>
    </cfRule>
    <cfRule type="expression" dxfId="9229" priority="449">
      <formula>AND(C$9&gt;=14/24,C$9&lt;20/24)</formula>
    </cfRule>
    <cfRule type="expression" dxfId="9228" priority="450">
      <formula>AND(C$9&gt;=8/24,C$9&lt;14/24)</formula>
    </cfRule>
    <cfRule type="expression" dxfId="9227" priority="451">
      <formula>C$9&lt;8/24</formula>
    </cfRule>
  </conditionalFormatting>
  <conditionalFormatting sqref="C52:AF52">
    <cfRule type="expression" dxfId="9226" priority="444">
      <formula>C$9&gt;=20/24</formula>
    </cfRule>
    <cfRule type="expression" dxfId="9225" priority="445">
      <formula>AND(C$9&gt;=14/24,C$9&lt;20/24)</formula>
    </cfRule>
    <cfRule type="expression" dxfId="9224" priority="446">
      <formula>AND(C$9&gt;=8/24,C$9&lt;14/24)</formula>
    </cfRule>
    <cfRule type="expression" dxfId="9223" priority="447">
      <formula>C$9&lt;8/24</formula>
    </cfRule>
  </conditionalFormatting>
  <conditionalFormatting sqref="C52:AF52">
    <cfRule type="expression" dxfId="9222" priority="443">
      <formula>C52&gt;$AG52</formula>
    </cfRule>
  </conditionalFormatting>
  <conditionalFormatting sqref="D49:D51">
    <cfRule type="expression" dxfId="9221" priority="358">
      <formula>D$9&gt;=20/24</formula>
    </cfRule>
    <cfRule type="expression" dxfId="9220" priority="359">
      <formula>AND(D$9&gt;=14/24,D$9&lt;20/24)</formula>
    </cfRule>
    <cfRule type="expression" dxfId="9219" priority="360">
      <formula>AND(D$9&gt;=8/24,D$9&lt;14/24)</formula>
    </cfRule>
    <cfRule type="expression" dxfId="9218" priority="361">
      <formula>D$9&lt;8/24</formula>
    </cfRule>
  </conditionalFormatting>
  <conditionalFormatting sqref="C110">
    <cfRule type="expression" dxfId="9217" priority="435">
      <formula>C$9&gt;=20/24</formula>
    </cfRule>
    <cfRule type="expression" dxfId="9216" priority="436">
      <formula>AND(C$9&gt;=14/24,C$9&lt;20/24)</formula>
    </cfRule>
    <cfRule type="expression" dxfId="9215" priority="437">
      <formula>AND(C$9&gt;=8/24,C$9&lt;14/24)</formula>
    </cfRule>
    <cfRule type="expression" dxfId="9214" priority="438">
      <formula>C$9&lt;8/24</formula>
    </cfRule>
  </conditionalFormatting>
  <conditionalFormatting sqref="J59:P59 Q59:AF64">
    <cfRule type="expression" dxfId="9213" priority="431">
      <formula>J$9&gt;=20/24</formula>
    </cfRule>
    <cfRule type="expression" dxfId="9212" priority="432">
      <formula>AND(J$9&gt;=14/24,J$9&lt;20/24)</formula>
    </cfRule>
    <cfRule type="expression" dxfId="9211" priority="433">
      <formula>AND(J$9&gt;=8/24,J$9&lt;14/24)</formula>
    </cfRule>
    <cfRule type="expression" dxfId="9210" priority="434">
      <formula>J$9&lt;8/24</formula>
    </cfRule>
  </conditionalFormatting>
  <conditionalFormatting sqref="J59:P59 Q59:AF64">
    <cfRule type="expression" dxfId="9209" priority="430">
      <formula>J59&gt;$AG59</formula>
    </cfRule>
  </conditionalFormatting>
  <conditionalFormatting sqref="R13:AF13">
    <cfRule type="expression" dxfId="9208" priority="429">
      <formula>R13&gt;$AG13</formula>
    </cfRule>
  </conditionalFormatting>
  <conditionalFormatting sqref="R12:AF12">
    <cfRule type="expression" dxfId="9207" priority="425">
      <formula>R$9&gt;=20/24</formula>
    </cfRule>
    <cfRule type="expression" dxfId="9206" priority="426">
      <formula>AND(R$9&gt;=14/24,R$9&lt;20/24)</formula>
    </cfRule>
    <cfRule type="expression" dxfId="9205" priority="427">
      <formula>AND(R$9&gt;=8/24,R$9&lt;14/24)</formula>
    </cfRule>
    <cfRule type="expression" dxfId="9204" priority="428">
      <formula>R$9&lt;8/24</formula>
    </cfRule>
  </conditionalFormatting>
  <conditionalFormatting sqref="R12:AF12">
    <cfRule type="expression" dxfId="9203" priority="424">
      <formula>R12&gt;$AG12</formula>
    </cfRule>
  </conditionalFormatting>
  <conditionalFormatting sqref="R13:AF13">
    <cfRule type="expression" dxfId="9202" priority="420">
      <formula>R$9&gt;=20/24</formula>
    </cfRule>
    <cfRule type="expression" dxfId="9201" priority="421">
      <formula>AND(R$9&gt;=14/24,R$9&lt;20/24)</formula>
    </cfRule>
    <cfRule type="expression" dxfId="9200" priority="422">
      <formula>AND(R$9&gt;=8/24,R$9&lt;14/24)</formula>
    </cfRule>
    <cfRule type="expression" dxfId="9199" priority="423">
      <formula>R$9&lt;8/24</formula>
    </cfRule>
  </conditionalFormatting>
  <conditionalFormatting sqref="E77:AF81">
    <cfRule type="expression" dxfId="9198" priority="412">
      <formula>E$9&gt;=20/24</formula>
    </cfRule>
    <cfRule type="expression" dxfId="9197" priority="413">
      <formula>AND(E$9&gt;=14/24,E$9&lt;20/24)</formula>
    </cfRule>
    <cfRule type="expression" dxfId="9196" priority="414">
      <formula>AND(E$9&gt;=8/24,E$9&lt;14/24)</formula>
    </cfRule>
    <cfRule type="expression" dxfId="9195" priority="415">
      <formula>E$9&lt;8/24</formula>
    </cfRule>
  </conditionalFormatting>
  <conditionalFormatting sqref="AL78:AN78 AL84:AN84 AN79:AN80">
    <cfRule type="expression" dxfId="9194" priority="408">
      <formula>AL$9&gt;=20/24</formula>
    </cfRule>
    <cfRule type="expression" dxfId="9193" priority="409">
      <formula>AND(AL$9&gt;=14/24,AL$9&lt;20/24)</formula>
    </cfRule>
    <cfRule type="expression" dxfId="9192" priority="410">
      <formula>AND(AL$9&gt;=8/24,AL$9&lt;14/24)</formula>
    </cfRule>
    <cfRule type="expression" dxfId="9191" priority="411">
      <formula>AL$9&lt;8/24</formula>
    </cfRule>
  </conditionalFormatting>
  <conditionalFormatting sqref="AN81:AN82">
    <cfRule type="expression" dxfId="9190" priority="404">
      <formula>AN$9&gt;=20/24</formula>
    </cfRule>
    <cfRule type="expression" dxfId="9189" priority="405">
      <formula>AND(AN$9&gt;=14/24,AN$9&lt;20/24)</formula>
    </cfRule>
    <cfRule type="expression" dxfId="9188" priority="406">
      <formula>AND(AN$9&gt;=8/24,AN$9&lt;14/24)</formula>
    </cfRule>
    <cfRule type="expression" dxfId="9187" priority="407">
      <formula>AN$9&lt;8/24</formula>
    </cfRule>
  </conditionalFormatting>
  <conditionalFormatting sqref="AL79:AM83">
    <cfRule type="expression" dxfId="9186" priority="626">
      <formula>AJ$9&gt;=20/24</formula>
    </cfRule>
    <cfRule type="expression" dxfId="9185" priority="627">
      <formula>AND(AJ$9&gt;=14/24,AJ$9&lt;20/24)</formula>
    </cfRule>
    <cfRule type="expression" dxfId="9184" priority="628">
      <formula>AND(AJ$9&gt;=8/24,AJ$9&lt;14/24)</formula>
    </cfRule>
    <cfRule type="expression" dxfId="9183" priority="629">
      <formula>AJ$9&lt;8/24</formula>
    </cfRule>
  </conditionalFormatting>
  <conditionalFormatting sqref="A117">
    <cfRule type="expression" dxfId="9182" priority="403">
      <formula>$AH117=0</formula>
    </cfRule>
  </conditionalFormatting>
  <conditionalFormatting sqref="C53:D53">
    <cfRule type="expression" dxfId="9181" priority="386">
      <formula>C$9&gt;=20/24</formula>
    </cfRule>
    <cfRule type="expression" dxfId="9180" priority="387">
      <formula>AND(C$9&gt;=14/24,C$9&lt;20/24)</formula>
    </cfRule>
    <cfRule type="expression" dxfId="9179" priority="388">
      <formula>AND(C$9&gt;=8/24,C$9&lt;14/24)</formula>
    </cfRule>
    <cfRule type="expression" dxfId="9178" priority="389">
      <formula>C$9&lt;8/24</formula>
    </cfRule>
  </conditionalFormatting>
  <conditionalFormatting sqref="C53:D57">
    <cfRule type="expression" dxfId="9177" priority="385">
      <formula>C53&gt;$AG53</formula>
    </cfRule>
  </conditionalFormatting>
  <conditionalFormatting sqref="C67:D69 C72:D74">
    <cfRule type="expression" dxfId="9176" priority="381">
      <formula>C$9&gt;=20/24</formula>
    </cfRule>
    <cfRule type="expression" dxfId="9175" priority="382">
      <formula>AND(C$9&gt;=14/24,C$9&lt;20/24)</formula>
    </cfRule>
    <cfRule type="expression" dxfId="9174" priority="383">
      <formula>AND(C$9&gt;=8/24,C$9&lt;14/24)</formula>
    </cfRule>
    <cfRule type="expression" dxfId="9173" priority="384">
      <formula>C$9&lt;8/24</formula>
    </cfRule>
  </conditionalFormatting>
  <conditionalFormatting sqref="C67:D69">
    <cfRule type="expression" dxfId="9172" priority="380">
      <formula>C67&gt;$AG67</formula>
    </cfRule>
  </conditionalFormatting>
  <conditionalFormatting sqref="C88">
    <cfRule type="expression" dxfId="9171" priority="376">
      <formula>C$9&gt;=20/24</formula>
    </cfRule>
    <cfRule type="expression" dxfId="9170" priority="377">
      <formula>AND(C$9&gt;=14/24,C$9&lt;20/24)</formula>
    </cfRule>
    <cfRule type="expression" dxfId="9169" priority="378">
      <formula>AND(C$9&gt;=8/24,C$9&lt;14/24)</formula>
    </cfRule>
    <cfRule type="expression" dxfId="9168" priority="379">
      <formula>C$9&lt;8/24</formula>
    </cfRule>
  </conditionalFormatting>
  <conditionalFormatting sqref="F46:R46">
    <cfRule type="expression" dxfId="9167" priority="372">
      <formula>F$9&gt;=20/24</formula>
    </cfRule>
    <cfRule type="expression" dxfId="9166" priority="373">
      <formula>AND(F$9&gt;=14/24,F$9&lt;20/24)</formula>
    </cfRule>
    <cfRule type="expression" dxfId="9165" priority="374">
      <formula>AND(F$9&gt;=8/24,F$9&lt;14/24)</formula>
    </cfRule>
    <cfRule type="expression" dxfId="9164" priority="375">
      <formula>F$9&lt;8/24</formula>
    </cfRule>
  </conditionalFormatting>
  <conditionalFormatting sqref="F46:R46">
    <cfRule type="expression" dxfId="9163" priority="371">
      <formula>F46&gt;$AG46</formula>
    </cfRule>
  </conditionalFormatting>
  <conditionalFormatting sqref="D58">
    <cfRule type="expression" dxfId="9162" priority="367">
      <formula>D$9&gt;=20/24</formula>
    </cfRule>
    <cfRule type="expression" dxfId="9161" priority="368">
      <formula>AND(D$9&gt;=14/24,D$9&lt;20/24)</formula>
    </cfRule>
    <cfRule type="expression" dxfId="9160" priority="369">
      <formula>AND(D$9&gt;=8/24,D$9&lt;14/24)</formula>
    </cfRule>
    <cfRule type="expression" dxfId="9159" priority="370">
      <formula>D$9&lt;8/24</formula>
    </cfRule>
  </conditionalFormatting>
  <conditionalFormatting sqref="D58">
    <cfRule type="expression" dxfId="9158" priority="366">
      <formula>D58&gt;$AG58</formula>
    </cfRule>
  </conditionalFormatting>
  <conditionalFormatting sqref="D49:D51">
    <cfRule type="expression" dxfId="9157" priority="357">
      <formula>D49&gt;$AG49</formula>
    </cfRule>
  </conditionalFormatting>
  <conditionalFormatting sqref="C75:D76">
    <cfRule type="expression" dxfId="9156" priority="345">
      <formula>C$9&gt;=20/24</formula>
    </cfRule>
    <cfRule type="expression" dxfId="9155" priority="346">
      <formula>AND(C$9&gt;=14/24,C$9&lt;20/24)</formula>
    </cfRule>
    <cfRule type="expression" dxfId="9154" priority="347">
      <formula>AND(C$9&gt;=8/24,C$9&lt;14/24)</formula>
    </cfRule>
    <cfRule type="expression" dxfId="9153" priority="348">
      <formula>C$9&lt;8/24</formula>
    </cfRule>
  </conditionalFormatting>
  <conditionalFormatting sqref="D59:I59">
    <cfRule type="expression" dxfId="9152" priority="323">
      <formula>D$9&gt;=20/24</formula>
    </cfRule>
    <cfRule type="expression" dxfId="9151" priority="324">
      <formula>AND(D$9&gt;=14/24,D$9&lt;20/24)</formula>
    </cfRule>
    <cfRule type="expression" dxfId="9150" priority="325">
      <formula>AND(D$9&gt;=8/24,D$9&lt;14/24)</formula>
    </cfRule>
    <cfRule type="expression" dxfId="9149" priority="326">
      <formula>D$9&lt;8/24</formula>
    </cfRule>
  </conditionalFormatting>
  <conditionalFormatting sqref="D59:I59">
    <cfRule type="expression" dxfId="9148" priority="322">
      <formula>D59&gt;$AG59</formula>
    </cfRule>
  </conditionalFormatting>
  <conditionalFormatting sqref="C77:D81">
    <cfRule type="expression" dxfId="9147" priority="318">
      <formula>C$9&gt;=20/24</formula>
    </cfRule>
    <cfRule type="expression" dxfId="9146" priority="319">
      <formula>AND(C$9&gt;=14/24,C$9&lt;20/24)</formula>
    </cfRule>
    <cfRule type="expression" dxfId="9145" priority="320">
      <formula>AND(C$9&gt;=8/24,C$9&lt;14/24)</formula>
    </cfRule>
    <cfRule type="expression" dxfId="9144" priority="321">
      <formula>C$9&lt;8/24</formula>
    </cfRule>
  </conditionalFormatting>
  <conditionalFormatting sqref="A11">
    <cfRule type="expression" dxfId="9143" priority="317">
      <formula>$AH11=0</formula>
    </cfRule>
  </conditionalFormatting>
  <conditionalFormatting sqref="R11:AF11">
    <cfRule type="expression" dxfId="9142" priority="313">
      <formula>R$9&gt;=20/24</formula>
    </cfRule>
    <cfRule type="expression" dxfId="9141" priority="314">
      <formula>AND(R$9&gt;=14/24,R$9&lt;20/24)</formula>
    </cfRule>
    <cfRule type="expression" dxfId="9140" priority="315">
      <formula>AND(R$9&gt;=8/24,R$9&lt;14/24)</formula>
    </cfRule>
    <cfRule type="expression" dxfId="9139" priority="316">
      <formula>R$9&lt;8/24</formula>
    </cfRule>
  </conditionalFormatting>
  <conditionalFormatting sqref="R11:AF11">
    <cfRule type="expression" dxfId="9138" priority="312">
      <formula>R11&gt;$AG11</formula>
    </cfRule>
  </conditionalFormatting>
  <conditionalFormatting sqref="A16">
    <cfRule type="expression" dxfId="9137" priority="305">
      <formula>$AH16=0</formula>
    </cfRule>
  </conditionalFormatting>
  <conditionalFormatting sqref="AL16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9136" priority="293">
      <formula>$AH33=0</formula>
    </cfRule>
  </conditionalFormatting>
  <conditionalFormatting sqref="AL33">
    <cfRule type="iconSet" priority="294">
      <iconSet iconSet="3TrafficLights2" reverse="1">
        <cfvo type="percent" val="0"/>
        <cfvo type="num" val="1"/>
        <cfvo type="num" val="1"/>
      </iconSet>
    </cfRule>
  </conditionalFormatting>
  <conditionalFormatting sqref="A44">
    <cfRule type="expression" dxfId="9135" priority="281">
      <formula>$AH44=0</formula>
    </cfRule>
  </conditionalFormatting>
  <conditionalFormatting sqref="AL44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D117:AF117">
    <cfRule type="expression" dxfId="9134" priority="267">
      <formula>D$9&gt;=20/24</formula>
    </cfRule>
    <cfRule type="expression" dxfId="9133" priority="268">
      <formula>AND(D$9&gt;=14/24,D$9&lt;20/24)</formula>
    </cfRule>
    <cfRule type="expression" dxfId="9132" priority="269">
      <formula>AND(D$9&gt;=8/24,D$9&lt;14/24)</formula>
    </cfRule>
    <cfRule type="expression" dxfId="9131" priority="270">
      <formula>D$9&lt;8/24</formula>
    </cfRule>
  </conditionalFormatting>
  <conditionalFormatting sqref="C117">
    <cfRule type="expression" dxfId="9130" priority="263">
      <formula>C$9&gt;=20/24</formula>
    </cfRule>
    <cfRule type="expression" dxfId="9129" priority="264">
      <formula>AND(C$9&gt;=14/24,C$9&lt;20/24)</formula>
    </cfRule>
    <cfRule type="expression" dxfId="9128" priority="265">
      <formula>AND(C$9&gt;=8/24,C$9&lt;14/24)</formula>
    </cfRule>
    <cfRule type="expression" dxfId="9127" priority="266">
      <formula>C$9&lt;8/24</formula>
    </cfRule>
  </conditionalFormatting>
  <conditionalFormatting sqref="B109 B111:B116">
    <cfRule type="expression" dxfId="9126" priority="126">
      <formula>B$9&gt;=20/24</formula>
    </cfRule>
    <cfRule type="expression" dxfId="9125" priority="127">
      <formula>AND(B$9&gt;=14/24,B$9&lt;20/24)</formula>
    </cfRule>
    <cfRule type="expression" dxfId="9124" priority="128">
      <formula>AND(B$9&gt;=8/24,B$9&lt;14/24)</formula>
    </cfRule>
    <cfRule type="expression" dxfId="9123" priority="129">
      <formula>B$9&lt;8/24</formula>
    </cfRule>
  </conditionalFormatting>
  <conditionalFormatting sqref="B99">
    <cfRule type="expression" dxfId="9122" priority="122">
      <formula>B$9&gt;=20/24</formula>
    </cfRule>
    <cfRule type="expression" dxfId="9121" priority="123">
      <formula>AND(B$9&gt;=14/24,B$9&lt;20/24)</formula>
    </cfRule>
    <cfRule type="expression" dxfId="9120" priority="124">
      <formula>AND(B$9&gt;=8/24,B$9&lt;14/24)</formula>
    </cfRule>
    <cfRule type="expression" dxfId="9119" priority="125">
      <formula>B$9&lt;8/24</formula>
    </cfRule>
  </conditionalFormatting>
  <conditionalFormatting sqref="B71 B54:B57">
    <cfRule type="expression" dxfId="9118" priority="118">
      <formula>B$9&gt;=20/24</formula>
    </cfRule>
    <cfRule type="expression" dxfId="9117" priority="119">
      <formula>AND(B$9&gt;=14/24,B$9&lt;20/24)</formula>
    </cfRule>
    <cfRule type="expression" dxfId="9116" priority="120">
      <formula>AND(B$9&gt;=8/24,B$9&lt;14/24)</formula>
    </cfRule>
    <cfRule type="expression" dxfId="9115" priority="121">
      <formula>B$9&lt;8/24</formula>
    </cfRule>
  </conditionalFormatting>
  <conditionalFormatting sqref="B53">
    <cfRule type="expression" dxfId="9114" priority="114">
      <formula>B$9&gt;=20/24</formula>
    </cfRule>
    <cfRule type="expression" dxfId="9113" priority="115">
      <formula>AND(B$9&gt;=14/24,B$9&lt;20/24)</formula>
    </cfRule>
    <cfRule type="expression" dxfId="9112" priority="116">
      <formula>AND(B$9&gt;=8/24,B$9&lt;14/24)</formula>
    </cfRule>
    <cfRule type="expression" dxfId="9111" priority="117">
      <formula>B$9&lt;8/24</formula>
    </cfRule>
  </conditionalFormatting>
  <conditionalFormatting sqref="B53:B57">
    <cfRule type="expression" dxfId="9110" priority="113">
      <formula>B53&gt;$AG53</formula>
    </cfRule>
  </conditionalFormatting>
  <conditionalFormatting sqref="B96 B100:B106 B86 B72:B74 B47:C47">
    <cfRule type="expression" dxfId="9109" priority="109">
      <formula>B$9&gt;=20/24</formula>
    </cfRule>
    <cfRule type="expression" dxfId="9108" priority="110">
      <formula>AND(B$9&gt;=14/24,B$9&lt;20/24)</formula>
    </cfRule>
    <cfRule type="expression" dxfId="9107" priority="111">
      <formula>AND(B$9&gt;=8/24,B$9&lt;14/24)</formula>
    </cfRule>
    <cfRule type="expression" dxfId="9106" priority="112">
      <formula>B$9&lt;8/24</formula>
    </cfRule>
  </conditionalFormatting>
  <conditionalFormatting sqref="B47:C47">
    <cfRule type="expression" dxfId="9105" priority="108">
      <formula>B47&gt;$AG47</formula>
    </cfRule>
  </conditionalFormatting>
  <conditionalFormatting sqref="B97 B88">
    <cfRule type="expression" dxfId="9104" priority="104">
      <formula>B$9&gt;=20/24</formula>
    </cfRule>
    <cfRule type="expression" dxfId="9103" priority="105">
      <formula>AND(B$9&gt;=14/24,B$9&lt;20/24)</formula>
    </cfRule>
    <cfRule type="expression" dxfId="9102" priority="106">
      <formula>AND(B$9&gt;=8/24,B$9&lt;14/24)</formula>
    </cfRule>
    <cfRule type="expression" dxfId="9101" priority="107">
      <formula>B$9&lt;8/24</formula>
    </cfRule>
  </conditionalFormatting>
  <conditionalFormatting sqref="B58:C58">
    <cfRule type="expression" dxfId="9100" priority="100">
      <formula>B$9&gt;=20/24</formula>
    </cfRule>
    <cfRule type="expression" dxfId="9099" priority="101">
      <formula>AND(B$9&gt;=14/24,B$9&lt;20/24)</formula>
    </cfRule>
    <cfRule type="expression" dxfId="9098" priority="102">
      <formula>AND(B$9&gt;=8/24,B$9&lt;14/24)</formula>
    </cfRule>
    <cfRule type="expression" dxfId="9097" priority="103">
      <formula>B$9&lt;8/24</formula>
    </cfRule>
  </conditionalFormatting>
  <conditionalFormatting sqref="B58:C58">
    <cfRule type="expression" dxfId="9096" priority="99">
      <formula>B58&gt;$AG58</formula>
    </cfRule>
  </conditionalFormatting>
  <conditionalFormatting sqref="B91:B95">
    <cfRule type="expression" dxfId="9095" priority="95">
      <formula>B$9&gt;=20/24</formula>
    </cfRule>
    <cfRule type="expression" dxfId="9094" priority="96">
      <formula>AND(B$9&gt;=14/24,B$9&lt;20/24)</formula>
    </cfRule>
    <cfRule type="expression" dxfId="9093" priority="97">
      <formula>AND(B$9&gt;=8/24,B$9&lt;14/24)</formula>
    </cfRule>
    <cfRule type="expression" dxfId="9092" priority="98">
      <formula>B$9&lt;8/24</formula>
    </cfRule>
  </conditionalFormatting>
  <conditionalFormatting sqref="B49:C51">
    <cfRule type="expression" dxfId="9091" priority="91">
      <formula>B$9&gt;=20/24</formula>
    </cfRule>
    <cfRule type="expression" dxfId="9090" priority="92">
      <formula>AND(B$9&gt;=14/24,B$9&lt;20/24)</formula>
    </cfRule>
    <cfRule type="expression" dxfId="9089" priority="93">
      <formula>AND(B$9&gt;=8/24,B$9&lt;14/24)</formula>
    </cfRule>
    <cfRule type="expression" dxfId="9088" priority="94">
      <formula>B$9&lt;8/24</formula>
    </cfRule>
  </conditionalFormatting>
  <conditionalFormatting sqref="B49:C51">
    <cfRule type="expression" dxfId="9087" priority="90">
      <formula>B49&gt;$AG49</formula>
    </cfRule>
  </conditionalFormatting>
  <conditionalFormatting sqref="B107">
    <cfRule type="expression" dxfId="9086" priority="86">
      <formula>B$9&gt;=20/24</formula>
    </cfRule>
    <cfRule type="expression" dxfId="9085" priority="87">
      <formula>AND(B$9&gt;=14/24,B$9&lt;20/24)</formula>
    </cfRule>
    <cfRule type="expression" dxfId="9084" priority="88">
      <formula>AND(B$9&gt;=8/24,B$9&lt;14/24)</formula>
    </cfRule>
    <cfRule type="expression" dxfId="9083" priority="89">
      <formula>B$9&lt;8/24</formula>
    </cfRule>
  </conditionalFormatting>
  <conditionalFormatting sqref="B110">
    <cfRule type="expression" dxfId="9082" priority="82">
      <formula>B$9&gt;=20/24</formula>
    </cfRule>
    <cfRule type="expression" dxfId="9081" priority="83">
      <formula>AND(B$9&gt;=14/24,B$9&lt;20/24)</formula>
    </cfRule>
    <cfRule type="expression" dxfId="9080" priority="84">
      <formula>AND(B$9&gt;=8/24,B$9&lt;14/24)</formula>
    </cfRule>
    <cfRule type="expression" dxfId="9079" priority="85">
      <formula>B$9&lt;8/24</formula>
    </cfRule>
  </conditionalFormatting>
  <conditionalFormatting sqref="B34:AF43 B29:AF32 B17:AF27">
    <cfRule type="expression" dxfId="9078" priority="78">
      <formula>B$9&gt;=20/24</formula>
    </cfRule>
    <cfRule type="expression" dxfId="9077" priority="79">
      <formula>AND(B$9&gt;=14/24,B$9&lt;20/24)</formula>
    </cfRule>
    <cfRule type="expression" dxfId="9076" priority="80">
      <formula>AND(B$9&gt;=8/24,B$9&lt;14/24)</formula>
    </cfRule>
    <cfRule type="expression" dxfId="9075" priority="81">
      <formula>B$9&lt;8/24</formula>
    </cfRule>
  </conditionalFormatting>
  <conditionalFormatting sqref="B34:AF43 B29:AF32 B17:AF27">
    <cfRule type="expression" dxfId="9074" priority="77">
      <formula>B17&gt;$AG17</formula>
    </cfRule>
  </conditionalFormatting>
  <conditionalFormatting sqref="B83:B85 B67:B69 B75:B81">
    <cfRule type="expression" dxfId="9073" priority="73">
      <formula>B$9&gt;=20/24</formula>
    </cfRule>
    <cfRule type="expression" dxfId="9072" priority="74">
      <formula>AND(B$9&gt;=14/24,B$9&lt;20/24)</formula>
    </cfRule>
    <cfRule type="expression" dxfId="9071" priority="75">
      <formula>AND(B$9&gt;=8/24,B$9&lt;14/24)</formula>
    </cfRule>
    <cfRule type="expression" dxfId="9070" priority="76">
      <formula>B$9&lt;8/24</formula>
    </cfRule>
  </conditionalFormatting>
  <conditionalFormatting sqref="B67:B69">
    <cfRule type="expression" dxfId="9069" priority="72">
      <formula>B67&gt;$AG67</formula>
    </cfRule>
  </conditionalFormatting>
  <conditionalFormatting sqref="B46:E46">
    <cfRule type="expression" dxfId="9068" priority="68">
      <formula>B$9&gt;=20/24</formula>
    </cfRule>
    <cfRule type="expression" dxfId="9067" priority="69">
      <formula>AND(B$9&gt;=14/24,B$9&lt;20/24)</formula>
    </cfRule>
    <cfRule type="expression" dxfId="9066" priority="70">
      <formula>AND(B$9&gt;=8/24,B$9&lt;14/24)</formula>
    </cfRule>
    <cfRule type="expression" dxfId="9065" priority="71">
      <formula>B$9&lt;8/24</formula>
    </cfRule>
  </conditionalFormatting>
  <conditionalFormatting sqref="B46:E46">
    <cfRule type="expression" dxfId="9064" priority="67">
      <formula>B46&gt;$AG46</formula>
    </cfRule>
  </conditionalFormatting>
  <conditionalFormatting sqref="B87 B89 B98 B70">
    <cfRule type="expression" dxfId="9063" priority="63">
      <formula>B$9&gt;=20/24</formula>
    </cfRule>
    <cfRule type="expression" dxfId="9062" priority="64">
      <formula>AND(B$9&gt;=14/24,B$9&lt;20/24)</formula>
    </cfRule>
    <cfRule type="expression" dxfId="9061" priority="65">
      <formula>AND(B$9&gt;=8/24,B$9&lt;14/24)</formula>
    </cfRule>
    <cfRule type="expression" dxfId="9060" priority="66">
      <formula>B$9&lt;8/24</formula>
    </cfRule>
  </conditionalFormatting>
  <conditionalFormatting sqref="B70 B65:B66 B48:C48">
    <cfRule type="expression" dxfId="9059" priority="62">
      <formula>B48&gt;$AG48</formula>
    </cfRule>
  </conditionalFormatting>
  <conditionalFormatting sqref="B82">
    <cfRule type="expression" dxfId="9058" priority="58">
      <formula>B$9&gt;=20/24</formula>
    </cfRule>
    <cfRule type="expression" dxfId="9057" priority="59">
      <formula>AND(B$9&gt;=14/24,B$9&lt;20/24)</formula>
    </cfRule>
    <cfRule type="expression" dxfId="9056" priority="60">
      <formula>AND(B$9&gt;=8/24,B$9&lt;14/24)</formula>
    </cfRule>
    <cfRule type="expression" dxfId="9055" priority="61">
      <formula>B$9&lt;8/24</formula>
    </cfRule>
  </conditionalFormatting>
  <conditionalFormatting sqref="B52">
    <cfRule type="expression" dxfId="9054" priority="54">
      <formula>B$9&gt;=20/24</formula>
    </cfRule>
    <cfRule type="expression" dxfId="9053" priority="55">
      <formula>AND(B$9&gt;=14/24,B$9&lt;20/24)</formula>
    </cfRule>
    <cfRule type="expression" dxfId="9052" priority="56">
      <formula>AND(B$9&gt;=8/24,B$9&lt;14/24)</formula>
    </cfRule>
    <cfRule type="expression" dxfId="9051" priority="57">
      <formula>B$9&lt;8/24</formula>
    </cfRule>
  </conditionalFormatting>
  <conditionalFormatting sqref="B52">
    <cfRule type="expression" dxfId="9050" priority="53">
      <formula>B52&gt;$AG52</formula>
    </cfRule>
  </conditionalFormatting>
  <conditionalFormatting sqref="B59:C64 D60:P64">
    <cfRule type="expression" dxfId="9049" priority="45">
      <formula>B$9&gt;=20/24</formula>
    </cfRule>
    <cfRule type="expression" dxfId="9048" priority="46">
      <formula>AND(B$9&gt;=14/24,B$9&lt;20/24)</formula>
    </cfRule>
    <cfRule type="expression" dxfId="9047" priority="47">
      <formula>AND(B$9&gt;=8/24,B$9&lt;14/24)</formula>
    </cfRule>
    <cfRule type="expression" dxfId="9046" priority="48">
      <formula>B$9&lt;8/24</formula>
    </cfRule>
  </conditionalFormatting>
  <conditionalFormatting sqref="B59:C64 D60:P64">
    <cfRule type="expression" dxfId="9045" priority="44">
      <formula>B59&gt;$AG59</formula>
    </cfRule>
  </conditionalFormatting>
  <conditionalFormatting sqref="B13:Q15 B45:AF45 R14:AF15">
    <cfRule type="expression" dxfId="9044" priority="43">
      <formula>B13&gt;$AG13</formula>
    </cfRule>
  </conditionalFormatting>
  <conditionalFormatting sqref="B12:Q12">
    <cfRule type="expression" dxfId="9043" priority="39">
      <formula>B$9&gt;=20/24</formula>
    </cfRule>
    <cfRule type="expression" dxfId="9042" priority="40">
      <formula>AND(B$9&gt;=14/24,B$9&lt;20/24)</formula>
    </cfRule>
    <cfRule type="expression" dxfId="9041" priority="41">
      <formula>AND(B$9&gt;=8/24,B$9&lt;14/24)</formula>
    </cfRule>
    <cfRule type="expression" dxfId="9040" priority="42">
      <formula>B$9&lt;8/24</formula>
    </cfRule>
  </conditionalFormatting>
  <conditionalFormatting sqref="B12:Q12">
    <cfRule type="expression" dxfId="9039" priority="38">
      <formula>B12&gt;$AG12</formula>
    </cfRule>
  </conditionalFormatting>
  <conditionalFormatting sqref="B13:Q15 R14:AF15">
    <cfRule type="expression" dxfId="9038" priority="34">
      <formula>B$9&gt;=20/24</formula>
    </cfRule>
    <cfRule type="expression" dxfId="9037" priority="35">
      <formula>AND(B$9&gt;=14/24,B$9&lt;20/24)</formula>
    </cfRule>
    <cfRule type="expression" dxfId="9036" priority="36">
      <formula>AND(B$9&gt;=8/24,B$9&lt;14/24)</formula>
    </cfRule>
    <cfRule type="expression" dxfId="9035" priority="37">
      <formula>B$9&lt;8/24</formula>
    </cfRule>
  </conditionalFormatting>
  <conditionalFormatting sqref="B45:AF45">
    <cfRule type="expression" dxfId="9034" priority="30">
      <formula>B$9&gt;=20/24</formula>
    </cfRule>
    <cfRule type="expression" dxfId="9033" priority="31">
      <formula>AND(B$9&gt;=14/24,B$9&lt;20/24)</formula>
    </cfRule>
    <cfRule type="expression" dxfId="9032" priority="32">
      <formula>AND(B$9&gt;=8/24,B$9&lt;14/24)</formula>
    </cfRule>
    <cfRule type="expression" dxfId="9031" priority="33">
      <formula>B$9&lt;8/24</formula>
    </cfRule>
  </conditionalFormatting>
  <conditionalFormatting sqref="B28:AF28">
    <cfRule type="expression" dxfId="9030" priority="26">
      <formula>B$9&gt;=20/24</formula>
    </cfRule>
    <cfRule type="expression" dxfId="9029" priority="27">
      <formula>AND(B$9&gt;=14/24,B$9&lt;20/24)</formula>
    </cfRule>
    <cfRule type="expression" dxfId="9028" priority="28">
      <formula>AND(B$9&gt;=8/24,B$9&lt;14/24)</formula>
    </cfRule>
    <cfRule type="expression" dxfId="9027" priority="29">
      <formula>B$9&lt;8/24</formula>
    </cfRule>
  </conditionalFormatting>
  <conditionalFormatting sqref="B28:AF28">
    <cfRule type="expression" dxfId="9026" priority="25">
      <formula>B28&gt;$AG28</formula>
    </cfRule>
  </conditionalFormatting>
  <conditionalFormatting sqref="B11:Q11">
    <cfRule type="expression" dxfId="9025" priority="21">
      <formula>B$9&gt;=20/24</formula>
    </cfRule>
    <cfRule type="expression" dxfId="9024" priority="22">
      <formula>AND(B$9&gt;=14/24,B$9&lt;20/24)</formula>
    </cfRule>
    <cfRule type="expression" dxfId="9023" priority="23">
      <formula>AND(B$9&gt;=8/24,B$9&lt;14/24)</formula>
    </cfRule>
    <cfRule type="expression" dxfId="9022" priority="24">
      <formula>B$9&lt;8/24</formula>
    </cfRule>
  </conditionalFormatting>
  <conditionalFormatting sqref="B11:Q11">
    <cfRule type="expression" dxfId="9021" priority="20">
      <formula>B11&gt;$AG11</formula>
    </cfRule>
  </conditionalFormatting>
  <conditionalFormatting sqref="B16:AF16">
    <cfRule type="expression" dxfId="9020" priority="16">
      <formula>B$9&gt;=20/24</formula>
    </cfRule>
    <cfRule type="expression" dxfId="9019" priority="17">
      <formula>AND(B$9&gt;=14/24,B$9&lt;20/24)</formula>
    </cfRule>
    <cfRule type="expression" dxfId="9018" priority="18">
      <formula>AND(B$9&gt;=8/24,B$9&lt;14/24)</formula>
    </cfRule>
    <cfRule type="expression" dxfId="9017" priority="19">
      <formula>B$9&lt;8/24</formula>
    </cfRule>
  </conditionalFormatting>
  <conditionalFormatting sqref="B16:AF16">
    <cfRule type="expression" dxfId="9016" priority="15">
      <formula>B16&gt;$AG16</formula>
    </cfRule>
  </conditionalFormatting>
  <conditionalFormatting sqref="B33:AF33">
    <cfRule type="expression" dxfId="9015" priority="11">
      <formula>B$9&gt;=20/24</formula>
    </cfRule>
    <cfRule type="expression" dxfId="9014" priority="12">
      <formula>AND(B$9&gt;=14/24,B$9&lt;20/24)</formula>
    </cfRule>
    <cfRule type="expression" dxfId="9013" priority="13">
      <formula>AND(B$9&gt;=8/24,B$9&lt;14/24)</formula>
    </cfRule>
    <cfRule type="expression" dxfId="9012" priority="14">
      <formula>B$9&lt;8/24</formula>
    </cfRule>
  </conditionalFormatting>
  <conditionalFormatting sqref="B33:AF33">
    <cfRule type="expression" dxfId="9011" priority="10">
      <formula>B33&gt;$AG33</formula>
    </cfRule>
  </conditionalFormatting>
  <conditionalFormatting sqref="B44:AF44">
    <cfRule type="expression" dxfId="9010" priority="9">
      <formula>B44&gt;$AG44</formula>
    </cfRule>
  </conditionalFormatting>
  <conditionalFormatting sqref="B44:AF44">
    <cfRule type="expression" dxfId="9009" priority="5">
      <formula>B$9&gt;=20/24</formula>
    </cfRule>
    <cfRule type="expression" dxfId="9008" priority="6">
      <formula>AND(B$9&gt;=14/24,B$9&lt;20/24)</formula>
    </cfRule>
    <cfRule type="expression" dxfId="9007" priority="7">
      <formula>AND(B$9&gt;=8/24,B$9&lt;14/24)</formula>
    </cfRule>
    <cfRule type="expression" dxfId="9006" priority="8">
      <formula>B$9&lt;8/24</formula>
    </cfRule>
  </conditionalFormatting>
  <conditionalFormatting sqref="B117">
    <cfRule type="expression" dxfId="9005" priority="1">
      <formula>B$9&gt;=20/24</formula>
    </cfRule>
    <cfRule type="expression" dxfId="9004" priority="2">
      <formula>AND(B$9&gt;=14/24,B$9&lt;20/24)</formula>
    </cfRule>
    <cfRule type="expression" dxfId="9003" priority="3">
      <formula>AND(B$9&gt;=8/24,B$9&lt;14/24)</formula>
    </cfRule>
    <cfRule type="expression" dxfId="9002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9" id="{365FD730-A51B-4FEA-994D-A3D7AF4BEE4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40" id="{9D6DE86D-B025-4485-8488-44162B2A9A5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1" id="{EBD017E9-85DA-4E27-9051-013C35AC11A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2" id="{59F439A4-7ADD-4B90-8597-357A6AF7634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49" id="{9C126F73-AB3E-4FF0-ADFC-BA89FC29050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8A96D395-F561-4877-BCA7-991069E13DF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BCEF1E92-51A8-49A6-9DC2-F200A2ED85E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6A7EF170-89E4-4B1B-BEC0-5540819C7E2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85" zoomScaleNormal="85" workbookViewId="0">
      <pane ySplit="10" topLeftCell="A56" activePane="bottomLeft" state="frozen"/>
      <selection activeCell="Z85" sqref="Z85"/>
      <selection pane="bottomLeft" activeCell="F77" sqref="F7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1" width="6.85546875" style="2" customWidth="1"/>
    <col min="32" max="32" width="8.14062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2079/12/9</v>
      </c>
      <c r="C4" s="196"/>
      <c r="D4" s="196"/>
      <c r="E4" s="197" t="str">
        <f ca="1">"2079/"&amp;"12/"&amp;INT(MID(CELL("filename",G6),FIND("]",CELL("filename",G6))+1,200))</f>
        <v>2079/12/9</v>
      </c>
      <c r="F4" s="197"/>
      <c r="G4" s="197"/>
      <c r="H4" s="197" t="str">
        <f ca="1">TEXT(E4,"dddd")</f>
        <v>Saturday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333.8</v>
      </c>
      <c r="C5" s="33">
        <f t="shared" si="0"/>
        <v>354.59999999999997</v>
      </c>
      <c r="D5" s="33">
        <f t="shared" si="0"/>
        <v>343.2</v>
      </c>
      <c r="E5" s="33">
        <f t="shared" si="0"/>
        <v>342.29999999999995</v>
      </c>
      <c r="F5" s="33">
        <f t="shared" si="0"/>
        <v>419.70000000000005</v>
      </c>
      <c r="G5" s="33">
        <f t="shared" si="0"/>
        <v>494.6</v>
      </c>
      <c r="H5" s="33">
        <f t="shared" si="0"/>
        <v>454.40000000000003</v>
      </c>
      <c r="I5" s="33">
        <f t="shared" si="0"/>
        <v>456.6</v>
      </c>
      <c r="J5" s="33">
        <f t="shared" si="0"/>
        <v>414.20000000000005</v>
      </c>
      <c r="K5" s="33">
        <f t="shared" si="0"/>
        <v>394.8</v>
      </c>
      <c r="L5" s="33">
        <f t="shared" si="0"/>
        <v>383.90000000000003</v>
      </c>
      <c r="M5" s="33">
        <f t="shared" si="0"/>
        <v>466</v>
      </c>
      <c r="N5" s="33">
        <f t="shared" si="0"/>
        <v>495.5</v>
      </c>
      <c r="O5" s="33">
        <f t="shared" si="0"/>
        <v>528.5</v>
      </c>
      <c r="P5" s="33">
        <f t="shared" si="0"/>
        <v>532.9</v>
      </c>
      <c r="Q5" s="33">
        <f t="shared" si="0"/>
        <v>569</v>
      </c>
      <c r="R5" s="33">
        <f t="shared" si="0"/>
        <v>554.4</v>
      </c>
      <c r="S5" s="33">
        <f t="shared" si="0"/>
        <v>562.20000000000005</v>
      </c>
      <c r="T5" s="33">
        <f t="shared" si="0"/>
        <v>549.66999999999996</v>
      </c>
      <c r="U5" s="33">
        <f t="shared" si="0"/>
        <v>549.66999999999996</v>
      </c>
      <c r="V5" s="33">
        <f t="shared" si="0"/>
        <v>543.37</v>
      </c>
      <c r="W5" s="33">
        <f t="shared" si="0"/>
        <v>528.47</v>
      </c>
      <c r="X5" s="33">
        <f t="shared" si="0"/>
        <v>539.37</v>
      </c>
      <c r="Y5" s="33">
        <f t="shared" si="0"/>
        <v>434.70000000000005</v>
      </c>
      <c r="Z5" s="33">
        <f t="shared" si="0"/>
        <v>430.40000000000003</v>
      </c>
      <c r="AA5" s="33">
        <f t="shared" si="0"/>
        <v>426.9</v>
      </c>
      <c r="AB5" s="33">
        <f t="shared" si="0"/>
        <v>452.4</v>
      </c>
      <c r="AC5" s="33">
        <f t="shared" si="0"/>
        <v>459.4</v>
      </c>
      <c r="AD5" s="33">
        <f t="shared" si="0"/>
        <v>409.9</v>
      </c>
      <c r="AE5" s="33">
        <f t="shared" si="0"/>
        <v>386.3</v>
      </c>
      <c r="AF5" s="33">
        <f>B82</f>
        <v>316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1424MW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Load=930</v>
      </c>
      <c r="B7" s="38">
        <f t="shared" ref="B7:AF7" si="1">B89</f>
        <v>982.64</v>
      </c>
      <c r="C7" s="38">
        <f t="shared" si="1"/>
        <v>951.83999999999992</v>
      </c>
      <c r="D7" s="38">
        <f t="shared" si="1"/>
        <v>942.63999999999987</v>
      </c>
      <c r="E7" s="38">
        <f t="shared" si="1"/>
        <v>929.74</v>
      </c>
      <c r="F7" s="38">
        <f t="shared" si="1"/>
        <v>979.04</v>
      </c>
      <c r="G7" s="38">
        <f t="shared" si="1"/>
        <v>1021.5400000000001</v>
      </c>
      <c r="H7" s="38">
        <f t="shared" si="1"/>
        <v>1115.24</v>
      </c>
      <c r="I7" s="38">
        <f t="shared" si="1"/>
        <v>1184.3400000000001</v>
      </c>
      <c r="J7" s="38">
        <f t="shared" si="1"/>
        <v>1278.54</v>
      </c>
      <c r="K7" s="38">
        <f t="shared" si="1"/>
        <v>1407.44</v>
      </c>
      <c r="L7" s="38">
        <f t="shared" si="1"/>
        <v>1423.8400000000001</v>
      </c>
      <c r="M7" s="38">
        <f t="shared" si="1"/>
        <v>1394.94</v>
      </c>
      <c r="N7" s="38">
        <f>N89</f>
        <v>1264.6400000000001</v>
      </c>
      <c r="O7" s="38">
        <f t="shared" si="1"/>
        <v>1223.6399999999999</v>
      </c>
      <c r="P7" s="38">
        <f t="shared" si="1"/>
        <v>1166.74</v>
      </c>
      <c r="Q7" s="38">
        <f t="shared" si="1"/>
        <v>1188.1399999999999</v>
      </c>
      <c r="R7" s="38">
        <f t="shared" si="1"/>
        <v>1219.3400000000001</v>
      </c>
      <c r="S7" s="38">
        <f t="shared" si="1"/>
        <v>1224.94</v>
      </c>
      <c r="T7" s="38">
        <f t="shared" si="1"/>
        <v>1231.94</v>
      </c>
      <c r="U7" s="38">
        <f t="shared" si="1"/>
        <v>1240.4099999999999</v>
      </c>
      <c r="V7" s="38">
        <f t="shared" si="1"/>
        <v>1229.21</v>
      </c>
      <c r="W7" s="38">
        <f t="shared" si="1"/>
        <v>1203.21</v>
      </c>
      <c r="X7" s="38">
        <f t="shared" si="1"/>
        <v>1379.81</v>
      </c>
      <c r="Y7" s="38">
        <f t="shared" si="1"/>
        <v>1429.21</v>
      </c>
      <c r="Z7" s="38">
        <f t="shared" si="1"/>
        <v>1443.14</v>
      </c>
      <c r="AA7" s="38">
        <f t="shared" si="1"/>
        <v>1371.5400000000002</v>
      </c>
      <c r="AB7" s="38">
        <f t="shared" si="1"/>
        <v>1208.2400000000002</v>
      </c>
      <c r="AC7" s="38">
        <f t="shared" si="1"/>
        <v>1243.7400000000002</v>
      </c>
      <c r="AD7" s="38">
        <f t="shared" si="1"/>
        <v>1186.74</v>
      </c>
      <c r="AE7" s="38">
        <f t="shared" si="1"/>
        <v>1086.08</v>
      </c>
      <c r="AF7" s="38">
        <f t="shared" si="1"/>
        <v>1025.3400000000001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28</v>
      </c>
      <c r="C11" s="50">
        <v>28</v>
      </c>
      <c r="D11" s="50">
        <v>28</v>
      </c>
      <c r="E11" s="50">
        <v>28</v>
      </c>
      <c r="F11" s="50">
        <v>28</v>
      </c>
      <c r="G11" s="50">
        <v>28</v>
      </c>
      <c r="H11" s="50">
        <v>28</v>
      </c>
      <c r="I11" s="50">
        <v>28</v>
      </c>
      <c r="J11" s="50">
        <v>28</v>
      </c>
      <c r="K11" s="50">
        <v>28</v>
      </c>
      <c r="L11" s="50">
        <v>28</v>
      </c>
      <c r="M11" s="50">
        <v>28</v>
      </c>
      <c r="N11" s="50">
        <v>28</v>
      </c>
      <c r="O11" s="50">
        <v>28</v>
      </c>
      <c r="P11" s="50">
        <v>28</v>
      </c>
      <c r="Q11" s="50">
        <v>28</v>
      </c>
      <c r="R11" s="50">
        <v>28</v>
      </c>
      <c r="S11" s="50">
        <v>28</v>
      </c>
      <c r="T11" s="50">
        <v>28</v>
      </c>
      <c r="U11" s="50">
        <v>28</v>
      </c>
      <c r="V11" s="50">
        <v>28</v>
      </c>
      <c r="W11" s="50">
        <v>28</v>
      </c>
      <c r="X11" s="50">
        <v>28</v>
      </c>
      <c r="Y11" s="50">
        <v>28</v>
      </c>
      <c r="Z11" s="50">
        <v>28</v>
      </c>
      <c r="AA11" s="50">
        <v>28</v>
      </c>
      <c r="AB11" s="50">
        <v>28</v>
      </c>
      <c r="AC11" s="50">
        <v>28</v>
      </c>
      <c r="AD11" s="50">
        <v>28</v>
      </c>
      <c r="AE11" s="50">
        <v>28</v>
      </c>
      <c r="AF11" s="50">
        <v>28</v>
      </c>
      <c r="AG11" s="51">
        <v>86</v>
      </c>
      <c r="AH11" s="52">
        <f t="shared" ref="AH11:AH74" si="2">MAX(B11:AF11)</f>
        <v>28</v>
      </c>
      <c r="AI11" s="53">
        <f t="shared" ref="AI11:AI74" si="3">MIN(B11:AF11)</f>
        <v>28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13</v>
      </c>
      <c r="C12" s="50">
        <v>13</v>
      </c>
      <c r="D12" s="50">
        <v>13</v>
      </c>
      <c r="E12" s="50">
        <v>13</v>
      </c>
      <c r="F12" s="50">
        <v>13</v>
      </c>
      <c r="G12" s="50">
        <v>13</v>
      </c>
      <c r="H12" s="50">
        <v>15.7</v>
      </c>
      <c r="I12" s="50">
        <v>15.7</v>
      </c>
      <c r="J12" s="50">
        <v>15.7</v>
      </c>
      <c r="K12" s="50">
        <v>15.7</v>
      </c>
      <c r="L12" s="50">
        <v>15.7</v>
      </c>
      <c r="M12" s="50">
        <v>15.6</v>
      </c>
      <c r="N12" s="50">
        <v>15.6</v>
      </c>
      <c r="O12" s="50">
        <v>15.6</v>
      </c>
      <c r="P12" s="50">
        <v>15.6</v>
      </c>
      <c r="Q12" s="50">
        <v>15.6</v>
      </c>
      <c r="R12" s="50">
        <v>15.6</v>
      </c>
      <c r="S12" s="50">
        <v>15.6</v>
      </c>
      <c r="T12" s="50">
        <v>15.6</v>
      </c>
      <c r="U12" s="50">
        <v>15.6</v>
      </c>
      <c r="V12" s="50">
        <v>15.6</v>
      </c>
      <c r="W12" s="50">
        <v>15.6</v>
      </c>
      <c r="X12" s="50">
        <v>15.6</v>
      </c>
      <c r="Y12" s="50">
        <v>15.6</v>
      </c>
      <c r="Z12" s="50">
        <v>15.6</v>
      </c>
      <c r="AA12" s="50">
        <v>15.6</v>
      </c>
      <c r="AB12" s="50">
        <v>15.6</v>
      </c>
      <c r="AC12" s="50">
        <v>15.6</v>
      </c>
      <c r="AD12" s="50">
        <v>15.6</v>
      </c>
      <c r="AE12" s="50">
        <v>15.6</v>
      </c>
      <c r="AF12" s="50">
        <v>15.6</v>
      </c>
      <c r="AG12" s="51">
        <v>52.4</v>
      </c>
      <c r="AH12" s="52">
        <f t="shared" si="2"/>
        <v>15.7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16.2</v>
      </c>
      <c r="C14" s="50">
        <v>16.2</v>
      </c>
      <c r="D14" s="50">
        <v>16.2</v>
      </c>
      <c r="E14" s="50">
        <v>16.2</v>
      </c>
      <c r="F14" s="50">
        <v>16.2</v>
      </c>
      <c r="G14" s="50">
        <v>16.2</v>
      </c>
      <c r="H14" s="50">
        <v>16</v>
      </c>
      <c r="I14" s="50">
        <v>16</v>
      </c>
      <c r="J14" s="50">
        <v>16</v>
      </c>
      <c r="K14" s="50">
        <v>16</v>
      </c>
      <c r="L14" s="50">
        <v>16</v>
      </c>
      <c r="M14" s="50">
        <v>16</v>
      </c>
      <c r="N14" s="50">
        <v>16</v>
      </c>
      <c r="O14" s="50">
        <v>16</v>
      </c>
      <c r="P14" s="50">
        <v>16</v>
      </c>
      <c r="Q14" s="50">
        <v>16</v>
      </c>
      <c r="R14" s="50">
        <v>16</v>
      </c>
      <c r="S14" s="50">
        <v>16</v>
      </c>
      <c r="T14" s="50">
        <v>16</v>
      </c>
      <c r="U14" s="50">
        <v>16</v>
      </c>
      <c r="V14" s="50">
        <v>16</v>
      </c>
      <c r="W14" s="50">
        <v>16</v>
      </c>
      <c r="X14" s="50">
        <v>16</v>
      </c>
      <c r="Y14" s="50">
        <v>16</v>
      </c>
      <c r="Z14" s="50">
        <v>16</v>
      </c>
      <c r="AA14" s="50">
        <v>16</v>
      </c>
      <c r="AB14" s="50">
        <v>16</v>
      </c>
      <c r="AC14" s="50">
        <v>16</v>
      </c>
      <c r="AD14" s="50">
        <v>16</v>
      </c>
      <c r="AE14" s="50">
        <v>16</v>
      </c>
      <c r="AF14" s="50">
        <v>16</v>
      </c>
      <c r="AG14" s="55">
        <v>45</v>
      </c>
      <c r="AH14" s="52">
        <f t="shared" si="2"/>
        <v>16.2</v>
      </c>
      <c r="AI14" s="53">
        <f t="shared" si="3"/>
        <v>16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8.9</v>
      </c>
      <c r="C18" s="50">
        <v>8.9</v>
      </c>
      <c r="D18" s="50">
        <v>8.9</v>
      </c>
      <c r="E18" s="50">
        <v>8.9</v>
      </c>
      <c r="F18" s="50">
        <v>8.9</v>
      </c>
      <c r="G18" s="50">
        <v>8.9</v>
      </c>
      <c r="H18" s="50">
        <v>8.4</v>
      </c>
      <c r="I18" s="50">
        <v>8.4</v>
      </c>
      <c r="J18" s="50">
        <v>8.4</v>
      </c>
      <c r="K18" s="50">
        <v>8.4</v>
      </c>
      <c r="L18" s="50">
        <v>8.4</v>
      </c>
      <c r="M18" s="50">
        <v>8.1999999999999993</v>
      </c>
      <c r="N18" s="50">
        <v>8.1999999999999993</v>
      </c>
      <c r="O18" s="50">
        <v>8.1999999999999993</v>
      </c>
      <c r="P18" s="50">
        <v>8.1999999999999993</v>
      </c>
      <c r="Q18" s="50">
        <v>8.1999999999999993</v>
      </c>
      <c r="R18" s="50">
        <v>8.1999999999999993</v>
      </c>
      <c r="S18" s="50">
        <v>8.1999999999999993</v>
      </c>
      <c r="T18" s="50">
        <v>8.1999999999999993</v>
      </c>
      <c r="U18" s="50">
        <v>8.1999999999999993</v>
      </c>
      <c r="V18" s="50">
        <v>8.1999999999999993</v>
      </c>
      <c r="W18" s="50">
        <v>8.1999999999999993</v>
      </c>
      <c r="X18" s="50">
        <v>8.1999999999999993</v>
      </c>
      <c r="Y18" s="50">
        <v>8.1999999999999993</v>
      </c>
      <c r="Z18" s="50">
        <v>8.1999999999999993</v>
      </c>
      <c r="AA18" s="50">
        <v>8.1999999999999993</v>
      </c>
      <c r="AB18" s="50">
        <v>8.1999999999999993</v>
      </c>
      <c r="AC18" s="50">
        <v>8.1999999999999993</v>
      </c>
      <c r="AD18" s="50">
        <v>8.1999999999999993</v>
      </c>
      <c r="AE18" s="50">
        <v>8.1999999999999993</v>
      </c>
      <c r="AF18" s="50">
        <v>8.1999999999999993</v>
      </c>
      <c r="AG18" s="56">
        <v>30</v>
      </c>
      <c r="AH18" s="52">
        <f t="shared" si="2"/>
        <v>8.9</v>
      </c>
      <c r="AI18" s="53">
        <f t="shared" si="3"/>
        <v>8.1999999999999993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12.3</v>
      </c>
      <c r="C22" s="50">
        <v>12.3</v>
      </c>
      <c r="D22" s="50">
        <v>12.3</v>
      </c>
      <c r="E22" s="50">
        <v>12.3</v>
      </c>
      <c r="F22" s="50">
        <v>12.3</v>
      </c>
      <c r="G22" s="50">
        <v>12.3</v>
      </c>
      <c r="H22" s="50">
        <v>12.3</v>
      </c>
      <c r="I22" s="50">
        <v>12.3</v>
      </c>
      <c r="J22" s="50">
        <v>12.3</v>
      </c>
      <c r="K22" s="50">
        <v>12.3</v>
      </c>
      <c r="L22" s="50">
        <v>12.3</v>
      </c>
      <c r="M22" s="50">
        <v>12.3</v>
      </c>
      <c r="N22" s="50">
        <v>12.3</v>
      </c>
      <c r="O22" s="50">
        <v>12.3</v>
      </c>
      <c r="P22" s="50">
        <v>12.3</v>
      </c>
      <c r="Q22" s="50">
        <v>12.3</v>
      </c>
      <c r="R22" s="50">
        <v>12.3</v>
      </c>
      <c r="S22" s="50">
        <v>12.3</v>
      </c>
      <c r="T22" s="50">
        <v>12.3</v>
      </c>
      <c r="U22" s="50">
        <v>12.3</v>
      </c>
      <c r="V22" s="50">
        <v>12.3</v>
      </c>
      <c r="W22" s="50">
        <v>12.3</v>
      </c>
      <c r="X22" s="50">
        <v>12.3</v>
      </c>
      <c r="Y22" s="50">
        <v>12.3</v>
      </c>
      <c r="Z22" s="50">
        <v>12.3</v>
      </c>
      <c r="AA22" s="50">
        <v>12.3</v>
      </c>
      <c r="AB22" s="50">
        <v>12.3</v>
      </c>
      <c r="AC22" s="50">
        <v>12.3</v>
      </c>
      <c r="AD22" s="50">
        <v>12.3</v>
      </c>
      <c r="AE22" s="50">
        <v>12.3</v>
      </c>
      <c r="AF22" s="50">
        <v>12.3</v>
      </c>
      <c r="AG22" s="55">
        <v>25</v>
      </c>
      <c r="AH22" s="52">
        <f t="shared" si="2"/>
        <v>12.3</v>
      </c>
      <c r="AI22" s="53">
        <f t="shared" si="3"/>
        <v>12.3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8.1999999999999993</v>
      </c>
      <c r="C26" s="50">
        <v>8.1999999999999993</v>
      </c>
      <c r="D26" s="50">
        <v>8.1999999999999993</v>
      </c>
      <c r="E26" s="50">
        <v>8.1999999999999993</v>
      </c>
      <c r="F26" s="50">
        <v>8.1999999999999993</v>
      </c>
      <c r="G26" s="50">
        <v>8.1999999999999993</v>
      </c>
      <c r="H26" s="50">
        <v>8.1999999999999993</v>
      </c>
      <c r="I26" s="50">
        <v>8.1999999999999993</v>
      </c>
      <c r="J26" s="50">
        <v>8.1999999999999993</v>
      </c>
      <c r="K26" s="50">
        <v>8.1999999999999993</v>
      </c>
      <c r="L26" s="50">
        <v>8.1999999999999993</v>
      </c>
      <c r="M26" s="50">
        <v>8.1999999999999993</v>
      </c>
      <c r="N26" s="50">
        <v>8.1999999999999993</v>
      </c>
      <c r="O26" s="50">
        <v>8.1999999999999993</v>
      </c>
      <c r="P26" s="50">
        <v>8.1999999999999993</v>
      </c>
      <c r="Q26" s="50">
        <v>8.1999999999999993</v>
      </c>
      <c r="R26" s="50">
        <v>8.1999999999999993</v>
      </c>
      <c r="S26" s="50">
        <v>8.1999999999999993</v>
      </c>
      <c r="T26" s="50">
        <v>8.1999999999999993</v>
      </c>
      <c r="U26" s="50">
        <v>8.1999999999999993</v>
      </c>
      <c r="V26" s="50">
        <v>8.1999999999999993</v>
      </c>
      <c r="W26" s="50">
        <v>8.1999999999999993</v>
      </c>
      <c r="X26" s="50">
        <v>8.1999999999999993</v>
      </c>
      <c r="Y26" s="50">
        <v>8.1999999999999993</v>
      </c>
      <c r="Z26" s="50">
        <v>8.1999999999999993</v>
      </c>
      <c r="AA26" s="50">
        <v>8.1999999999999993</v>
      </c>
      <c r="AB26" s="50">
        <v>8.1999999999999993</v>
      </c>
      <c r="AC26" s="50">
        <v>8.1999999999999993</v>
      </c>
      <c r="AD26" s="50">
        <v>8.1999999999999993</v>
      </c>
      <c r="AE26" s="50">
        <v>8.1999999999999993</v>
      </c>
      <c r="AF26" s="50">
        <v>8.1999999999999993</v>
      </c>
      <c r="AG26" s="55">
        <v>23.5</v>
      </c>
      <c r="AH26" s="52">
        <f t="shared" si="2"/>
        <v>8.1999999999999993</v>
      </c>
      <c r="AI26" s="53">
        <f t="shared" si="3"/>
        <v>8.1999999999999993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20</v>
      </c>
      <c r="C30" s="50">
        <v>20</v>
      </c>
      <c r="D30" s="50">
        <v>20</v>
      </c>
      <c r="E30" s="50">
        <v>20</v>
      </c>
      <c r="F30" s="50">
        <v>20</v>
      </c>
      <c r="G30" s="50">
        <v>20</v>
      </c>
      <c r="H30" s="50">
        <v>20</v>
      </c>
      <c r="I30" s="50">
        <v>20</v>
      </c>
      <c r="J30" s="50">
        <v>20</v>
      </c>
      <c r="K30" s="50">
        <v>20</v>
      </c>
      <c r="L30" s="50">
        <v>20</v>
      </c>
      <c r="M30" s="50">
        <v>20</v>
      </c>
      <c r="N30" s="50">
        <v>20</v>
      </c>
      <c r="O30" s="50">
        <v>20</v>
      </c>
      <c r="P30" s="50">
        <v>20</v>
      </c>
      <c r="Q30" s="50">
        <v>20</v>
      </c>
      <c r="R30" s="50">
        <v>20</v>
      </c>
      <c r="S30" s="50">
        <v>20</v>
      </c>
      <c r="T30" s="50">
        <v>20</v>
      </c>
      <c r="U30" s="50">
        <v>20</v>
      </c>
      <c r="V30" s="50">
        <v>20</v>
      </c>
      <c r="W30" s="50">
        <v>20</v>
      </c>
      <c r="X30" s="50">
        <v>20</v>
      </c>
      <c r="Y30" s="50">
        <v>20</v>
      </c>
      <c r="Z30" s="50">
        <v>20</v>
      </c>
      <c r="AA30" s="50">
        <v>20</v>
      </c>
      <c r="AB30" s="50">
        <v>20</v>
      </c>
      <c r="AC30" s="50">
        <v>20</v>
      </c>
      <c r="AD30" s="50">
        <v>20</v>
      </c>
      <c r="AE30" s="50">
        <v>20</v>
      </c>
      <c r="AF30" s="50">
        <v>20</v>
      </c>
      <c r="AG30" s="55">
        <v>22</v>
      </c>
      <c r="AH30" s="52">
        <f t="shared" si="2"/>
        <v>20</v>
      </c>
      <c r="AI30" s="53">
        <f t="shared" si="3"/>
        <v>20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>
        <f>210/652</f>
        <v>0.32208588957055212</v>
      </c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12</v>
      </c>
      <c r="C38" s="50">
        <v>12</v>
      </c>
      <c r="D38" s="50">
        <v>12</v>
      </c>
      <c r="E38" s="50">
        <v>12</v>
      </c>
      <c r="F38" s="50">
        <v>12</v>
      </c>
      <c r="G38" s="50">
        <v>12</v>
      </c>
      <c r="H38" s="50">
        <v>12</v>
      </c>
      <c r="I38" s="50">
        <v>12</v>
      </c>
      <c r="J38" s="50">
        <v>12</v>
      </c>
      <c r="K38" s="50">
        <v>12</v>
      </c>
      <c r="L38" s="50">
        <v>12</v>
      </c>
      <c r="M38" s="50">
        <v>12</v>
      </c>
      <c r="N38" s="50">
        <v>12</v>
      </c>
      <c r="O38" s="50">
        <v>12</v>
      </c>
      <c r="P38" s="50">
        <v>12</v>
      </c>
      <c r="Q38" s="50">
        <v>12</v>
      </c>
      <c r="R38" s="50">
        <v>12</v>
      </c>
      <c r="S38" s="50">
        <v>12</v>
      </c>
      <c r="T38" s="50">
        <v>12</v>
      </c>
      <c r="U38" s="50">
        <v>12</v>
      </c>
      <c r="V38" s="50">
        <v>12</v>
      </c>
      <c r="W38" s="50">
        <v>12</v>
      </c>
      <c r="X38" s="50">
        <v>12</v>
      </c>
      <c r="Y38" s="50">
        <v>12</v>
      </c>
      <c r="Z38" s="50">
        <v>12</v>
      </c>
      <c r="AA38" s="50">
        <v>12</v>
      </c>
      <c r="AB38" s="50">
        <v>12</v>
      </c>
      <c r="AC38" s="50">
        <v>12</v>
      </c>
      <c r="AD38" s="50">
        <v>12</v>
      </c>
      <c r="AE38" s="50">
        <v>12</v>
      </c>
      <c r="AF38" s="50">
        <v>12</v>
      </c>
      <c r="AG38" s="55">
        <v>12</v>
      </c>
      <c r="AH38" s="52">
        <f t="shared" si="2"/>
        <v>12</v>
      </c>
      <c r="AI38" s="53">
        <f t="shared" si="3"/>
        <v>12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4.9000000000000004</v>
      </c>
      <c r="C41" s="50">
        <v>4.9000000000000004</v>
      </c>
      <c r="D41" s="50">
        <v>4.9000000000000004</v>
      </c>
      <c r="E41" s="50">
        <v>4.9000000000000004</v>
      </c>
      <c r="F41" s="50">
        <v>4.9000000000000004</v>
      </c>
      <c r="G41" s="50">
        <v>4.9000000000000004</v>
      </c>
      <c r="H41" s="50">
        <v>4.9000000000000004</v>
      </c>
      <c r="I41" s="50">
        <v>4.9000000000000004</v>
      </c>
      <c r="J41" s="50">
        <v>4.9000000000000004</v>
      </c>
      <c r="K41" s="50">
        <v>4.9000000000000004</v>
      </c>
      <c r="L41" s="50">
        <v>4.9000000000000004</v>
      </c>
      <c r="M41" s="50">
        <v>4.9000000000000004</v>
      </c>
      <c r="N41" s="50">
        <v>4.9000000000000004</v>
      </c>
      <c r="O41" s="50">
        <v>4.9000000000000004</v>
      </c>
      <c r="P41" s="50">
        <v>4.9000000000000004</v>
      </c>
      <c r="Q41" s="50">
        <v>4.9000000000000004</v>
      </c>
      <c r="R41" s="50">
        <v>4.9000000000000004</v>
      </c>
      <c r="S41" s="50">
        <v>4.9000000000000004</v>
      </c>
      <c r="T41" s="50">
        <v>4.9000000000000004</v>
      </c>
      <c r="U41" s="50">
        <v>4.9000000000000004</v>
      </c>
      <c r="V41" s="50">
        <v>4.9000000000000004</v>
      </c>
      <c r="W41" s="50">
        <v>4.9000000000000004</v>
      </c>
      <c r="X41" s="50">
        <v>4.9000000000000004</v>
      </c>
      <c r="Y41" s="50">
        <v>4.9000000000000004</v>
      </c>
      <c r="Z41" s="50">
        <v>4.9000000000000004</v>
      </c>
      <c r="AA41" s="50">
        <v>4.9000000000000004</v>
      </c>
      <c r="AB41" s="50">
        <v>4.9000000000000004</v>
      </c>
      <c r="AC41" s="50">
        <v>4.9000000000000004</v>
      </c>
      <c r="AD41" s="50">
        <v>4.9000000000000004</v>
      </c>
      <c r="AE41" s="50">
        <v>4.9000000000000004</v>
      </c>
      <c r="AF41" s="50">
        <v>4.9000000000000004</v>
      </c>
      <c r="AG41" s="56">
        <v>11.88</v>
      </c>
      <c r="AH41" s="52">
        <f t="shared" si="2"/>
        <v>4.9000000000000004</v>
      </c>
      <c r="AI41" s="53">
        <f t="shared" si="3"/>
        <v>4.9000000000000004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349.4</v>
      </c>
      <c r="C48" s="67">
        <f t="shared" si="4"/>
        <v>349.4</v>
      </c>
      <c r="D48" s="67">
        <f t="shared" si="4"/>
        <v>349.4</v>
      </c>
      <c r="E48" s="67">
        <f t="shared" si="4"/>
        <v>349.4</v>
      </c>
      <c r="F48" s="67">
        <f t="shared" si="4"/>
        <v>349.4</v>
      </c>
      <c r="G48" s="67">
        <f t="shared" si="4"/>
        <v>349.4</v>
      </c>
      <c r="H48" s="67">
        <f t="shared" si="4"/>
        <v>351.4</v>
      </c>
      <c r="I48" s="67">
        <f t="shared" si="4"/>
        <v>351.4</v>
      </c>
      <c r="J48" s="67">
        <f t="shared" si="4"/>
        <v>351.4</v>
      </c>
      <c r="K48" s="67">
        <f t="shared" si="4"/>
        <v>351.4</v>
      </c>
      <c r="L48" s="67">
        <f t="shared" si="4"/>
        <v>351.4</v>
      </c>
      <c r="M48" s="67">
        <f t="shared" si="4"/>
        <v>351.1</v>
      </c>
      <c r="N48" s="67">
        <f t="shared" si="4"/>
        <v>351.1</v>
      </c>
      <c r="O48" s="67">
        <f t="shared" si="4"/>
        <v>351.1</v>
      </c>
      <c r="P48" s="67">
        <f t="shared" si="4"/>
        <v>351.1</v>
      </c>
      <c r="Q48" s="67">
        <f t="shared" si="4"/>
        <v>351.1</v>
      </c>
      <c r="R48" s="67">
        <f t="shared" si="4"/>
        <v>351.1</v>
      </c>
      <c r="S48" s="67">
        <f t="shared" ref="S48:T48" si="5">SUM(S12:S46)</f>
        <v>351.1</v>
      </c>
      <c r="T48" s="67">
        <f t="shared" si="5"/>
        <v>351.1</v>
      </c>
      <c r="U48" s="67">
        <f t="shared" si="4"/>
        <v>351.1</v>
      </c>
      <c r="V48" s="67">
        <f t="shared" ref="V48:W48" si="6">SUM(V12:V46)</f>
        <v>351.1</v>
      </c>
      <c r="W48" s="67">
        <f t="shared" si="6"/>
        <v>351.1</v>
      </c>
      <c r="X48" s="67">
        <f t="shared" ref="X48" si="7">SUM(X12:X46)</f>
        <v>351.1</v>
      </c>
      <c r="Y48" s="67">
        <f t="shared" si="4"/>
        <v>351.1</v>
      </c>
      <c r="Z48" s="67">
        <f t="shared" si="4"/>
        <v>351.1</v>
      </c>
      <c r="AA48" s="67">
        <f t="shared" ref="AA48" si="8">SUM(AA12:AA46)</f>
        <v>351.1</v>
      </c>
      <c r="AB48" s="67">
        <f t="shared" si="4"/>
        <v>351.1</v>
      </c>
      <c r="AC48" s="67">
        <f t="shared" si="4"/>
        <v>351.1</v>
      </c>
      <c r="AD48" s="67">
        <f t="shared" si="4"/>
        <v>351.1</v>
      </c>
      <c r="AE48" s="67">
        <f t="shared" si="4"/>
        <v>351.1</v>
      </c>
      <c r="AF48" s="67">
        <f t="shared" si="4"/>
        <v>351.1</v>
      </c>
      <c r="AG48" s="68">
        <f t="shared" si="4"/>
        <v>875.68</v>
      </c>
      <c r="AH48" s="52">
        <f t="shared" si="2"/>
        <v>351.4</v>
      </c>
      <c r="AI48" s="53">
        <f t="shared" si="3"/>
        <v>349.4</v>
      </c>
      <c r="AK48" s="54"/>
    </row>
    <row r="49" spans="1:41" x14ac:dyDescent="0.25">
      <c r="A49" s="69" t="s">
        <v>53</v>
      </c>
      <c r="B49" s="50">
        <v>90</v>
      </c>
      <c r="C49" s="50">
        <v>100</v>
      </c>
      <c r="D49" s="50">
        <v>70</v>
      </c>
      <c r="E49" s="50">
        <v>70</v>
      </c>
      <c r="F49" s="50">
        <v>115</v>
      </c>
      <c r="G49" s="50">
        <v>40</v>
      </c>
      <c r="H49" s="50">
        <v>60</v>
      </c>
      <c r="I49" s="50">
        <v>110</v>
      </c>
      <c r="J49" s="50">
        <v>120</v>
      </c>
      <c r="K49" s="50">
        <v>170</v>
      </c>
      <c r="L49" s="50">
        <v>210</v>
      </c>
      <c r="M49" s="70">
        <v>210</v>
      </c>
      <c r="N49" s="70">
        <v>88</v>
      </c>
      <c r="O49" s="50">
        <v>20</v>
      </c>
      <c r="P49" s="50">
        <v>20.399999999999999</v>
      </c>
      <c r="Q49" s="50">
        <v>51</v>
      </c>
      <c r="R49" s="50">
        <v>46</v>
      </c>
      <c r="S49" s="50">
        <v>60</v>
      </c>
      <c r="T49" s="50">
        <v>60</v>
      </c>
      <c r="U49" s="50">
        <v>70</v>
      </c>
      <c r="V49" s="50">
        <v>70</v>
      </c>
      <c r="W49" s="50">
        <v>70</v>
      </c>
      <c r="X49" s="50">
        <v>70</v>
      </c>
      <c r="Y49" s="50">
        <v>80</v>
      </c>
      <c r="Z49" s="50">
        <v>160</v>
      </c>
      <c r="AA49" s="50">
        <v>130</v>
      </c>
      <c r="AB49" s="50">
        <v>110</v>
      </c>
      <c r="AC49" s="50">
        <v>130</v>
      </c>
      <c r="AD49" s="50">
        <v>90</v>
      </c>
      <c r="AE49" s="50">
        <v>90</v>
      </c>
      <c r="AF49" s="50">
        <v>70</v>
      </c>
      <c r="AG49" s="56">
        <v>456</v>
      </c>
      <c r="AH49" s="52">
        <f t="shared" si="2"/>
        <v>210</v>
      </c>
      <c r="AI49" s="53">
        <f t="shared" si="3"/>
        <v>20</v>
      </c>
      <c r="AK49" s="54"/>
    </row>
    <row r="50" spans="1:41" x14ac:dyDescent="0.25">
      <c r="A50" s="71" t="s">
        <v>54</v>
      </c>
      <c r="B50" s="72">
        <v>33</v>
      </c>
      <c r="C50" s="72">
        <v>33</v>
      </c>
      <c r="D50" s="72">
        <v>33</v>
      </c>
      <c r="E50" s="72">
        <v>33</v>
      </c>
      <c r="F50" s="72">
        <v>33</v>
      </c>
      <c r="G50" s="72">
        <v>33</v>
      </c>
      <c r="H50" s="72">
        <v>33</v>
      </c>
      <c r="I50" s="72">
        <v>33</v>
      </c>
      <c r="J50" s="72">
        <v>33</v>
      </c>
      <c r="K50" s="72">
        <v>33</v>
      </c>
      <c r="L50" s="72">
        <v>33</v>
      </c>
      <c r="M50" s="72">
        <v>33</v>
      </c>
      <c r="N50" s="72">
        <v>33</v>
      </c>
      <c r="O50" s="72">
        <v>33</v>
      </c>
      <c r="P50" s="72">
        <v>33</v>
      </c>
      <c r="Q50" s="72">
        <v>33</v>
      </c>
      <c r="R50" s="72">
        <v>33</v>
      </c>
      <c r="S50" s="72">
        <v>33</v>
      </c>
      <c r="T50" s="72">
        <v>33</v>
      </c>
      <c r="U50" s="72">
        <v>33</v>
      </c>
      <c r="V50" s="72">
        <v>33</v>
      </c>
      <c r="W50" s="72">
        <v>33</v>
      </c>
      <c r="X50" s="72">
        <v>33</v>
      </c>
      <c r="Y50" s="72">
        <v>33</v>
      </c>
      <c r="Z50" s="72">
        <v>33</v>
      </c>
      <c r="AA50" s="72">
        <v>33</v>
      </c>
      <c r="AB50" s="72">
        <v>33</v>
      </c>
      <c r="AC50" s="72">
        <v>33</v>
      </c>
      <c r="AD50" s="72">
        <v>33</v>
      </c>
      <c r="AE50" s="72">
        <v>33</v>
      </c>
      <c r="AF50" s="72">
        <v>35</v>
      </c>
      <c r="AG50" s="61">
        <v>60</v>
      </c>
      <c r="AH50" s="52">
        <f t="shared" si="2"/>
        <v>35</v>
      </c>
      <c r="AI50" s="53">
        <f t="shared" si="3"/>
        <v>33</v>
      </c>
      <c r="AK50" s="54"/>
    </row>
    <row r="51" spans="1:41" ht="15.75" thickBot="1" x14ac:dyDescent="0.3">
      <c r="A51" s="73" t="s">
        <v>55</v>
      </c>
      <c r="B51" s="74">
        <v>10.6</v>
      </c>
      <c r="C51" s="74">
        <v>10.6</v>
      </c>
      <c r="D51" s="74">
        <v>10.6</v>
      </c>
      <c r="E51" s="74">
        <v>10.6</v>
      </c>
      <c r="F51" s="74">
        <v>10.6</v>
      </c>
      <c r="G51" s="74">
        <v>10.6</v>
      </c>
      <c r="H51" s="74">
        <v>10.6</v>
      </c>
      <c r="I51" s="74">
        <v>10.6</v>
      </c>
      <c r="J51" s="74">
        <v>10.6</v>
      </c>
      <c r="K51" s="74">
        <v>10.6</v>
      </c>
      <c r="L51" s="74">
        <v>10.6</v>
      </c>
      <c r="M51" s="74">
        <v>10.6</v>
      </c>
      <c r="N51" s="74">
        <v>10.6</v>
      </c>
      <c r="O51" s="74">
        <v>10.199999999999999</v>
      </c>
      <c r="P51" s="74">
        <v>10.199999999999999</v>
      </c>
      <c r="Q51" s="74">
        <v>10.199999999999999</v>
      </c>
      <c r="R51" s="74">
        <v>10.1</v>
      </c>
      <c r="S51" s="74">
        <v>10.1</v>
      </c>
      <c r="T51" s="74">
        <v>10.1</v>
      </c>
      <c r="U51" s="74">
        <v>10.1</v>
      </c>
      <c r="V51" s="74">
        <v>10.1</v>
      </c>
      <c r="W51" s="74">
        <v>10.1</v>
      </c>
      <c r="X51" s="74">
        <v>10.1</v>
      </c>
      <c r="Y51" s="74">
        <v>10.1</v>
      </c>
      <c r="Z51" s="74">
        <v>10.1</v>
      </c>
      <c r="AA51" s="74">
        <v>10.1</v>
      </c>
      <c r="AB51" s="74">
        <v>10.199999999999999</v>
      </c>
      <c r="AC51" s="74">
        <v>10.3</v>
      </c>
      <c r="AD51" s="74">
        <v>10.6</v>
      </c>
      <c r="AE51" s="74">
        <v>10.6</v>
      </c>
      <c r="AF51" s="74">
        <v>10.6</v>
      </c>
      <c r="AG51" s="75">
        <v>22.1</v>
      </c>
      <c r="AH51" s="52">
        <f t="shared" si="2"/>
        <v>10.6</v>
      </c>
      <c r="AI51" s="53">
        <f t="shared" si="3"/>
        <v>10.1</v>
      </c>
      <c r="AK51" s="54"/>
    </row>
    <row r="52" spans="1:41" ht="15.75" thickBot="1" x14ac:dyDescent="0.3">
      <c r="A52" s="76" t="s">
        <v>56</v>
      </c>
      <c r="B52" s="67">
        <f t="shared" ref="B52:AG52" si="9">SUM(B49:B51)</f>
        <v>133.6</v>
      </c>
      <c r="C52" s="67">
        <f t="shared" si="9"/>
        <v>143.6</v>
      </c>
      <c r="D52" s="67">
        <f t="shared" si="9"/>
        <v>113.6</v>
      </c>
      <c r="E52" s="67">
        <f t="shared" si="9"/>
        <v>113.6</v>
      </c>
      <c r="F52" s="67">
        <f t="shared" si="9"/>
        <v>158.6</v>
      </c>
      <c r="G52" s="67">
        <f t="shared" si="9"/>
        <v>83.6</v>
      </c>
      <c r="H52" s="67">
        <f t="shared" si="9"/>
        <v>103.6</v>
      </c>
      <c r="I52" s="67">
        <f t="shared" si="9"/>
        <v>153.6</v>
      </c>
      <c r="J52" s="67">
        <f t="shared" si="9"/>
        <v>163.6</v>
      </c>
      <c r="K52" s="67">
        <f t="shared" si="9"/>
        <v>213.6</v>
      </c>
      <c r="L52" s="67">
        <f t="shared" si="9"/>
        <v>253.6</v>
      </c>
      <c r="M52" s="67">
        <f t="shared" si="9"/>
        <v>253.6</v>
      </c>
      <c r="N52" s="67">
        <f t="shared" si="9"/>
        <v>131.6</v>
      </c>
      <c r="O52" s="67">
        <f t="shared" si="9"/>
        <v>63.2</v>
      </c>
      <c r="P52" s="67">
        <f t="shared" si="9"/>
        <v>63.599999999999994</v>
      </c>
      <c r="Q52" s="67">
        <f t="shared" si="9"/>
        <v>94.2</v>
      </c>
      <c r="R52" s="67">
        <f t="shared" si="9"/>
        <v>89.1</v>
      </c>
      <c r="S52" s="67">
        <f t="shared" ref="S52:T52" si="10">SUM(S49:S51)</f>
        <v>103.1</v>
      </c>
      <c r="T52" s="67">
        <f t="shared" si="10"/>
        <v>103.1</v>
      </c>
      <c r="U52" s="67">
        <f t="shared" si="9"/>
        <v>113.1</v>
      </c>
      <c r="V52" s="67">
        <f t="shared" ref="V52:W52" si="11">SUM(V49:V51)</f>
        <v>113.1</v>
      </c>
      <c r="W52" s="67">
        <f t="shared" si="11"/>
        <v>113.1</v>
      </c>
      <c r="X52" s="67">
        <f t="shared" ref="X52" si="12">SUM(X49:X51)</f>
        <v>113.1</v>
      </c>
      <c r="Y52" s="67">
        <f t="shared" si="9"/>
        <v>123.1</v>
      </c>
      <c r="Z52" s="67">
        <f t="shared" ref="Z52:AA52" si="13">SUM(Z49:Z51)</f>
        <v>203.1</v>
      </c>
      <c r="AA52" s="67">
        <f t="shared" si="13"/>
        <v>173.1</v>
      </c>
      <c r="AB52" s="67">
        <f t="shared" si="9"/>
        <v>153.19999999999999</v>
      </c>
      <c r="AC52" s="67">
        <f t="shared" si="9"/>
        <v>173.3</v>
      </c>
      <c r="AD52" s="67">
        <f t="shared" si="9"/>
        <v>133.6</v>
      </c>
      <c r="AE52" s="67">
        <f t="shared" si="9"/>
        <v>133.6</v>
      </c>
      <c r="AF52" s="67">
        <f t="shared" si="9"/>
        <v>115.6</v>
      </c>
      <c r="AG52" s="68">
        <f t="shared" si="9"/>
        <v>538.1</v>
      </c>
      <c r="AH52" s="52">
        <f t="shared" si="2"/>
        <v>253.6</v>
      </c>
      <c r="AI52" s="53">
        <f t="shared" si="3"/>
        <v>63.2</v>
      </c>
      <c r="AK52" s="54"/>
    </row>
    <row r="53" spans="1:41" x14ac:dyDescent="0.25">
      <c r="A53" s="49" t="s">
        <v>57</v>
      </c>
      <c r="B53" s="50">
        <v>31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38.4</v>
      </c>
      <c r="J53" s="50">
        <v>80.900000000000006</v>
      </c>
      <c r="K53" s="50">
        <v>108</v>
      </c>
      <c r="L53" s="50">
        <v>107.9</v>
      </c>
      <c r="M53" s="50">
        <v>93.1</v>
      </c>
      <c r="N53" s="50">
        <v>60</v>
      </c>
      <c r="O53" s="50">
        <v>61.2</v>
      </c>
      <c r="P53" s="50">
        <v>71.2</v>
      </c>
      <c r="Q53" s="50">
        <v>61</v>
      </c>
      <c r="R53" s="50">
        <v>72</v>
      </c>
      <c r="S53" s="50">
        <v>73</v>
      </c>
      <c r="T53" s="50">
        <v>73</v>
      </c>
      <c r="U53" s="50">
        <v>83.2</v>
      </c>
      <c r="V53" s="50">
        <v>72</v>
      </c>
      <c r="W53" s="50">
        <v>60.5</v>
      </c>
      <c r="X53" s="50">
        <v>82.5</v>
      </c>
      <c r="Y53" s="50">
        <v>111.1</v>
      </c>
      <c r="Z53" s="50">
        <v>132.69999999999999</v>
      </c>
      <c r="AA53" s="50">
        <v>96</v>
      </c>
      <c r="AB53" s="50">
        <v>81.400000000000006</v>
      </c>
      <c r="AC53" s="50">
        <v>81.3</v>
      </c>
      <c r="AD53" s="50">
        <v>81.400000000000006</v>
      </c>
      <c r="AE53" s="50">
        <v>47.34</v>
      </c>
      <c r="AF53" s="50">
        <v>31.7</v>
      </c>
      <c r="AG53" s="56">
        <v>144</v>
      </c>
      <c r="AH53" s="52">
        <f t="shared" si="2"/>
        <v>132.69999999999999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29.7</v>
      </c>
      <c r="C54" s="72">
        <v>29.7</v>
      </c>
      <c r="D54" s="72">
        <v>29.7</v>
      </c>
      <c r="E54" s="72">
        <v>28</v>
      </c>
      <c r="F54" s="72">
        <v>28.8</v>
      </c>
      <c r="G54" s="72">
        <v>28.8</v>
      </c>
      <c r="H54" s="72">
        <v>22.8</v>
      </c>
      <c r="I54" s="72">
        <v>31.8</v>
      </c>
      <c r="J54" s="72">
        <v>31.7</v>
      </c>
      <c r="K54" s="72">
        <v>31.7</v>
      </c>
      <c r="L54" s="72">
        <v>31.8</v>
      </c>
      <c r="M54" s="72">
        <v>31.7</v>
      </c>
      <c r="N54" s="72">
        <v>36</v>
      </c>
      <c r="O54" s="72">
        <v>30</v>
      </c>
      <c r="P54" s="72">
        <v>29.8</v>
      </c>
      <c r="Q54" s="72">
        <v>27</v>
      </c>
      <c r="R54" s="72">
        <v>26.7</v>
      </c>
      <c r="S54" s="72">
        <v>26.8</v>
      </c>
      <c r="T54" s="72">
        <v>26</v>
      </c>
      <c r="U54" s="50">
        <v>26.8</v>
      </c>
      <c r="V54" s="50">
        <v>26.8</v>
      </c>
      <c r="W54" s="50">
        <v>26.8</v>
      </c>
      <c r="X54" s="50">
        <v>26.8</v>
      </c>
      <c r="Y54" s="50">
        <v>26.8</v>
      </c>
      <c r="Z54" s="50">
        <v>26.8</v>
      </c>
      <c r="AA54" s="50">
        <v>26.8</v>
      </c>
      <c r="AB54" s="72">
        <v>26.8</v>
      </c>
      <c r="AC54" s="72">
        <v>26.8</v>
      </c>
      <c r="AD54" s="72">
        <v>35.799999999999997</v>
      </c>
      <c r="AE54" s="72">
        <v>34.799999999999997</v>
      </c>
      <c r="AF54" s="72">
        <v>32</v>
      </c>
      <c r="AG54" s="61">
        <v>70</v>
      </c>
      <c r="AH54" s="52">
        <f t="shared" si="2"/>
        <v>36</v>
      </c>
      <c r="AI54" s="53">
        <f t="shared" si="3"/>
        <v>22.8</v>
      </c>
      <c r="AK54" s="54"/>
    </row>
    <row r="55" spans="1:41" x14ac:dyDescent="0.25">
      <c r="A55" s="60" t="s">
        <v>59</v>
      </c>
      <c r="B55" s="72">
        <v>36</v>
      </c>
      <c r="C55" s="72">
        <v>18.399999999999999</v>
      </c>
      <c r="D55" s="72">
        <v>18.399999999999999</v>
      </c>
      <c r="E55" s="72">
        <v>18.600000000000001</v>
      </c>
      <c r="F55" s="72">
        <v>23</v>
      </c>
      <c r="G55" s="72">
        <v>23.1</v>
      </c>
      <c r="H55" s="72">
        <v>15.9</v>
      </c>
      <c r="I55" s="72">
        <v>22.8</v>
      </c>
      <c r="J55" s="72">
        <v>52.4</v>
      </c>
      <c r="K55" s="72">
        <v>67.7</v>
      </c>
      <c r="L55" s="72">
        <v>61.4</v>
      </c>
      <c r="M55" s="72">
        <v>38.6</v>
      </c>
      <c r="N55" s="72">
        <v>33</v>
      </c>
      <c r="O55" s="72">
        <v>34.799999999999997</v>
      </c>
      <c r="P55" s="72">
        <v>34.700000000000003</v>
      </c>
      <c r="Q55" s="72">
        <v>35</v>
      </c>
      <c r="R55" s="72">
        <v>34.5</v>
      </c>
      <c r="S55" s="72">
        <v>41.6</v>
      </c>
      <c r="T55" s="72">
        <v>41.6</v>
      </c>
      <c r="U55" s="72">
        <v>41.6</v>
      </c>
      <c r="V55" s="72">
        <v>41.6</v>
      </c>
      <c r="W55" s="72">
        <v>33.4</v>
      </c>
      <c r="X55" s="72">
        <v>50.9</v>
      </c>
      <c r="Y55" s="72">
        <v>52</v>
      </c>
      <c r="Z55" s="72">
        <v>69</v>
      </c>
      <c r="AA55" s="72">
        <v>68.400000000000006</v>
      </c>
      <c r="AB55" s="72">
        <v>68</v>
      </c>
      <c r="AC55" s="72">
        <v>68</v>
      </c>
      <c r="AD55" s="72">
        <v>35.700000000000003</v>
      </c>
      <c r="AE55" s="72">
        <v>23.8</v>
      </c>
      <c r="AF55" s="72">
        <v>22.8</v>
      </c>
      <c r="AG55" s="61">
        <v>69</v>
      </c>
      <c r="AH55" s="52">
        <f t="shared" si="2"/>
        <v>69</v>
      </c>
      <c r="AI55" s="53">
        <f t="shared" si="3"/>
        <v>15.9</v>
      </c>
      <c r="AK55" s="54"/>
    </row>
    <row r="56" spans="1:41" x14ac:dyDescent="0.25">
      <c r="A56" s="60" t="s">
        <v>60</v>
      </c>
      <c r="B56" s="72">
        <v>38</v>
      </c>
      <c r="C56" s="72">
        <v>38</v>
      </c>
      <c r="D56" s="72">
        <v>38</v>
      </c>
      <c r="E56" s="63">
        <v>38</v>
      </c>
      <c r="F56" s="63">
        <v>38</v>
      </c>
      <c r="G56" s="63">
        <v>38</v>
      </c>
      <c r="H56" s="63">
        <v>38</v>
      </c>
      <c r="I56" s="63">
        <v>38</v>
      </c>
      <c r="J56" s="63">
        <v>38</v>
      </c>
      <c r="K56" s="63">
        <v>38</v>
      </c>
      <c r="L56" s="63">
        <v>38</v>
      </c>
      <c r="M56" s="72">
        <v>38</v>
      </c>
      <c r="N56" s="72">
        <v>38</v>
      </c>
      <c r="O56" s="72">
        <v>38</v>
      </c>
      <c r="P56" s="72">
        <v>38</v>
      </c>
      <c r="Q56" s="72">
        <v>38</v>
      </c>
      <c r="R56" s="72">
        <v>38</v>
      </c>
      <c r="S56" s="72">
        <v>36</v>
      </c>
      <c r="T56" s="72">
        <v>36</v>
      </c>
      <c r="U56" s="72">
        <v>36</v>
      </c>
      <c r="V56" s="72">
        <v>36</v>
      </c>
      <c r="W56" s="72">
        <v>36</v>
      </c>
      <c r="X56" s="72">
        <v>38</v>
      </c>
      <c r="Y56" s="72">
        <v>36.799999999999997</v>
      </c>
      <c r="Z56" s="72">
        <v>36.799999999999997</v>
      </c>
      <c r="AA56" s="72">
        <v>36.799999999999997</v>
      </c>
      <c r="AB56" s="72">
        <v>36.9</v>
      </c>
      <c r="AC56" s="72">
        <v>36.9</v>
      </c>
      <c r="AD56" s="72">
        <v>35.799999999999997</v>
      </c>
      <c r="AE56" s="72">
        <v>36.6</v>
      </c>
      <c r="AF56" s="72">
        <v>36.9</v>
      </c>
      <c r="AG56" s="61">
        <v>60</v>
      </c>
      <c r="AH56" s="52">
        <f t="shared" si="2"/>
        <v>38</v>
      </c>
      <c r="AI56" s="53">
        <f t="shared" si="3"/>
        <v>35.799999999999997</v>
      </c>
      <c r="AK56" s="54"/>
    </row>
    <row r="57" spans="1:41" x14ac:dyDescent="0.25">
      <c r="A57" s="60" t="s">
        <v>61</v>
      </c>
      <c r="B57" s="72">
        <v>10</v>
      </c>
      <c r="C57" s="72">
        <v>0</v>
      </c>
      <c r="D57" s="72">
        <v>0</v>
      </c>
      <c r="E57" s="63">
        <v>0</v>
      </c>
      <c r="F57" s="63">
        <v>0</v>
      </c>
      <c r="G57" s="63">
        <v>0</v>
      </c>
      <c r="H57" s="63">
        <v>10</v>
      </c>
      <c r="I57" s="63">
        <v>10</v>
      </c>
      <c r="J57" s="63">
        <v>20</v>
      </c>
      <c r="K57" s="63">
        <v>23.9</v>
      </c>
      <c r="L57" s="63">
        <v>26</v>
      </c>
      <c r="M57" s="72">
        <v>26</v>
      </c>
      <c r="N57" s="72">
        <v>10</v>
      </c>
      <c r="O57" s="72">
        <v>10.9</v>
      </c>
      <c r="P57" s="72">
        <v>10.9</v>
      </c>
      <c r="Q57" s="72">
        <v>10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25</v>
      </c>
      <c r="AC57" s="72">
        <v>15</v>
      </c>
      <c r="AD57" s="72">
        <v>15</v>
      </c>
      <c r="AE57" s="72">
        <v>10</v>
      </c>
      <c r="AF57" s="72">
        <v>10</v>
      </c>
      <c r="AG57" s="61">
        <v>30</v>
      </c>
      <c r="AH57" s="52">
        <f t="shared" si="2"/>
        <v>26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12</v>
      </c>
      <c r="C59" s="72">
        <v>12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12</v>
      </c>
      <c r="N59" s="72">
        <v>12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12</v>
      </c>
      <c r="AA59" s="72">
        <v>12</v>
      </c>
      <c r="AB59" s="72">
        <v>12</v>
      </c>
      <c r="AC59" s="72">
        <v>12</v>
      </c>
      <c r="AD59" s="72">
        <v>12</v>
      </c>
      <c r="AE59" s="72">
        <v>12</v>
      </c>
      <c r="AF59" s="72">
        <v>12</v>
      </c>
      <c r="AG59" s="61">
        <v>24</v>
      </c>
      <c r="AH59" s="52">
        <f t="shared" si="2"/>
        <v>12</v>
      </c>
      <c r="AI59" s="53">
        <f t="shared" si="3"/>
        <v>12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9.6</v>
      </c>
      <c r="C61" s="72">
        <v>9.6</v>
      </c>
      <c r="D61" s="72">
        <v>9.6</v>
      </c>
      <c r="E61" s="72">
        <v>9.6</v>
      </c>
      <c r="F61" s="72">
        <v>9.6</v>
      </c>
      <c r="G61" s="72">
        <v>9.6</v>
      </c>
      <c r="H61" s="72">
        <v>9.6</v>
      </c>
      <c r="I61" s="72">
        <v>9.6</v>
      </c>
      <c r="J61" s="72">
        <v>9.6</v>
      </c>
      <c r="K61" s="72">
        <v>9.6</v>
      </c>
      <c r="L61" s="72">
        <v>9.6</v>
      </c>
      <c r="M61" s="72">
        <v>9.6</v>
      </c>
      <c r="N61" s="72">
        <v>9.6</v>
      </c>
      <c r="O61" s="72">
        <v>9.6</v>
      </c>
      <c r="P61" s="72">
        <v>9.6</v>
      </c>
      <c r="Q61" s="72">
        <v>9.6</v>
      </c>
      <c r="R61" s="72">
        <v>9.6</v>
      </c>
      <c r="S61" s="72">
        <v>9.6</v>
      </c>
      <c r="T61" s="72">
        <v>9.6</v>
      </c>
      <c r="U61" s="72">
        <v>9.6</v>
      </c>
      <c r="V61" s="72">
        <v>9.6</v>
      </c>
      <c r="W61" s="72">
        <v>9.6</v>
      </c>
      <c r="X61" s="72">
        <v>9.6</v>
      </c>
      <c r="Y61" s="72">
        <v>9.6</v>
      </c>
      <c r="Z61" s="72">
        <v>9.6</v>
      </c>
      <c r="AA61" s="72">
        <v>9.6</v>
      </c>
      <c r="AB61" s="72">
        <v>9.6</v>
      </c>
      <c r="AC61" s="72">
        <v>9.6</v>
      </c>
      <c r="AD61" s="72">
        <v>9.6</v>
      </c>
      <c r="AE61" s="72">
        <v>9.6</v>
      </c>
      <c r="AF61" s="72">
        <v>9.6</v>
      </c>
      <c r="AG61" s="61">
        <v>14.1</v>
      </c>
      <c r="AH61" s="52">
        <f t="shared" si="2"/>
        <v>9.6</v>
      </c>
      <c r="AI61" s="53">
        <f t="shared" si="3"/>
        <v>9.6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4.8</v>
      </c>
      <c r="C62" s="72">
        <v>4.8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4.8</v>
      </c>
      <c r="N62" s="72">
        <v>4.8</v>
      </c>
      <c r="O62" s="72">
        <v>4.8</v>
      </c>
      <c r="P62" s="72">
        <v>4.8</v>
      </c>
      <c r="Q62" s="72">
        <v>4.8</v>
      </c>
      <c r="R62" s="72">
        <v>4.8</v>
      </c>
      <c r="S62" s="72">
        <v>4.8</v>
      </c>
      <c r="T62" s="72">
        <v>4.8</v>
      </c>
      <c r="U62" s="72">
        <v>4.8</v>
      </c>
      <c r="V62" s="72">
        <v>4.8</v>
      </c>
      <c r="W62" s="72">
        <v>4.8</v>
      </c>
      <c r="X62" s="72">
        <v>4.8</v>
      </c>
      <c r="Y62" s="72">
        <v>4.8</v>
      </c>
      <c r="Z62" s="72">
        <v>4.8</v>
      </c>
      <c r="AA62" s="72">
        <v>4.8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4.8</v>
      </c>
      <c r="AI62" s="53">
        <f t="shared" si="3"/>
        <v>4.8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4">SUM(B53:B65)</f>
        <v>183.64</v>
      </c>
      <c r="C66" s="67">
        <f t="shared" si="14"/>
        <v>125.03999999999999</v>
      </c>
      <c r="D66" s="67">
        <f t="shared" si="14"/>
        <v>125.03999999999999</v>
      </c>
      <c r="E66" s="67">
        <f t="shared" si="14"/>
        <v>123.53999999999999</v>
      </c>
      <c r="F66" s="67">
        <f t="shared" si="14"/>
        <v>128.73999999999998</v>
      </c>
      <c r="G66" s="67">
        <f t="shared" si="14"/>
        <v>128.84</v>
      </c>
      <c r="H66" s="67">
        <f t="shared" si="14"/>
        <v>125.64</v>
      </c>
      <c r="I66" s="67">
        <f t="shared" si="14"/>
        <v>179.94</v>
      </c>
      <c r="J66" s="67">
        <f t="shared" si="14"/>
        <v>261.94000000000005</v>
      </c>
      <c r="K66" s="67">
        <f t="shared" si="14"/>
        <v>308.24</v>
      </c>
      <c r="L66" s="67">
        <f t="shared" si="14"/>
        <v>304.04000000000008</v>
      </c>
      <c r="M66" s="67">
        <f t="shared" si="14"/>
        <v>266.34000000000003</v>
      </c>
      <c r="N66" s="67">
        <f t="shared" si="14"/>
        <v>215.94</v>
      </c>
      <c r="O66" s="67">
        <f t="shared" si="14"/>
        <v>213.84</v>
      </c>
      <c r="P66" s="67">
        <f t="shared" si="14"/>
        <v>223.54</v>
      </c>
      <c r="Q66" s="67">
        <f t="shared" si="14"/>
        <v>209.94</v>
      </c>
      <c r="R66" s="67">
        <f t="shared" si="14"/>
        <v>210.14</v>
      </c>
      <c r="S66" s="67">
        <f t="shared" si="14"/>
        <v>216.34</v>
      </c>
      <c r="T66" s="67">
        <f t="shared" ref="T66" si="15">SUM(T53:T65)</f>
        <v>215.54</v>
      </c>
      <c r="U66" s="67">
        <f t="shared" si="14"/>
        <v>226.54</v>
      </c>
      <c r="V66" s="67">
        <f t="shared" ref="V66:W66" si="16">SUM(V53:V65)</f>
        <v>215.34</v>
      </c>
      <c r="W66" s="67">
        <f t="shared" si="16"/>
        <v>195.64</v>
      </c>
      <c r="X66" s="67">
        <f t="shared" si="14"/>
        <v>237.14</v>
      </c>
      <c r="Y66" s="67">
        <f t="shared" si="14"/>
        <v>265.64000000000004</v>
      </c>
      <c r="Z66" s="67">
        <f t="shared" si="14"/>
        <v>304.24000000000007</v>
      </c>
      <c r="AA66" s="67">
        <f t="shared" ref="AA66" si="17">SUM(AA53:AA65)</f>
        <v>266.94000000000005</v>
      </c>
      <c r="AB66" s="67">
        <f t="shared" si="14"/>
        <v>277.04000000000008</v>
      </c>
      <c r="AC66" s="67">
        <f t="shared" si="14"/>
        <v>266.94000000000005</v>
      </c>
      <c r="AD66" s="67">
        <f t="shared" si="14"/>
        <v>242.64</v>
      </c>
      <c r="AE66" s="67">
        <f t="shared" si="14"/>
        <v>191.48</v>
      </c>
      <c r="AF66" s="67">
        <f t="shared" si="14"/>
        <v>172.34</v>
      </c>
      <c r="AG66" s="68">
        <f t="shared" si="14"/>
        <v>489.91</v>
      </c>
      <c r="AH66" s="52">
        <f t="shared" si="2"/>
        <v>308.24</v>
      </c>
      <c r="AI66" s="53">
        <f t="shared" si="3"/>
        <v>123.53999999999999</v>
      </c>
      <c r="AK66" s="54"/>
    </row>
    <row r="67" spans="1:40" x14ac:dyDescent="0.25">
      <c r="A67" s="49" t="s">
        <v>71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6">
        <v>60</v>
      </c>
      <c r="AH67" s="52">
        <f t="shared" si="2"/>
        <v>0</v>
      </c>
      <c r="AI67" s="53">
        <f t="shared" si="3"/>
        <v>0</v>
      </c>
      <c r="AK67" s="54"/>
    </row>
    <row r="68" spans="1:40" x14ac:dyDescent="0.25">
      <c r="A68" s="60" t="s">
        <v>72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50"/>
      <c r="R68" s="50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50"/>
      <c r="AG68" s="61">
        <v>32</v>
      </c>
      <c r="AH68" s="52">
        <f t="shared" si="2"/>
        <v>0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50"/>
      <c r="R69" s="50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50"/>
      <c r="AG69" s="75">
        <v>14</v>
      </c>
      <c r="AH69" s="52">
        <f t="shared" si="2"/>
        <v>0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8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9">M67+M68+M69</f>
        <v>0</v>
      </c>
      <c r="N70" s="67">
        <f t="shared" si="19"/>
        <v>0</v>
      </c>
      <c r="O70" s="67">
        <f t="shared" si="19"/>
        <v>0</v>
      </c>
      <c r="P70" s="67">
        <f t="shared" si="19"/>
        <v>0</v>
      </c>
      <c r="Q70" s="67">
        <f t="shared" si="19"/>
        <v>0</v>
      </c>
      <c r="R70" s="67">
        <f t="shared" si="19"/>
        <v>0</v>
      </c>
      <c r="S70" s="67">
        <f t="shared" si="19"/>
        <v>0</v>
      </c>
      <c r="T70" s="67">
        <f t="shared" ref="T70" si="20">T67+T68+T69</f>
        <v>0</v>
      </c>
      <c r="U70" s="67">
        <f t="shared" si="19"/>
        <v>0</v>
      </c>
      <c r="V70" s="67">
        <f t="shared" ref="V70:W70" si="21">V67+V68+V69</f>
        <v>0</v>
      </c>
      <c r="W70" s="67">
        <f t="shared" si="21"/>
        <v>0</v>
      </c>
      <c r="X70" s="67">
        <f t="shared" si="19"/>
        <v>0</v>
      </c>
      <c r="Y70" s="67">
        <f t="shared" si="19"/>
        <v>0</v>
      </c>
      <c r="Z70" s="67">
        <f t="shared" si="19"/>
        <v>0</v>
      </c>
      <c r="AA70" s="67">
        <f t="shared" ref="AA70" si="22">AA67+AA68+AA69</f>
        <v>0</v>
      </c>
      <c r="AB70" s="67">
        <f t="shared" si="19"/>
        <v>0</v>
      </c>
      <c r="AC70" s="67">
        <f t="shared" si="19"/>
        <v>0</v>
      </c>
      <c r="AD70" s="67">
        <f t="shared" si="19"/>
        <v>0</v>
      </c>
      <c r="AE70" s="67">
        <f t="shared" si="19"/>
        <v>0</v>
      </c>
      <c r="AF70" s="67">
        <f t="shared" si="19"/>
        <v>0</v>
      </c>
      <c r="AG70" s="68">
        <f>SUM(AG67:AG69)</f>
        <v>106</v>
      </c>
      <c r="AH70" s="52">
        <f t="shared" si="2"/>
        <v>0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63</v>
      </c>
      <c r="C71" s="50">
        <v>63.3</v>
      </c>
      <c r="D71" s="50">
        <v>68.7</v>
      </c>
      <c r="E71" s="50">
        <v>63.7</v>
      </c>
      <c r="F71" s="50">
        <v>73.400000000000006</v>
      </c>
      <c r="G71" s="50">
        <v>64.400000000000006</v>
      </c>
      <c r="H71" s="50">
        <v>62</v>
      </c>
      <c r="I71" s="50">
        <v>65.3</v>
      </c>
      <c r="J71" s="50">
        <v>62</v>
      </c>
      <c r="K71" s="50">
        <v>62.6</v>
      </c>
      <c r="L71" s="50">
        <v>70.3</v>
      </c>
      <c r="M71" s="50">
        <v>59.8</v>
      </c>
      <c r="N71" s="50">
        <v>64</v>
      </c>
      <c r="O71" s="50">
        <v>63</v>
      </c>
      <c r="P71" s="50">
        <v>63.7</v>
      </c>
      <c r="Q71" s="50">
        <v>70</v>
      </c>
      <c r="R71" s="50">
        <v>65</v>
      </c>
      <c r="S71" s="50">
        <v>66.7</v>
      </c>
      <c r="T71" s="50">
        <v>66.7</v>
      </c>
      <c r="U71" s="50">
        <v>69.900000000000006</v>
      </c>
      <c r="V71" s="50">
        <v>69.900000000000006</v>
      </c>
      <c r="W71" s="50">
        <v>69</v>
      </c>
      <c r="X71" s="50">
        <v>60.6</v>
      </c>
      <c r="Y71" s="50">
        <v>65</v>
      </c>
      <c r="Z71" s="50">
        <v>65.099999999999994</v>
      </c>
      <c r="AA71" s="50">
        <v>56.6</v>
      </c>
      <c r="AB71" s="50">
        <v>62</v>
      </c>
      <c r="AC71" s="50">
        <v>69</v>
      </c>
      <c r="AD71" s="50">
        <v>66.599999999999994</v>
      </c>
      <c r="AE71" s="50">
        <v>62.8</v>
      </c>
      <c r="AF71" s="50">
        <v>56.1</v>
      </c>
      <c r="AG71" s="56"/>
      <c r="AH71" s="52">
        <f t="shared" si="2"/>
        <v>73.400000000000006</v>
      </c>
      <c r="AI71" s="53">
        <f t="shared" si="3"/>
        <v>56.1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210</v>
      </c>
      <c r="C73" s="72">
        <v>226</v>
      </c>
      <c r="D73" s="72">
        <v>240</v>
      </c>
      <c r="E73" s="72">
        <v>235</v>
      </c>
      <c r="F73" s="72">
        <v>223.5</v>
      </c>
      <c r="G73" s="72">
        <v>216.3</v>
      </c>
      <c r="H73" s="72">
        <v>283</v>
      </c>
      <c r="I73" s="72">
        <v>241</v>
      </c>
      <c r="J73" s="72">
        <v>252</v>
      </c>
      <c r="K73" s="72">
        <v>205.8</v>
      </c>
      <c r="L73" s="72">
        <v>194.7</v>
      </c>
      <c r="M73" s="72">
        <v>180.3</v>
      </c>
      <c r="N73" s="72">
        <v>262</v>
      </c>
      <c r="O73" s="72">
        <v>302</v>
      </c>
      <c r="P73" s="72">
        <v>332</v>
      </c>
      <c r="Q73" s="72">
        <v>314</v>
      </c>
      <c r="R73" s="72">
        <v>353</v>
      </c>
      <c r="S73" s="72">
        <v>340</v>
      </c>
      <c r="T73" s="72">
        <v>353</v>
      </c>
      <c r="U73" s="72">
        <v>345.4</v>
      </c>
      <c r="V73" s="72">
        <v>345.4</v>
      </c>
      <c r="W73" s="72">
        <v>340</v>
      </c>
      <c r="X73" s="72">
        <v>333.5</v>
      </c>
      <c r="Y73" s="72">
        <v>340</v>
      </c>
      <c r="Z73" s="72">
        <v>241</v>
      </c>
      <c r="AA73" s="72">
        <v>245</v>
      </c>
      <c r="AB73" s="72">
        <v>243</v>
      </c>
      <c r="AC73" s="72">
        <v>256</v>
      </c>
      <c r="AD73" s="72">
        <v>242</v>
      </c>
      <c r="AE73" s="72">
        <v>196</v>
      </c>
      <c r="AF73" s="72">
        <v>198</v>
      </c>
      <c r="AG73" s="82"/>
      <c r="AH73" s="52">
        <f t="shared" si="2"/>
        <v>353</v>
      </c>
      <c r="AI73" s="53">
        <f t="shared" si="3"/>
        <v>180.3</v>
      </c>
      <c r="AK73" s="54"/>
    </row>
    <row r="74" spans="1:40" x14ac:dyDescent="0.25">
      <c r="A74" s="60" t="s">
        <v>78</v>
      </c>
      <c r="B74" s="72">
        <v>15</v>
      </c>
      <c r="C74" s="72">
        <v>17</v>
      </c>
      <c r="D74" s="72">
        <v>17</v>
      </c>
      <c r="E74" s="83">
        <v>17</v>
      </c>
      <c r="F74" s="83">
        <v>17</v>
      </c>
      <c r="G74" s="83">
        <v>52</v>
      </c>
      <c r="H74" s="83">
        <v>52</v>
      </c>
      <c r="I74" s="83">
        <v>52.1</v>
      </c>
      <c r="J74" s="83">
        <v>52.6</v>
      </c>
      <c r="K74" s="83">
        <v>58.8</v>
      </c>
      <c r="L74" s="83">
        <v>60</v>
      </c>
      <c r="M74" s="83">
        <v>59.5</v>
      </c>
      <c r="N74" s="83">
        <v>59</v>
      </c>
      <c r="O74" s="83">
        <v>59</v>
      </c>
      <c r="P74" s="83">
        <v>59</v>
      </c>
      <c r="Q74" s="83">
        <v>59</v>
      </c>
      <c r="R74" s="83">
        <v>59</v>
      </c>
      <c r="S74" s="83">
        <v>59</v>
      </c>
      <c r="T74" s="83">
        <v>59</v>
      </c>
      <c r="U74" s="83">
        <v>49.97</v>
      </c>
      <c r="V74" s="83">
        <v>49.97</v>
      </c>
      <c r="W74" s="83">
        <v>49.97</v>
      </c>
      <c r="X74" s="83">
        <v>49.97</v>
      </c>
      <c r="Y74" s="83">
        <v>49.97</v>
      </c>
      <c r="Z74" s="72">
        <v>56</v>
      </c>
      <c r="AA74" s="72">
        <v>56</v>
      </c>
      <c r="AB74" s="72">
        <v>57.4</v>
      </c>
      <c r="AC74" s="72">
        <v>57.4</v>
      </c>
      <c r="AD74" s="72">
        <v>58.9</v>
      </c>
      <c r="AE74" s="72">
        <v>57.2</v>
      </c>
      <c r="AF74" s="72">
        <v>51</v>
      </c>
      <c r="AG74" s="82"/>
      <c r="AH74" s="52">
        <f t="shared" si="2"/>
        <v>60</v>
      </c>
      <c r="AI74" s="53">
        <f t="shared" si="3"/>
        <v>15</v>
      </c>
      <c r="AK74" s="54"/>
    </row>
    <row r="75" spans="1:40" x14ac:dyDescent="0.25">
      <c r="A75" s="60" t="s">
        <v>79</v>
      </c>
      <c r="B75" s="50">
        <v>28</v>
      </c>
      <c r="C75" s="50">
        <v>27.5</v>
      </c>
      <c r="D75" s="50">
        <v>28.9</v>
      </c>
      <c r="E75" s="50">
        <v>27.5</v>
      </c>
      <c r="F75" s="50">
        <v>28.4</v>
      </c>
      <c r="G75" s="50">
        <v>82</v>
      </c>
      <c r="H75" s="50">
        <v>92.6</v>
      </c>
      <c r="I75" s="50">
        <v>91</v>
      </c>
      <c r="J75" s="50">
        <v>85</v>
      </c>
      <c r="K75" s="50">
        <v>82</v>
      </c>
      <c r="L75" s="50">
        <v>64.8</v>
      </c>
      <c r="M75" s="50">
        <v>79.3</v>
      </c>
      <c r="N75" s="50">
        <v>76</v>
      </c>
      <c r="O75" s="50">
        <v>71.5</v>
      </c>
      <c r="P75" s="50">
        <v>73.8</v>
      </c>
      <c r="Q75" s="50">
        <v>89.9</v>
      </c>
      <c r="R75" s="50">
        <v>92</v>
      </c>
      <c r="S75" s="50">
        <v>88.7</v>
      </c>
      <c r="T75" s="50">
        <v>83.5</v>
      </c>
      <c r="U75" s="50">
        <v>84.4</v>
      </c>
      <c r="V75" s="50">
        <v>84.4</v>
      </c>
      <c r="W75" s="50">
        <v>84.4</v>
      </c>
      <c r="X75" s="50">
        <v>84.4</v>
      </c>
      <c r="Y75" s="50">
        <v>84.4</v>
      </c>
      <c r="Z75" s="50">
        <v>72.599999999999994</v>
      </c>
      <c r="AA75" s="50">
        <v>72.8</v>
      </c>
      <c r="AB75" s="50">
        <v>64.5</v>
      </c>
      <c r="AC75" s="50">
        <v>70</v>
      </c>
      <c r="AD75" s="50">
        <v>91.9</v>
      </c>
      <c r="AE75" s="50">
        <v>93.9</v>
      </c>
      <c r="AF75" s="50">
        <v>81.2</v>
      </c>
      <c r="AG75" s="82"/>
      <c r="AH75" s="52">
        <f t="shared" ref="AH75:AH117" si="23">MAX(B75:AF75)</f>
        <v>93.9</v>
      </c>
      <c r="AI75" s="53">
        <f t="shared" ref="AI75:AI117" si="24">MIN(B75:AF75)</f>
        <v>27.5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23"/>
        <v>5</v>
      </c>
      <c r="AI76" s="53">
        <f t="shared" si="24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23"/>
        <v>0</v>
      </c>
      <c r="AI77" s="53">
        <f t="shared" si="24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23"/>
        <v>0</v>
      </c>
      <c r="AI78" s="53">
        <f t="shared" si="24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23"/>
        <v>0</v>
      </c>
      <c r="AI79" s="53">
        <f t="shared" si="24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23"/>
        <v>0</v>
      </c>
      <c r="AI80" s="53">
        <f t="shared" si="24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23"/>
        <v>0</v>
      </c>
      <c r="AI81" s="53">
        <f t="shared" si="24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25">SUMIF(B71:B81,"&gt;0")</f>
        <v>316</v>
      </c>
      <c r="C82" s="67">
        <f t="shared" si="25"/>
        <v>333.8</v>
      </c>
      <c r="D82" s="67">
        <f t="shared" si="25"/>
        <v>354.59999999999997</v>
      </c>
      <c r="E82" s="67">
        <f t="shared" si="25"/>
        <v>343.2</v>
      </c>
      <c r="F82" s="67">
        <f t="shared" si="25"/>
        <v>342.29999999999995</v>
      </c>
      <c r="G82" s="67">
        <f t="shared" si="25"/>
        <v>419.70000000000005</v>
      </c>
      <c r="H82" s="67">
        <f t="shared" si="25"/>
        <v>494.6</v>
      </c>
      <c r="I82" s="67">
        <f t="shared" si="25"/>
        <v>454.40000000000003</v>
      </c>
      <c r="J82" s="67">
        <f t="shared" si="25"/>
        <v>456.6</v>
      </c>
      <c r="K82" s="67">
        <f t="shared" si="25"/>
        <v>414.20000000000005</v>
      </c>
      <c r="L82" s="67">
        <f t="shared" si="25"/>
        <v>394.8</v>
      </c>
      <c r="M82" s="67">
        <f t="shared" si="25"/>
        <v>383.90000000000003</v>
      </c>
      <c r="N82" s="67">
        <f t="shared" si="25"/>
        <v>466</v>
      </c>
      <c r="O82" s="67">
        <f t="shared" si="25"/>
        <v>495.5</v>
      </c>
      <c r="P82" s="67">
        <f t="shared" si="25"/>
        <v>528.5</v>
      </c>
      <c r="Q82" s="67">
        <f t="shared" si="25"/>
        <v>532.9</v>
      </c>
      <c r="R82" s="67">
        <f t="shared" si="25"/>
        <v>569</v>
      </c>
      <c r="S82" s="67">
        <f t="shared" si="25"/>
        <v>554.4</v>
      </c>
      <c r="T82" s="67">
        <f t="shared" ref="T82" si="26">SUMIF(T71:T81,"&gt;0")</f>
        <v>562.20000000000005</v>
      </c>
      <c r="U82" s="67">
        <f t="shared" si="25"/>
        <v>549.66999999999996</v>
      </c>
      <c r="V82" s="67">
        <f t="shared" ref="V82:W82" si="27">SUMIF(V71:V81,"&gt;0")</f>
        <v>549.66999999999996</v>
      </c>
      <c r="W82" s="67">
        <f t="shared" si="27"/>
        <v>543.37</v>
      </c>
      <c r="X82" s="67">
        <f t="shared" si="25"/>
        <v>528.47</v>
      </c>
      <c r="Y82" s="67">
        <f t="shared" si="25"/>
        <v>539.37</v>
      </c>
      <c r="Z82" s="67">
        <f t="shared" si="25"/>
        <v>434.70000000000005</v>
      </c>
      <c r="AA82" s="67">
        <f t="shared" ref="AA82" si="28">SUMIF(AA71:AA81,"&gt;0")</f>
        <v>430.40000000000003</v>
      </c>
      <c r="AB82" s="67">
        <f t="shared" si="25"/>
        <v>426.9</v>
      </c>
      <c r="AC82" s="67">
        <f t="shared" si="25"/>
        <v>452.4</v>
      </c>
      <c r="AD82" s="67">
        <f t="shared" si="25"/>
        <v>459.4</v>
      </c>
      <c r="AE82" s="67">
        <f t="shared" si="25"/>
        <v>409.9</v>
      </c>
      <c r="AF82" s="67">
        <f t="shared" si="25"/>
        <v>386.3</v>
      </c>
      <c r="AG82" s="95">
        <f>SUM(AG71:AG81)</f>
        <v>0</v>
      </c>
      <c r="AH82" s="52">
        <f t="shared" si="23"/>
        <v>569</v>
      </c>
      <c r="AI82" s="53">
        <f t="shared" si="24"/>
        <v>316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3"/>
        <v>0</v>
      </c>
      <c r="AI83" s="53">
        <f t="shared" si="24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3"/>
        <v>0</v>
      </c>
      <c r="AI84" s="53">
        <f t="shared" si="24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3"/>
        <v>0</v>
      </c>
      <c r="AI85" s="53">
        <f t="shared" si="24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23"/>
        <v>0</v>
      </c>
      <c r="AI86" s="53">
        <f t="shared" si="24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29">B48+B52+B70+B66+B82+B86</f>
        <v>982.64</v>
      </c>
      <c r="C87" s="102">
        <f t="shared" si="29"/>
        <v>951.83999999999992</v>
      </c>
      <c r="D87" s="102">
        <f t="shared" si="29"/>
        <v>942.63999999999987</v>
      </c>
      <c r="E87" s="102">
        <f t="shared" si="29"/>
        <v>929.74</v>
      </c>
      <c r="F87" s="102">
        <f t="shared" si="29"/>
        <v>979.04</v>
      </c>
      <c r="G87" s="102">
        <f t="shared" si="29"/>
        <v>981.54000000000008</v>
      </c>
      <c r="H87" s="102">
        <f t="shared" si="29"/>
        <v>1075.24</v>
      </c>
      <c r="I87" s="102">
        <f t="shared" si="29"/>
        <v>1139.3400000000001</v>
      </c>
      <c r="J87" s="102">
        <f t="shared" si="29"/>
        <v>1233.54</v>
      </c>
      <c r="K87" s="102">
        <f t="shared" si="29"/>
        <v>1287.44</v>
      </c>
      <c r="L87" s="102">
        <f t="shared" si="29"/>
        <v>1303.8400000000001</v>
      </c>
      <c r="M87" s="102">
        <f t="shared" si="29"/>
        <v>1254.94</v>
      </c>
      <c r="N87" s="102">
        <f t="shared" si="29"/>
        <v>1164.6400000000001</v>
      </c>
      <c r="O87" s="102">
        <f t="shared" si="29"/>
        <v>1123.6399999999999</v>
      </c>
      <c r="P87" s="102">
        <f t="shared" si="29"/>
        <v>1166.74</v>
      </c>
      <c r="Q87" s="102">
        <f t="shared" si="29"/>
        <v>1188.1399999999999</v>
      </c>
      <c r="R87" s="102">
        <f t="shared" si="29"/>
        <v>1219.3400000000001</v>
      </c>
      <c r="S87" s="102">
        <f t="shared" si="29"/>
        <v>1224.94</v>
      </c>
      <c r="T87" s="102">
        <f t="shared" ref="T87" si="30">T48+T52+T70+T66+T82+T86</f>
        <v>1231.94</v>
      </c>
      <c r="U87" s="102">
        <f t="shared" si="29"/>
        <v>1240.4099999999999</v>
      </c>
      <c r="V87" s="102">
        <f t="shared" ref="V87:W87" si="31">V48+V52+V70+V66+V82+V86</f>
        <v>1229.21</v>
      </c>
      <c r="W87" s="102">
        <f t="shared" si="31"/>
        <v>1203.21</v>
      </c>
      <c r="X87" s="102">
        <f t="shared" si="29"/>
        <v>1229.81</v>
      </c>
      <c r="Y87" s="102">
        <f t="shared" si="29"/>
        <v>1279.21</v>
      </c>
      <c r="Z87" s="102">
        <f t="shared" si="29"/>
        <v>1293.1400000000001</v>
      </c>
      <c r="AA87" s="102">
        <f t="shared" ref="AA87" si="32">AA48+AA52+AA70+AA66+AA82+AA86</f>
        <v>1221.5400000000002</v>
      </c>
      <c r="AB87" s="102">
        <f t="shared" si="29"/>
        <v>1208.2400000000002</v>
      </c>
      <c r="AC87" s="102">
        <f t="shared" si="29"/>
        <v>1243.7400000000002</v>
      </c>
      <c r="AD87" s="102">
        <f t="shared" si="29"/>
        <v>1186.74</v>
      </c>
      <c r="AE87" s="102">
        <f t="shared" si="29"/>
        <v>1086.08</v>
      </c>
      <c r="AF87" s="102">
        <f t="shared" si="29"/>
        <v>1025.3400000000001</v>
      </c>
      <c r="AG87" s="68">
        <f t="shared" si="29"/>
        <v>2065.09</v>
      </c>
      <c r="AH87" s="52">
        <f>MAX(B87:AF87)</f>
        <v>1303.8400000000001</v>
      </c>
      <c r="AI87" s="53">
        <f>MIN(B87:AF87)</f>
        <v>929.74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>
        <v>40</v>
      </c>
      <c r="H88" s="104">
        <v>40</v>
      </c>
      <c r="I88" s="104">
        <v>45</v>
      </c>
      <c r="J88" s="104">
        <v>45</v>
      </c>
      <c r="K88" s="104">
        <v>120</v>
      </c>
      <c r="L88" s="104">
        <v>120</v>
      </c>
      <c r="M88" s="104">
        <v>140</v>
      </c>
      <c r="N88" s="104">
        <v>100</v>
      </c>
      <c r="O88" s="104">
        <v>100</v>
      </c>
      <c r="P88" s="104"/>
      <c r="Q88" s="104"/>
      <c r="R88" s="104"/>
      <c r="S88" s="104"/>
      <c r="T88" s="104"/>
      <c r="U88" s="104"/>
      <c r="V88" s="104"/>
      <c r="W88" s="104"/>
      <c r="X88" s="104">
        <v>150</v>
      </c>
      <c r="Y88" s="104">
        <v>150</v>
      </c>
      <c r="Z88" s="104">
        <v>150</v>
      </c>
      <c r="AA88" s="104">
        <v>150</v>
      </c>
      <c r="AB88" s="104"/>
      <c r="AC88" s="104"/>
      <c r="AD88" s="104"/>
      <c r="AE88" s="104"/>
      <c r="AF88" s="104"/>
      <c r="AG88" s="95"/>
      <c r="AH88" s="52">
        <f t="shared" si="23"/>
        <v>150</v>
      </c>
      <c r="AI88" s="53">
        <f t="shared" si="24"/>
        <v>40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33">B87+B88</f>
        <v>982.64</v>
      </c>
      <c r="C89" s="102">
        <f t="shared" si="33"/>
        <v>951.83999999999992</v>
      </c>
      <c r="D89" s="102">
        <f t="shared" si="33"/>
        <v>942.63999999999987</v>
      </c>
      <c r="E89" s="102">
        <f t="shared" si="33"/>
        <v>929.74</v>
      </c>
      <c r="F89" s="102">
        <f t="shared" si="33"/>
        <v>979.04</v>
      </c>
      <c r="G89" s="102">
        <f t="shared" si="33"/>
        <v>1021.5400000000001</v>
      </c>
      <c r="H89" s="102">
        <f t="shared" si="33"/>
        <v>1115.24</v>
      </c>
      <c r="I89" s="102">
        <f t="shared" si="33"/>
        <v>1184.3400000000001</v>
      </c>
      <c r="J89" s="102">
        <f t="shared" si="33"/>
        <v>1278.54</v>
      </c>
      <c r="K89" s="102">
        <f t="shared" si="33"/>
        <v>1407.44</v>
      </c>
      <c r="L89" s="102">
        <f t="shared" si="33"/>
        <v>1423.8400000000001</v>
      </c>
      <c r="M89" s="102">
        <f t="shared" si="33"/>
        <v>1394.94</v>
      </c>
      <c r="N89" s="102">
        <f t="shared" si="33"/>
        <v>1264.6400000000001</v>
      </c>
      <c r="O89" s="102">
        <f t="shared" si="33"/>
        <v>1223.6399999999999</v>
      </c>
      <c r="P89" s="102">
        <f t="shared" si="33"/>
        <v>1166.74</v>
      </c>
      <c r="Q89" s="102">
        <f t="shared" si="33"/>
        <v>1188.1399999999999</v>
      </c>
      <c r="R89" s="102">
        <f t="shared" si="33"/>
        <v>1219.3400000000001</v>
      </c>
      <c r="S89" s="102">
        <f t="shared" si="33"/>
        <v>1224.94</v>
      </c>
      <c r="T89" s="102">
        <f t="shared" ref="T89" si="34">T87+T88</f>
        <v>1231.94</v>
      </c>
      <c r="U89" s="102">
        <f t="shared" si="33"/>
        <v>1240.4099999999999</v>
      </c>
      <c r="V89" s="102">
        <f t="shared" ref="V89:W89" si="35">V87+V88</f>
        <v>1229.21</v>
      </c>
      <c r="W89" s="102">
        <f t="shared" si="35"/>
        <v>1203.21</v>
      </c>
      <c r="X89" s="102">
        <f t="shared" si="33"/>
        <v>1379.81</v>
      </c>
      <c r="Y89" s="102">
        <f t="shared" si="33"/>
        <v>1429.21</v>
      </c>
      <c r="Z89" s="102">
        <f t="shared" si="33"/>
        <v>1443.14</v>
      </c>
      <c r="AA89" s="102">
        <f t="shared" ref="AA89" si="36">AA87+AA88</f>
        <v>1371.5400000000002</v>
      </c>
      <c r="AB89" s="102">
        <f t="shared" si="33"/>
        <v>1208.2400000000002</v>
      </c>
      <c r="AC89" s="102">
        <f t="shared" si="33"/>
        <v>1243.7400000000002</v>
      </c>
      <c r="AD89" s="102">
        <f t="shared" si="33"/>
        <v>1186.74</v>
      </c>
      <c r="AE89" s="102">
        <f t="shared" si="33"/>
        <v>1086.08</v>
      </c>
      <c r="AF89" s="102">
        <f t="shared" si="33"/>
        <v>1025.3400000000001</v>
      </c>
      <c r="AG89" s="95">
        <f>AG86+AG82+AG70+AG66+AG48+AG88</f>
        <v>1526.99</v>
      </c>
      <c r="AH89" s="52">
        <f t="shared" si="23"/>
        <v>1443.14</v>
      </c>
      <c r="AI89" s="53">
        <f t="shared" si="24"/>
        <v>929.74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37">B89-B97</f>
        <v>982.64</v>
      </c>
      <c r="C90" s="102">
        <f t="shared" si="37"/>
        <v>951.83999999999992</v>
      </c>
      <c r="D90" s="102">
        <f t="shared" si="37"/>
        <v>942.63999999999987</v>
      </c>
      <c r="E90" s="102">
        <f t="shared" si="37"/>
        <v>929.74</v>
      </c>
      <c r="F90" s="102">
        <f t="shared" si="37"/>
        <v>979.04</v>
      </c>
      <c r="G90" s="102">
        <f t="shared" si="37"/>
        <v>1021.5400000000001</v>
      </c>
      <c r="H90" s="102">
        <f t="shared" si="37"/>
        <v>1115.24</v>
      </c>
      <c r="I90" s="102">
        <f t="shared" si="37"/>
        <v>1184.3400000000001</v>
      </c>
      <c r="J90" s="102">
        <f t="shared" si="37"/>
        <v>1278.54</v>
      </c>
      <c r="K90" s="102">
        <f t="shared" si="37"/>
        <v>1407.44</v>
      </c>
      <c r="L90" s="102">
        <f t="shared" si="37"/>
        <v>1423.8400000000001</v>
      </c>
      <c r="M90" s="102">
        <f t="shared" si="37"/>
        <v>1394.94</v>
      </c>
      <c r="N90" s="102">
        <f t="shared" si="37"/>
        <v>1264.6400000000001</v>
      </c>
      <c r="O90" s="102">
        <f t="shared" si="37"/>
        <v>1223.6399999999999</v>
      </c>
      <c r="P90" s="102">
        <f t="shared" si="37"/>
        <v>1166.74</v>
      </c>
      <c r="Q90" s="102">
        <f t="shared" si="37"/>
        <v>1188.1399999999999</v>
      </c>
      <c r="R90" s="102">
        <f t="shared" si="37"/>
        <v>1219.3400000000001</v>
      </c>
      <c r="S90" s="102">
        <f t="shared" si="37"/>
        <v>1224.94</v>
      </c>
      <c r="T90" s="102">
        <f t="shared" ref="T90" si="38">T89-T97</f>
        <v>1231.94</v>
      </c>
      <c r="U90" s="102">
        <f t="shared" si="37"/>
        <v>1240.4099999999999</v>
      </c>
      <c r="V90" s="102">
        <f t="shared" ref="V90:W90" si="39">V89-V97</f>
        <v>1229.21</v>
      </c>
      <c r="W90" s="102">
        <f t="shared" si="39"/>
        <v>1203.21</v>
      </c>
      <c r="X90" s="102">
        <f t="shared" si="37"/>
        <v>1379.81</v>
      </c>
      <c r="Y90" s="102">
        <f t="shared" si="37"/>
        <v>1429.21</v>
      </c>
      <c r="Z90" s="102">
        <f t="shared" si="37"/>
        <v>1443.14</v>
      </c>
      <c r="AA90" s="102">
        <f t="shared" ref="AA90" si="40">AA89-AA97</f>
        <v>1371.5400000000002</v>
      </c>
      <c r="AB90" s="102">
        <f t="shared" si="37"/>
        <v>1208.2400000000002</v>
      </c>
      <c r="AC90" s="102">
        <f t="shared" si="37"/>
        <v>1243.7400000000002</v>
      </c>
      <c r="AD90" s="102">
        <f t="shared" si="37"/>
        <v>1186.74</v>
      </c>
      <c r="AE90" s="102">
        <f t="shared" si="37"/>
        <v>1086.08</v>
      </c>
      <c r="AF90" s="102">
        <f t="shared" si="37"/>
        <v>1025.3400000000001</v>
      </c>
      <c r="AG90" s="95"/>
      <c r="AH90" s="52">
        <f t="shared" si="23"/>
        <v>1443.14</v>
      </c>
      <c r="AI90" s="53">
        <f t="shared" si="24"/>
        <v>929.74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3"/>
        <v>0</v>
      </c>
      <c r="AI91" s="53">
        <f t="shared" si="24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3"/>
        <v>0</v>
      </c>
      <c r="AI92" s="53">
        <f t="shared" si="24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3"/>
        <v>0</v>
      </c>
      <c r="AI93" s="53">
        <f t="shared" si="24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3"/>
        <v>0</v>
      </c>
      <c r="AI94" s="53">
        <f t="shared" si="24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3"/>
        <v>0</v>
      </c>
      <c r="AI95" s="53">
        <f t="shared" si="24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3"/>
        <v>0</v>
      </c>
      <c r="AI96" s="53">
        <f t="shared" si="24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23"/>
        <v>0</v>
      </c>
      <c r="AI97" s="53">
        <f t="shared" si="24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41">B82-B97</f>
        <v>316</v>
      </c>
      <c r="C98" s="67">
        <f t="shared" si="41"/>
        <v>333.8</v>
      </c>
      <c r="D98" s="67">
        <f t="shared" si="41"/>
        <v>354.59999999999997</v>
      </c>
      <c r="E98" s="67">
        <f t="shared" si="41"/>
        <v>343.2</v>
      </c>
      <c r="F98" s="67">
        <f t="shared" si="41"/>
        <v>342.29999999999995</v>
      </c>
      <c r="G98" s="67">
        <f t="shared" si="41"/>
        <v>419.70000000000005</v>
      </c>
      <c r="H98" s="67">
        <f t="shared" si="41"/>
        <v>494.6</v>
      </c>
      <c r="I98" s="67">
        <f t="shared" si="41"/>
        <v>454.40000000000003</v>
      </c>
      <c r="J98" s="67">
        <f t="shared" si="41"/>
        <v>456.6</v>
      </c>
      <c r="K98" s="67">
        <f t="shared" si="41"/>
        <v>414.20000000000005</v>
      </c>
      <c r="L98" s="67">
        <f t="shared" si="41"/>
        <v>394.8</v>
      </c>
      <c r="M98" s="67">
        <f t="shared" si="41"/>
        <v>383.90000000000003</v>
      </c>
      <c r="N98" s="67">
        <f t="shared" si="41"/>
        <v>466</v>
      </c>
      <c r="O98" s="67">
        <f t="shared" si="41"/>
        <v>495.5</v>
      </c>
      <c r="P98" s="67">
        <f t="shared" si="41"/>
        <v>528.5</v>
      </c>
      <c r="Q98" s="67">
        <f t="shared" si="41"/>
        <v>532.9</v>
      </c>
      <c r="R98" s="67">
        <f t="shared" si="41"/>
        <v>569</v>
      </c>
      <c r="S98" s="67">
        <f t="shared" si="41"/>
        <v>554.4</v>
      </c>
      <c r="T98" s="67">
        <f t="shared" si="41"/>
        <v>562.20000000000005</v>
      </c>
      <c r="U98" s="67">
        <f t="shared" si="41"/>
        <v>549.66999999999996</v>
      </c>
      <c r="V98" s="67">
        <f t="shared" ref="V98:W98" si="42">V82-V97</f>
        <v>549.66999999999996</v>
      </c>
      <c r="W98" s="67">
        <f t="shared" si="42"/>
        <v>543.37</v>
      </c>
      <c r="X98" s="67">
        <f t="shared" si="41"/>
        <v>528.47</v>
      </c>
      <c r="Y98" s="67">
        <f t="shared" si="41"/>
        <v>539.37</v>
      </c>
      <c r="Z98" s="67">
        <f t="shared" si="41"/>
        <v>434.70000000000005</v>
      </c>
      <c r="AA98" s="67">
        <f t="shared" ref="AA98" si="43">AA82-AA97</f>
        <v>430.40000000000003</v>
      </c>
      <c r="AB98" s="67">
        <f t="shared" si="41"/>
        <v>426.9</v>
      </c>
      <c r="AC98" s="67">
        <f t="shared" si="41"/>
        <v>452.4</v>
      </c>
      <c r="AD98" s="67">
        <f t="shared" si="41"/>
        <v>459.4</v>
      </c>
      <c r="AE98" s="67">
        <f t="shared" si="41"/>
        <v>409.9</v>
      </c>
      <c r="AF98" s="67">
        <f t="shared" si="41"/>
        <v>386.3</v>
      </c>
      <c r="AG98" s="95"/>
      <c r="AH98" s="52">
        <f t="shared" si="23"/>
        <v>569</v>
      </c>
      <c r="AI98" s="53">
        <f t="shared" si="24"/>
        <v>316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49.929000000000002</v>
      </c>
      <c r="C99" s="108">
        <v>49.959000000000003</v>
      </c>
      <c r="D99" s="108">
        <v>50.012999999999998</v>
      </c>
      <c r="E99" s="108">
        <v>49.991</v>
      </c>
      <c r="F99" s="108">
        <v>49.933</v>
      </c>
      <c r="G99" s="108">
        <v>49.920999999999999</v>
      </c>
      <c r="H99" s="108">
        <v>49.831000000000003</v>
      </c>
      <c r="I99" s="108">
        <v>49.773000000000003</v>
      </c>
      <c r="J99" s="108">
        <v>49.819000000000003</v>
      </c>
      <c r="K99" s="108">
        <v>50.045999999999999</v>
      </c>
      <c r="L99" s="108">
        <v>50.012999999999998</v>
      </c>
      <c r="M99" s="108">
        <v>50.107999999999997</v>
      </c>
      <c r="N99" s="108">
        <v>50.064</v>
      </c>
      <c r="O99" s="108">
        <v>50.058999999999997</v>
      </c>
      <c r="P99" s="108">
        <v>50.031999999999996</v>
      </c>
      <c r="Q99" s="108">
        <v>49.948</v>
      </c>
      <c r="R99" s="108">
        <v>49.945</v>
      </c>
      <c r="S99" s="108">
        <v>49.91</v>
      </c>
      <c r="T99" s="108">
        <v>49.87</v>
      </c>
      <c r="U99" s="108">
        <v>49.96</v>
      </c>
      <c r="V99" s="108">
        <v>49.96</v>
      </c>
      <c r="W99" s="108">
        <v>50.05</v>
      </c>
      <c r="X99" s="108">
        <v>50.28</v>
      </c>
      <c r="Y99" s="108">
        <v>49.93</v>
      </c>
      <c r="Z99" s="108">
        <v>50</v>
      </c>
      <c r="AA99" s="108">
        <v>50.1</v>
      </c>
      <c r="AB99" s="108">
        <v>50.05</v>
      </c>
      <c r="AC99" s="108">
        <v>49.948999999999998</v>
      </c>
      <c r="AD99" s="108">
        <v>50.024000000000001</v>
      </c>
      <c r="AE99" s="108">
        <v>49.988</v>
      </c>
      <c r="AF99" s="108">
        <v>49.84</v>
      </c>
      <c r="AG99" s="109"/>
      <c r="AH99" s="52">
        <f t="shared" si="23"/>
        <v>50.28</v>
      </c>
      <c r="AI99" s="53">
        <f t="shared" si="24"/>
        <v>49.773000000000003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128.19999999999999</v>
      </c>
      <c r="C100" s="72">
        <v>127.6</v>
      </c>
      <c r="D100" s="72">
        <v>129.69999999999999</v>
      </c>
      <c r="E100" s="72">
        <v>128.4</v>
      </c>
      <c r="F100" s="72">
        <v>126.8</v>
      </c>
      <c r="G100" s="72">
        <v>131.1</v>
      </c>
      <c r="H100" s="72">
        <v>127.8</v>
      </c>
      <c r="I100" s="72">
        <v>127.5</v>
      </c>
      <c r="J100" s="72">
        <v>127.1</v>
      </c>
      <c r="K100" s="72">
        <v>126.6</v>
      </c>
      <c r="L100" s="72">
        <v>126.6</v>
      </c>
      <c r="M100" s="72">
        <v>125.9</v>
      </c>
      <c r="N100" s="72">
        <v>126.5</v>
      </c>
      <c r="O100" s="72">
        <v>125.1</v>
      </c>
      <c r="P100" s="72">
        <v>126.2</v>
      </c>
      <c r="Q100" s="72">
        <v>126.2</v>
      </c>
      <c r="R100" s="72">
        <v>126.1</v>
      </c>
      <c r="S100" s="72">
        <v>126.2</v>
      </c>
      <c r="T100" s="72">
        <v>126</v>
      </c>
      <c r="U100" s="72">
        <v>126.6</v>
      </c>
      <c r="V100" s="72">
        <v>126.6</v>
      </c>
      <c r="W100" s="72">
        <v>129.80000000000001</v>
      </c>
      <c r="X100" s="72">
        <v>128.30000000000001</v>
      </c>
      <c r="Y100" s="72">
        <v>127.8</v>
      </c>
      <c r="Z100" s="72">
        <v>128.19999999999999</v>
      </c>
      <c r="AA100" s="72">
        <v>129.80000000000001</v>
      </c>
      <c r="AB100" s="72">
        <v>130.4</v>
      </c>
      <c r="AC100" s="72">
        <v>130.19999999999999</v>
      </c>
      <c r="AD100" s="72">
        <v>129.9</v>
      </c>
      <c r="AE100" s="72">
        <v>129.80000000000001</v>
      </c>
      <c r="AF100" s="72">
        <v>130.69999999999999</v>
      </c>
      <c r="AG100" s="111"/>
      <c r="AH100" s="52">
        <f t="shared" si="23"/>
        <v>131.1</v>
      </c>
      <c r="AI100" s="53">
        <f t="shared" si="24"/>
        <v>125.1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131.69999999999999</v>
      </c>
      <c r="C101" s="72">
        <v>131.1</v>
      </c>
      <c r="D101" s="72">
        <v>132.69999999999999</v>
      </c>
      <c r="E101" s="72">
        <v>132.30000000000001</v>
      </c>
      <c r="F101" s="72">
        <v>130.6</v>
      </c>
      <c r="G101" s="72">
        <v>133.5</v>
      </c>
      <c r="H101" s="72">
        <v>130.4</v>
      </c>
      <c r="I101" s="72">
        <v>130</v>
      </c>
      <c r="J101" s="72">
        <v>129.4</v>
      </c>
      <c r="K101" s="72">
        <v>128.6</v>
      </c>
      <c r="L101" s="72">
        <v>128.69999999999999</v>
      </c>
      <c r="M101" s="72">
        <v>128.5</v>
      </c>
      <c r="N101" s="72">
        <v>129</v>
      </c>
      <c r="O101" s="72">
        <v>128</v>
      </c>
      <c r="P101" s="72">
        <v>128.69999999999999</v>
      </c>
      <c r="Q101" s="72">
        <v>128.69999999999999</v>
      </c>
      <c r="R101" s="72">
        <v>128.4</v>
      </c>
      <c r="S101" s="72">
        <v>128.5</v>
      </c>
      <c r="T101" s="72">
        <v>128.19999999999999</v>
      </c>
      <c r="U101" s="72">
        <v>129.19999999999999</v>
      </c>
      <c r="V101" s="72">
        <v>129.19999999999999</v>
      </c>
      <c r="W101" s="72">
        <v>131.30000000000001</v>
      </c>
      <c r="X101" s="72">
        <v>130</v>
      </c>
      <c r="Y101" s="72">
        <v>129.30000000000001</v>
      </c>
      <c r="Z101" s="72">
        <v>129.4</v>
      </c>
      <c r="AA101" s="72">
        <v>130.4</v>
      </c>
      <c r="AB101" s="72">
        <v>131.80000000000001</v>
      </c>
      <c r="AC101" s="72">
        <v>131.6</v>
      </c>
      <c r="AD101" s="72">
        <v>131.6</v>
      </c>
      <c r="AE101" s="72">
        <v>132.6</v>
      </c>
      <c r="AF101" s="72">
        <v>133.5</v>
      </c>
      <c r="AG101" s="111"/>
      <c r="AH101" s="52">
        <f t="shared" si="23"/>
        <v>133.5</v>
      </c>
      <c r="AI101" s="53">
        <f t="shared" si="24"/>
        <v>128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133.4</v>
      </c>
      <c r="C102" s="72">
        <v>134</v>
      </c>
      <c r="D102" s="72">
        <v>133.6</v>
      </c>
      <c r="E102" s="72">
        <v>133.4</v>
      </c>
      <c r="F102" s="72">
        <v>132.1</v>
      </c>
      <c r="G102" s="72">
        <v>133.5</v>
      </c>
      <c r="H102" s="72">
        <v>131.69999999999999</v>
      </c>
      <c r="I102" s="72">
        <v>131.4</v>
      </c>
      <c r="J102" s="72">
        <v>130.5</v>
      </c>
      <c r="K102" s="72">
        <v>126.9</v>
      </c>
      <c r="L102" s="72">
        <v>130.9</v>
      </c>
      <c r="M102" s="72">
        <v>132</v>
      </c>
      <c r="N102" s="72">
        <v>130.5</v>
      </c>
      <c r="O102" s="72">
        <v>126.4</v>
      </c>
      <c r="P102" s="72">
        <v>129.69999999999999</v>
      </c>
      <c r="Q102" s="72">
        <v>130.30000000000001</v>
      </c>
      <c r="R102" s="72">
        <v>130.4</v>
      </c>
      <c r="S102" s="72">
        <v>127.5</v>
      </c>
      <c r="T102" s="72">
        <v>126.3</v>
      </c>
      <c r="U102" s="72">
        <v>125.3</v>
      </c>
      <c r="V102" s="72">
        <v>125.3</v>
      </c>
      <c r="W102" s="72">
        <v>131.19999999999999</v>
      </c>
      <c r="X102" s="72">
        <v>127.7</v>
      </c>
      <c r="Y102" s="72">
        <v>125.2</v>
      </c>
      <c r="Z102" s="72">
        <v>131.9</v>
      </c>
      <c r="AA102" s="72">
        <v>132.9</v>
      </c>
      <c r="AB102" s="72">
        <v>129</v>
      </c>
      <c r="AC102" s="72">
        <v>129.5</v>
      </c>
      <c r="AD102" s="72">
        <v>129.69999999999999</v>
      </c>
      <c r="AE102" s="72">
        <v>130.80000000000001</v>
      </c>
      <c r="AF102" s="72">
        <v>130.80000000000001</v>
      </c>
      <c r="AG102" s="111"/>
      <c r="AH102" s="52">
        <f t="shared" si="23"/>
        <v>134</v>
      </c>
      <c r="AI102" s="53">
        <f t="shared" si="24"/>
        <v>125.2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3"/>
        <v>0</v>
      </c>
      <c r="AI103" s="53">
        <f t="shared" si="24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131.69999999999999</v>
      </c>
      <c r="C104" s="113">
        <v>131.6</v>
      </c>
      <c r="D104" s="113">
        <v>133</v>
      </c>
      <c r="E104" s="113">
        <v>134.6</v>
      </c>
      <c r="F104" s="113">
        <v>130.9</v>
      </c>
      <c r="G104" s="113">
        <v>135.19999999999999</v>
      </c>
      <c r="H104" s="113">
        <v>131.4</v>
      </c>
      <c r="I104" s="113">
        <v>132.5</v>
      </c>
      <c r="J104" s="113">
        <v>132.80000000000001</v>
      </c>
      <c r="K104" s="113">
        <v>134</v>
      </c>
      <c r="L104" s="113">
        <v>134.4</v>
      </c>
      <c r="M104" s="113">
        <v>132.4</v>
      </c>
      <c r="N104" s="113">
        <v>133.9</v>
      </c>
      <c r="O104" s="113">
        <v>131.4</v>
      </c>
      <c r="P104" s="113">
        <v>131.30000000000001</v>
      </c>
      <c r="Q104" s="113">
        <v>132.30000000000001</v>
      </c>
      <c r="R104" s="113">
        <v>132.1</v>
      </c>
      <c r="S104" s="113">
        <v>130.9</v>
      </c>
      <c r="T104" s="113">
        <v>132.30000000000001</v>
      </c>
      <c r="U104" s="113">
        <v>133.1</v>
      </c>
      <c r="V104" s="113">
        <v>133.1</v>
      </c>
      <c r="W104" s="113">
        <v>136</v>
      </c>
      <c r="X104" s="113">
        <v>135.4</v>
      </c>
      <c r="Y104" s="113">
        <v>135.19999999999999</v>
      </c>
      <c r="Z104" s="113">
        <v>135</v>
      </c>
      <c r="AA104" s="113">
        <v>135.69999999999999</v>
      </c>
      <c r="AB104" s="113">
        <v>136</v>
      </c>
      <c r="AC104" s="113">
        <v>136.6</v>
      </c>
      <c r="AD104" s="113">
        <v>134.80000000000001</v>
      </c>
      <c r="AE104" s="113">
        <v>134</v>
      </c>
      <c r="AF104" s="113">
        <v>134</v>
      </c>
      <c r="AG104" s="114"/>
      <c r="AH104" s="52">
        <f t="shared" si="23"/>
        <v>136.6</v>
      </c>
      <c r="AI104" s="53">
        <f t="shared" si="24"/>
        <v>130.9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129.6</v>
      </c>
      <c r="C105" s="72">
        <v>131</v>
      </c>
      <c r="D105" s="72">
        <v>131.30000000000001</v>
      </c>
      <c r="E105" s="72">
        <v>135.19999999999999</v>
      </c>
      <c r="F105" s="72">
        <v>130.19999999999999</v>
      </c>
      <c r="G105" s="72">
        <v>135.19999999999999</v>
      </c>
      <c r="H105" s="72">
        <v>130.9</v>
      </c>
      <c r="I105" s="72">
        <v>133</v>
      </c>
      <c r="J105" s="72">
        <v>128.69999999999999</v>
      </c>
      <c r="K105" s="72">
        <v>132.5</v>
      </c>
      <c r="L105" s="72">
        <v>130.6</v>
      </c>
      <c r="M105" s="72">
        <v>134.5</v>
      </c>
      <c r="N105" s="72">
        <v>135.30000000000001</v>
      </c>
      <c r="O105" s="72">
        <v>133.5</v>
      </c>
      <c r="P105" s="72">
        <v>126.4</v>
      </c>
      <c r="Q105" s="72">
        <v>130.5</v>
      </c>
      <c r="R105" s="72">
        <v>131.1</v>
      </c>
      <c r="S105" s="72">
        <v>131.19999999999999</v>
      </c>
      <c r="T105" s="72">
        <v>132.6</v>
      </c>
      <c r="U105" s="72">
        <v>127.5</v>
      </c>
      <c r="V105" s="72">
        <v>127.5</v>
      </c>
      <c r="W105" s="72">
        <v>131</v>
      </c>
      <c r="X105" s="72">
        <v>133.9</v>
      </c>
      <c r="Y105" s="72">
        <v>132.19999999999999</v>
      </c>
      <c r="Z105" s="72">
        <v>132.19999999999999</v>
      </c>
      <c r="AA105" s="72">
        <v>134.4</v>
      </c>
      <c r="AB105" s="72">
        <v>135.9</v>
      </c>
      <c r="AC105" s="72">
        <v>134.9</v>
      </c>
      <c r="AD105" s="72">
        <v>135.9</v>
      </c>
      <c r="AE105" s="72">
        <v>131.69999999999999</v>
      </c>
      <c r="AF105" s="72">
        <v>131.69999999999999</v>
      </c>
      <c r="AG105" s="111"/>
      <c r="AH105" s="52">
        <f t="shared" si="23"/>
        <v>135.9</v>
      </c>
      <c r="AI105" s="53">
        <f t="shared" si="24"/>
        <v>126.4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66.2</v>
      </c>
      <c r="C106" s="99">
        <v>66</v>
      </c>
      <c r="D106" s="99">
        <v>66.7</v>
      </c>
      <c r="E106" s="99">
        <v>66.400000000000006</v>
      </c>
      <c r="F106" s="99">
        <v>65.8</v>
      </c>
      <c r="G106" s="99">
        <v>67</v>
      </c>
      <c r="H106" s="99">
        <v>65.599999999999994</v>
      </c>
      <c r="I106" s="99">
        <v>65.099999999999994</v>
      </c>
      <c r="J106" s="99">
        <v>64.8</v>
      </c>
      <c r="K106" s="99">
        <v>64.400000000000006</v>
      </c>
      <c r="L106" s="99">
        <v>64.5</v>
      </c>
      <c r="M106" s="99">
        <v>64.400000000000006</v>
      </c>
      <c r="N106" s="99">
        <v>64.7</v>
      </c>
      <c r="O106" s="99">
        <v>64.2</v>
      </c>
      <c r="P106" s="99">
        <v>64.5</v>
      </c>
      <c r="Q106" s="99">
        <v>64.5</v>
      </c>
      <c r="R106" s="99">
        <v>64.5</v>
      </c>
      <c r="S106" s="99">
        <v>64.5</v>
      </c>
      <c r="T106" s="99">
        <v>64.3</v>
      </c>
      <c r="U106" s="99">
        <v>64.900000000000006</v>
      </c>
      <c r="V106" s="99">
        <v>64.900000000000006</v>
      </c>
      <c r="W106" s="99">
        <v>65.5</v>
      </c>
      <c r="X106" s="99">
        <v>65</v>
      </c>
      <c r="Y106" s="99">
        <v>64.7</v>
      </c>
      <c r="Z106" s="99">
        <v>64.099999999999994</v>
      </c>
      <c r="AA106" s="99">
        <v>65.2</v>
      </c>
      <c r="AB106" s="99">
        <v>66</v>
      </c>
      <c r="AC106" s="99">
        <v>65.900000000000006</v>
      </c>
      <c r="AD106" s="99">
        <v>65.599999999999994</v>
      </c>
      <c r="AE106" s="99">
        <v>66.599999999999994</v>
      </c>
      <c r="AF106" s="99">
        <v>66.599999999999994</v>
      </c>
      <c r="AG106" s="115"/>
      <c r="AH106" s="52">
        <f t="shared" si="23"/>
        <v>67</v>
      </c>
      <c r="AI106" s="53">
        <f t="shared" si="24"/>
        <v>64.099999999999994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23"/>
        <v>0</v>
      </c>
      <c r="AI107" s="53">
        <f t="shared" si="24"/>
        <v>0</v>
      </c>
    </row>
    <row r="108" spans="1:88" ht="15.75" thickBot="1" x14ac:dyDescent="0.3">
      <c r="A108" s="117" t="s">
        <v>112</v>
      </c>
      <c r="B108" s="118">
        <f t="shared" ref="B108:AF108" si="44">SUM(B18,B24,B27:B28,B56,B58:B59,B61,B63,B109:B113,B135,B141,B147,B156,B158,B170,B177,B180:B181,B188,B190,B192,B196:B198,B200:B202,B207,B213:B214,B216:B218,B226,B231)</f>
        <v>110.8</v>
      </c>
      <c r="C108" s="118">
        <f t="shared" si="44"/>
        <v>113.83999999999999</v>
      </c>
      <c r="D108" s="118">
        <f t="shared" si="44"/>
        <v>108.04</v>
      </c>
      <c r="E108" s="118">
        <f t="shared" si="44"/>
        <v>110.93999999999998</v>
      </c>
      <c r="F108" s="118">
        <f t="shared" si="44"/>
        <v>113.53999999999999</v>
      </c>
      <c r="G108" s="118">
        <f t="shared" si="44"/>
        <v>134.44</v>
      </c>
      <c r="H108" s="118">
        <f t="shared" si="44"/>
        <v>166.34</v>
      </c>
      <c r="I108" s="118">
        <f t="shared" si="44"/>
        <v>201.14</v>
      </c>
      <c r="J108" s="118">
        <f t="shared" si="44"/>
        <v>256.04000000000002</v>
      </c>
      <c r="K108" s="118">
        <f t="shared" si="44"/>
        <v>291.74</v>
      </c>
      <c r="L108" s="118">
        <f t="shared" si="44"/>
        <v>310.23999999999995</v>
      </c>
      <c r="M108" s="118">
        <f t="shared" si="44"/>
        <v>306.33999999999997</v>
      </c>
      <c r="N108" s="118">
        <f t="shared" si="44"/>
        <v>280.64</v>
      </c>
      <c r="O108" s="118">
        <f t="shared" si="44"/>
        <v>270.33999999999997</v>
      </c>
      <c r="P108" s="118">
        <v>42</v>
      </c>
      <c r="Q108" s="118">
        <f t="shared" si="44"/>
        <v>243.3</v>
      </c>
      <c r="R108" s="118">
        <f t="shared" si="44"/>
        <v>246.3</v>
      </c>
      <c r="S108" s="118">
        <f t="shared" si="44"/>
        <v>240.7</v>
      </c>
      <c r="T108" s="118">
        <f t="shared" si="44"/>
        <v>243.7</v>
      </c>
      <c r="U108" s="118">
        <f t="shared" si="44"/>
        <v>261.29999999999995</v>
      </c>
      <c r="V108" s="118">
        <f t="shared" ref="V108:W108" si="45">SUM(V18,V24,V27:V28,V56,V58:V59,V61,V63,V109:V113,V135,V141,V147,V156,V158,V170,V177,V180:V181,V188,V190,V192,V196:V198,V200:V202,V207,V213:V214,V216:V218,V226,V231)</f>
        <v>261.29999999999995</v>
      </c>
      <c r="W108" s="118">
        <f t="shared" si="45"/>
        <v>256.5</v>
      </c>
      <c r="X108" s="118">
        <f t="shared" si="44"/>
        <v>312.29999999999995</v>
      </c>
      <c r="Y108" s="118">
        <f t="shared" si="44"/>
        <v>329.1</v>
      </c>
      <c r="Z108" s="118">
        <f t="shared" si="44"/>
        <v>344.59999999999997</v>
      </c>
      <c r="AA108" s="118">
        <f t="shared" ref="AA108" si="46">SUM(AA18,AA24,AA27:AA28,AA56,AA58:AA59,AA61,AA63,AA109:AA113,AA135,AA141,AA147,AA156,AA158,AA170,AA177,AA180:AA181,AA188,AA190,AA192,AA196:AA198,AA200:AA202,AA207,AA213:AA214,AA216:AA218,AA226,AA231)</f>
        <v>306.09999999999997</v>
      </c>
      <c r="AB108" s="118">
        <f t="shared" si="44"/>
        <v>281.89999999999998</v>
      </c>
      <c r="AC108" s="118">
        <f t="shared" si="44"/>
        <v>283.10000000000002</v>
      </c>
      <c r="AD108" s="118">
        <f t="shared" si="44"/>
        <v>242.89999999999998</v>
      </c>
      <c r="AE108" s="118">
        <f t="shared" si="44"/>
        <v>165.79999999999998</v>
      </c>
      <c r="AF108" s="118">
        <f t="shared" si="44"/>
        <v>133.1</v>
      </c>
      <c r="AG108" s="119"/>
      <c r="AH108" s="52">
        <f t="shared" si="23"/>
        <v>344.59999999999997</v>
      </c>
      <c r="AI108" s="53">
        <f t="shared" si="24"/>
        <v>42</v>
      </c>
    </row>
    <row r="109" spans="1:88" x14ac:dyDescent="0.25">
      <c r="A109" s="107" t="s">
        <v>113</v>
      </c>
      <c r="B109" s="120">
        <v>-5.7</v>
      </c>
      <c r="C109" s="120">
        <v>-17.399999999999999</v>
      </c>
      <c r="D109" s="120">
        <v>-16.3</v>
      </c>
      <c r="E109" s="120">
        <v>-14.9</v>
      </c>
      <c r="F109" s="120">
        <v>-17.899999999999999</v>
      </c>
      <c r="G109" s="120">
        <v>-9.4</v>
      </c>
      <c r="H109" s="120">
        <v>-18</v>
      </c>
      <c r="I109" s="120">
        <v>-5</v>
      </c>
      <c r="J109" s="120">
        <v>11</v>
      </c>
      <c r="K109" s="120">
        <v>24.8</v>
      </c>
      <c r="L109" s="120">
        <v>23.4</v>
      </c>
      <c r="M109" s="120">
        <v>17.600000000000001</v>
      </c>
      <c r="N109" s="120">
        <v>14.5</v>
      </c>
      <c r="O109" s="120">
        <v>15.6</v>
      </c>
      <c r="P109" s="120">
        <v>15.6</v>
      </c>
      <c r="Q109" s="120">
        <v>10.4</v>
      </c>
      <c r="R109" s="120">
        <v>3.4</v>
      </c>
      <c r="S109" s="120">
        <v>9</v>
      </c>
      <c r="T109" s="120">
        <v>6.1</v>
      </c>
      <c r="U109" s="120">
        <v>7.5</v>
      </c>
      <c r="V109" s="120">
        <v>7.5</v>
      </c>
      <c r="W109" s="120">
        <v>7.3</v>
      </c>
      <c r="X109" s="120">
        <v>22.1</v>
      </c>
      <c r="Y109" s="120">
        <v>30.2</v>
      </c>
      <c r="Z109" s="120">
        <v>35.9</v>
      </c>
      <c r="AA109" s="120">
        <v>27.6</v>
      </c>
      <c r="AB109" s="120">
        <v>23.5</v>
      </c>
      <c r="AC109" s="120">
        <v>24.5</v>
      </c>
      <c r="AD109" s="120">
        <v>22.7</v>
      </c>
      <c r="AE109" s="120">
        <v>9.6999999999999993</v>
      </c>
      <c r="AF109" s="120">
        <v>2.7</v>
      </c>
      <c r="AG109" s="121">
        <v>75</v>
      </c>
      <c r="AH109" s="52">
        <f t="shared" si="23"/>
        <v>35.9</v>
      </c>
      <c r="AI109" s="53">
        <f t="shared" si="24"/>
        <v>-18</v>
      </c>
    </row>
    <row r="110" spans="1:88" x14ac:dyDescent="0.25">
      <c r="A110" s="110" t="s">
        <v>114</v>
      </c>
      <c r="B110" s="122">
        <v>-11.5</v>
      </c>
      <c r="C110" s="122">
        <v>-26.5</v>
      </c>
      <c r="D110" s="122">
        <v>-25.3</v>
      </c>
      <c r="E110" s="122">
        <v>-24.1</v>
      </c>
      <c r="F110" s="122">
        <v>-27.9</v>
      </c>
      <c r="G110" s="122">
        <v>-16.899999999999999</v>
      </c>
      <c r="H110" s="122">
        <v>-31.2</v>
      </c>
      <c r="I110" s="122">
        <v>-11.9</v>
      </c>
      <c r="J110" s="122">
        <v>7.9</v>
      </c>
      <c r="K110" s="122">
        <v>26.5</v>
      </c>
      <c r="L110" s="122">
        <v>23.2</v>
      </c>
      <c r="M110" s="122">
        <v>15.6</v>
      </c>
      <c r="N110" s="122">
        <v>13.5</v>
      </c>
      <c r="O110" s="122">
        <v>15.8</v>
      </c>
      <c r="P110" s="122">
        <v>18.899999999999999</v>
      </c>
      <c r="Q110" s="122">
        <v>14.6</v>
      </c>
      <c r="R110" s="122">
        <v>3.4</v>
      </c>
      <c r="S110" s="122">
        <v>11.2</v>
      </c>
      <c r="T110" s="122">
        <v>7.3</v>
      </c>
      <c r="U110" s="122">
        <v>9.3000000000000007</v>
      </c>
      <c r="V110" s="122">
        <v>9.3000000000000007</v>
      </c>
      <c r="W110" s="122">
        <v>3.8</v>
      </c>
      <c r="X110" s="122">
        <v>22.7</v>
      </c>
      <c r="Y110" s="122">
        <v>32.5</v>
      </c>
      <c r="Z110" s="122">
        <v>41.2</v>
      </c>
      <c r="AA110" s="122">
        <v>29.4</v>
      </c>
      <c r="AB110" s="122">
        <v>26.6</v>
      </c>
      <c r="AC110" s="122">
        <v>28.5</v>
      </c>
      <c r="AD110" s="122">
        <v>27.1</v>
      </c>
      <c r="AE110" s="122">
        <v>11.1</v>
      </c>
      <c r="AF110" s="122">
        <v>5.6</v>
      </c>
      <c r="AG110" s="121">
        <v>240</v>
      </c>
      <c r="AH110" s="52">
        <f t="shared" si="23"/>
        <v>41.2</v>
      </c>
      <c r="AI110" s="53">
        <f t="shared" si="24"/>
        <v>-31.2</v>
      </c>
    </row>
    <row r="111" spans="1:88" x14ac:dyDescent="0.25">
      <c r="A111" s="110" t="s">
        <v>115</v>
      </c>
      <c r="B111" s="122">
        <v>-37</v>
      </c>
      <c r="C111" s="122">
        <v>-27</v>
      </c>
      <c r="D111" s="122">
        <v>-26</v>
      </c>
      <c r="E111" s="122">
        <v>-30</v>
      </c>
      <c r="F111" s="122">
        <v>-29</v>
      </c>
      <c r="G111" s="122">
        <v>-5.5</v>
      </c>
      <c r="H111" s="122">
        <v>14</v>
      </c>
      <c r="I111" s="122">
        <v>14.8</v>
      </c>
      <c r="J111" s="122">
        <v>26</v>
      </c>
      <c r="K111" s="122">
        <v>26</v>
      </c>
      <c r="L111" s="122">
        <v>48</v>
      </c>
      <c r="M111" s="122">
        <v>47.3</v>
      </c>
      <c r="N111" s="122">
        <v>44</v>
      </c>
      <c r="O111" s="122">
        <v>47.8</v>
      </c>
      <c r="P111" s="122">
        <v>21</v>
      </c>
      <c r="Q111" s="122">
        <v>18</v>
      </c>
      <c r="R111" s="122">
        <v>25</v>
      </c>
      <c r="S111" s="122">
        <f>8.3+9.1</f>
        <v>17.399999999999999</v>
      </c>
      <c r="T111" s="122">
        <f>10.2+10.8</f>
        <v>21</v>
      </c>
      <c r="U111" s="122">
        <f>6.1+10.7</f>
        <v>16.799999999999997</v>
      </c>
      <c r="V111" s="122">
        <f t="shared" ref="V111" si="47">6.1+10.7</f>
        <v>16.799999999999997</v>
      </c>
      <c r="W111" s="122">
        <f>8.3+18.3</f>
        <v>26.6</v>
      </c>
      <c r="X111" s="122">
        <f>18.1+24.8</f>
        <v>42.900000000000006</v>
      </c>
      <c r="Y111" s="122">
        <f>19+26.5</f>
        <v>45.5</v>
      </c>
      <c r="Z111" s="122">
        <f>34.5+35.7</f>
        <v>70.2</v>
      </c>
      <c r="AA111" s="122">
        <f>17.9+24.9</f>
        <v>42.8</v>
      </c>
      <c r="AB111" s="122">
        <v>33.5</v>
      </c>
      <c r="AC111" s="122">
        <v>32.6</v>
      </c>
      <c r="AD111" s="122">
        <v>11.5</v>
      </c>
      <c r="AE111" s="122">
        <v>-16</v>
      </c>
      <c r="AF111" s="122">
        <v>-23.4</v>
      </c>
      <c r="AG111" s="121">
        <v>240</v>
      </c>
      <c r="AH111" s="52">
        <f t="shared" si="23"/>
        <v>70.2</v>
      </c>
      <c r="AI111" s="53">
        <f t="shared" si="24"/>
        <v>-37</v>
      </c>
    </row>
    <row r="112" spans="1:88" x14ac:dyDescent="0.25">
      <c r="A112" s="110" t="s">
        <v>116</v>
      </c>
      <c r="B112" s="122">
        <v>-3.5</v>
      </c>
      <c r="C112" s="122">
        <v>-2.7</v>
      </c>
      <c r="D112" s="122">
        <v>-2.5</v>
      </c>
      <c r="E112" s="122">
        <v>-1.6</v>
      </c>
      <c r="F112" s="122">
        <v>-1.5</v>
      </c>
      <c r="G112" s="122">
        <v>0.3</v>
      </c>
      <c r="H112" s="122">
        <v>5.0999999999999996</v>
      </c>
      <c r="I112" s="122">
        <v>6.1</v>
      </c>
      <c r="J112" s="122">
        <v>10.3</v>
      </c>
      <c r="K112" s="122">
        <v>16.2</v>
      </c>
      <c r="L112" s="122">
        <v>18.600000000000001</v>
      </c>
      <c r="M112" s="122">
        <v>18.5</v>
      </c>
      <c r="N112" s="122">
        <v>18.100000000000001</v>
      </c>
      <c r="O112" s="122">
        <v>14.6</v>
      </c>
      <c r="P112" s="122">
        <v>11.1</v>
      </c>
      <c r="Q112" s="122">
        <v>9.6</v>
      </c>
      <c r="R112" s="122">
        <v>9.6999999999999993</v>
      </c>
      <c r="S112" s="122">
        <v>8.1999999999999993</v>
      </c>
      <c r="T112" s="122">
        <v>9.5</v>
      </c>
      <c r="U112" s="122">
        <v>28.8</v>
      </c>
      <c r="V112" s="122">
        <v>28.8</v>
      </c>
      <c r="W112" s="122">
        <v>28.8</v>
      </c>
      <c r="X112" s="122">
        <v>22.7</v>
      </c>
      <c r="Y112" s="122">
        <v>22.6</v>
      </c>
      <c r="Z112" s="122">
        <v>22.5</v>
      </c>
      <c r="AA112" s="122">
        <v>9.1999999999999993</v>
      </c>
      <c r="AB112" s="122">
        <v>9.6</v>
      </c>
      <c r="AC112" s="122">
        <v>9.9</v>
      </c>
      <c r="AD112" s="122">
        <v>10.199999999999999</v>
      </c>
      <c r="AE112" s="122">
        <v>1.3</v>
      </c>
      <c r="AF112" s="122">
        <v>-0.7</v>
      </c>
      <c r="AG112" s="121">
        <v>60</v>
      </c>
      <c r="AH112" s="52">
        <f t="shared" si="23"/>
        <v>28.8</v>
      </c>
      <c r="AI112" s="53">
        <f t="shared" si="24"/>
        <v>-3.5</v>
      </c>
    </row>
    <row r="113" spans="1:37" x14ac:dyDescent="0.25">
      <c r="A113" s="123" t="s">
        <v>117</v>
      </c>
      <c r="B113" s="124">
        <v>77</v>
      </c>
      <c r="C113" s="124">
        <v>95</v>
      </c>
      <c r="D113" s="124">
        <v>85.7</v>
      </c>
      <c r="E113" s="124">
        <v>89.1</v>
      </c>
      <c r="F113" s="124">
        <v>97.4</v>
      </c>
      <c r="G113" s="124">
        <v>73.5</v>
      </c>
      <c r="H113" s="124">
        <v>104.5</v>
      </c>
      <c r="I113" s="124">
        <v>105.2</v>
      </c>
      <c r="J113" s="124">
        <v>108.9</v>
      </c>
      <c r="K113" s="124">
        <v>106.3</v>
      </c>
      <c r="L113" s="124">
        <v>105.1</v>
      </c>
      <c r="M113" s="124">
        <v>115.6</v>
      </c>
      <c r="N113" s="124">
        <v>98.8</v>
      </c>
      <c r="O113" s="124">
        <v>84.8</v>
      </c>
      <c r="P113" s="124">
        <v>100.7</v>
      </c>
      <c r="Q113" s="124">
        <v>99.9</v>
      </c>
      <c r="R113" s="124">
        <v>114</v>
      </c>
      <c r="S113" s="124">
        <v>106.1</v>
      </c>
      <c r="T113" s="124">
        <v>111</v>
      </c>
      <c r="U113" s="124">
        <v>110.1</v>
      </c>
      <c r="V113" s="124">
        <v>110.1</v>
      </c>
      <c r="W113" s="124">
        <v>101.2</v>
      </c>
      <c r="X113" s="124">
        <v>111.1</v>
      </c>
      <c r="Y113" s="124">
        <v>108.7</v>
      </c>
      <c r="Z113" s="124">
        <v>85.2</v>
      </c>
      <c r="AA113" s="124">
        <v>107.5</v>
      </c>
      <c r="AB113" s="124">
        <v>99</v>
      </c>
      <c r="AC113" s="124">
        <v>97.9</v>
      </c>
      <c r="AD113" s="124">
        <v>82.8</v>
      </c>
      <c r="AE113" s="124">
        <v>70.3</v>
      </c>
      <c r="AF113" s="124">
        <v>59.2</v>
      </c>
      <c r="AG113" s="125">
        <v>120</v>
      </c>
      <c r="AH113" s="52">
        <f t="shared" si="23"/>
        <v>115.6</v>
      </c>
      <c r="AI113" s="53">
        <f t="shared" si="24"/>
        <v>59.2</v>
      </c>
    </row>
    <row r="114" spans="1:37" x14ac:dyDescent="0.25">
      <c r="A114" s="123" t="s">
        <v>118</v>
      </c>
      <c r="B114" s="124">
        <v>80</v>
      </c>
      <c r="C114" s="124">
        <v>97</v>
      </c>
      <c r="D114" s="124">
        <v>86.5</v>
      </c>
      <c r="E114" s="124">
        <v>91.1</v>
      </c>
      <c r="F114" s="124">
        <v>96.7</v>
      </c>
      <c r="G114" s="124">
        <v>60.2</v>
      </c>
      <c r="H114" s="124">
        <v>89.8</v>
      </c>
      <c r="I114" s="124">
        <v>86</v>
      </c>
      <c r="J114" s="124">
        <v>82.1</v>
      </c>
      <c r="K114" s="124">
        <v>74.8</v>
      </c>
      <c r="L114" s="124">
        <v>90</v>
      </c>
      <c r="M114" s="124">
        <v>99</v>
      </c>
      <c r="N114" s="124">
        <v>94.4</v>
      </c>
      <c r="O114" s="124">
        <v>97.1</v>
      </c>
      <c r="P114" s="124">
        <v>84</v>
      </c>
      <c r="Q114" s="124">
        <v>82</v>
      </c>
      <c r="R114" s="124">
        <v>96.7</v>
      </c>
      <c r="S114" s="124">
        <v>88.1</v>
      </c>
      <c r="T114" s="124">
        <v>91.31</v>
      </c>
      <c r="U114" s="124">
        <v>90</v>
      </c>
      <c r="V114" s="124">
        <v>90</v>
      </c>
      <c r="W114" s="124">
        <v>80.2</v>
      </c>
      <c r="X114" s="124">
        <v>82.5</v>
      </c>
      <c r="Y114" s="124">
        <v>76.3</v>
      </c>
      <c r="Z114" s="124">
        <v>87.6</v>
      </c>
      <c r="AA114" s="124">
        <v>76.599999999999994</v>
      </c>
      <c r="AB114" s="124">
        <v>70</v>
      </c>
      <c r="AC114" s="124">
        <v>67.900000000000006</v>
      </c>
      <c r="AD114" s="124">
        <v>90.3</v>
      </c>
      <c r="AE114" s="124">
        <v>55</v>
      </c>
      <c r="AF114" s="124">
        <v>48</v>
      </c>
      <c r="AG114" s="125"/>
      <c r="AH114" s="52">
        <f t="shared" si="23"/>
        <v>99</v>
      </c>
      <c r="AI114" s="53">
        <f t="shared" si="24"/>
        <v>48</v>
      </c>
    </row>
    <row r="115" spans="1:37" x14ac:dyDescent="0.25">
      <c r="A115" s="123" t="s">
        <v>119</v>
      </c>
      <c r="B115" s="124">
        <v>45</v>
      </c>
      <c r="C115" s="124">
        <v>53.4</v>
      </c>
      <c r="D115" s="124">
        <v>52.6</v>
      </c>
      <c r="E115" s="124">
        <v>52.5</v>
      </c>
      <c r="F115" s="124">
        <v>52.9</v>
      </c>
      <c r="G115" s="124">
        <v>40</v>
      </c>
      <c r="H115" s="124">
        <v>48.1</v>
      </c>
      <c r="I115" s="124"/>
      <c r="J115" s="124"/>
      <c r="K115" s="124">
        <v>8.1999999999999993</v>
      </c>
      <c r="L115" s="124">
        <v>-5.9</v>
      </c>
      <c r="M115" s="124">
        <v>2</v>
      </c>
      <c r="N115" s="124">
        <v>-4</v>
      </c>
      <c r="O115" s="124">
        <v>13.2</v>
      </c>
      <c r="P115" s="124"/>
      <c r="Q115" s="124">
        <v>21</v>
      </c>
      <c r="R115" s="124">
        <v>13.2</v>
      </c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>
        <v>6</v>
      </c>
      <c r="AC115" s="124">
        <v>7.8</v>
      </c>
      <c r="AD115" s="124">
        <v>10.3</v>
      </c>
      <c r="AE115" s="124">
        <v>19.3</v>
      </c>
      <c r="AF115" s="124"/>
      <c r="AG115" s="126"/>
      <c r="AH115" s="52">
        <f t="shared" si="23"/>
        <v>53.4</v>
      </c>
      <c r="AI115" s="53">
        <f t="shared" si="24"/>
        <v>-5.9</v>
      </c>
    </row>
    <row r="116" spans="1:37" x14ac:dyDescent="0.25">
      <c r="A116" s="127" t="s">
        <v>120</v>
      </c>
      <c r="B116" s="113">
        <v>58</v>
      </c>
      <c r="C116" s="113">
        <v>56</v>
      </c>
      <c r="D116" s="113">
        <v>62.4</v>
      </c>
      <c r="E116" s="113">
        <v>80.3</v>
      </c>
      <c r="F116" s="113">
        <v>65.400000000000006</v>
      </c>
      <c r="G116" s="113">
        <v>62.2</v>
      </c>
      <c r="H116" s="113">
        <v>52.1</v>
      </c>
      <c r="I116" s="113">
        <v>42.6</v>
      </c>
      <c r="J116" s="113">
        <v>25.2</v>
      </c>
      <c r="K116" s="113">
        <v>14.3</v>
      </c>
      <c r="L116" s="113">
        <v>0</v>
      </c>
      <c r="M116" s="113">
        <v>-8.8000000000000007</v>
      </c>
      <c r="N116" s="113">
        <v>-5.3</v>
      </c>
      <c r="O116" s="113">
        <v>1.4</v>
      </c>
      <c r="P116" s="113">
        <v>3.8</v>
      </c>
      <c r="Q116" s="113">
        <v>6.4</v>
      </c>
      <c r="R116" s="113">
        <v>9.8000000000000007</v>
      </c>
      <c r="S116" s="113">
        <v>-11.2</v>
      </c>
      <c r="T116" s="113">
        <v>-2.6</v>
      </c>
      <c r="U116" s="113">
        <v>-0.9</v>
      </c>
      <c r="V116" s="113">
        <v>-0.9</v>
      </c>
      <c r="W116" s="113">
        <v>-13.1</v>
      </c>
      <c r="X116" s="113">
        <v>-35.1</v>
      </c>
      <c r="Y116" s="113">
        <v>-43.3</v>
      </c>
      <c r="Z116" s="113">
        <v>-27.5</v>
      </c>
      <c r="AA116" s="113">
        <v>-15.4</v>
      </c>
      <c r="AB116" s="113">
        <v>2.8</v>
      </c>
      <c r="AC116" s="113">
        <v>-1.2</v>
      </c>
      <c r="AD116" s="113">
        <v>5.5</v>
      </c>
      <c r="AE116" s="113">
        <v>24.3</v>
      </c>
      <c r="AF116" s="113">
        <v>33.299999999999997</v>
      </c>
      <c r="AG116" s="126"/>
      <c r="AH116" s="52">
        <f t="shared" si="23"/>
        <v>80.3</v>
      </c>
      <c r="AI116" s="53">
        <f t="shared" si="24"/>
        <v>-43.3</v>
      </c>
    </row>
    <row r="117" spans="1:37" ht="15.75" thickBot="1" x14ac:dyDescent="0.3">
      <c r="A117" s="127" t="s">
        <v>121</v>
      </c>
      <c r="B117" s="113">
        <v>42</v>
      </c>
      <c r="C117" s="113">
        <v>41</v>
      </c>
      <c r="D117" s="113">
        <v>40</v>
      </c>
      <c r="E117" s="113">
        <v>35</v>
      </c>
      <c r="F117" s="113">
        <v>40.700000000000003</v>
      </c>
      <c r="G117" s="113">
        <v>45.8</v>
      </c>
      <c r="H117" s="113">
        <v>45.4</v>
      </c>
      <c r="I117" s="113">
        <v>45.7</v>
      </c>
      <c r="J117" s="113">
        <v>60.7</v>
      </c>
      <c r="K117" s="113">
        <v>76.099999999999994</v>
      </c>
      <c r="L117" s="113">
        <v>75.7</v>
      </c>
      <c r="M117" s="113">
        <v>56.1</v>
      </c>
      <c r="N117" s="113">
        <v>45.8</v>
      </c>
      <c r="O117" s="113">
        <v>58</v>
      </c>
      <c r="P117" s="113">
        <v>62.7</v>
      </c>
      <c r="Q117" s="113">
        <v>69.400000000000006</v>
      </c>
      <c r="R117" s="113">
        <v>71.900000000000006</v>
      </c>
      <c r="S117" s="113">
        <v>82.2</v>
      </c>
      <c r="T117" s="113">
        <v>82.1</v>
      </c>
      <c r="U117" s="113">
        <v>82.2</v>
      </c>
      <c r="V117" s="113">
        <v>82.2</v>
      </c>
      <c r="W117" s="113">
        <v>66.599999999999994</v>
      </c>
      <c r="X117" s="113">
        <v>77</v>
      </c>
      <c r="Y117" s="113">
        <v>83.4</v>
      </c>
      <c r="Z117" s="113">
        <v>74.400000000000006</v>
      </c>
      <c r="AA117" s="113">
        <v>66.3</v>
      </c>
      <c r="AB117" s="113">
        <v>76.3</v>
      </c>
      <c r="AC117" s="113">
        <v>74.2</v>
      </c>
      <c r="AD117" s="113">
        <v>73.5</v>
      </c>
      <c r="AE117" s="113">
        <v>61.2</v>
      </c>
      <c r="AF117" s="113">
        <v>77.599999999999994</v>
      </c>
      <c r="AG117" s="126"/>
      <c r="AH117" s="52">
        <f t="shared" si="23"/>
        <v>83.4</v>
      </c>
      <c r="AI117" s="53">
        <f t="shared" si="24"/>
        <v>35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48">SUM(B119:B223)</f>
        <v>0</v>
      </c>
      <c r="C224" s="144">
        <f t="shared" si="48"/>
        <v>0</v>
      </c>
      <c r="D224" s="144">
        <f t="shared" si="48"/>
        <v>0</v>
      </c>
      <c r="E224" s="144">
        <f t="shared" si="48"/>
        <v>0</v>
      </c>
      <c r="F224" s="144">
        <f t="shared" si="48"/>
        <v>0</v>
      </c>
      <c r="G224" s="144">
        <f t="shared" si="48"/>
        <v>0</v>
      </c>
      <c r="H224" s="144">
        <f t="shared" si="48"/>
        <v>0</v>
      </c>
      <c r="I224" s="144">
        <f t="shared" si="48"/>
        <v>0</v>
      </c>
      <c r="J224" s="144">
        <f t="shared" si="48"/>
        <v>0</v>
      </c>
      <c r="K224" s="144">
        <f t="shared" si="48"/>
        <v>0</v>
      </c>
      <c r="L224" s="144">
        <f t="shared" si="48"/>
        <v>0</v>
      </c>
      <c r="M224" s="144">
        <f t="shared" si="48"/>
        <v>0</v>
      </c>
      <c r="N224" s="144">
        <f t="shared" si="48"/>
        <v>0</v>
      </c>
      <c r="O224" s="144">
        <f t="shared" si="48"/>
        <v>0</v>
      </c>
      <c r="P224" s="144">
        <f t="shared" si="48"/>
        <v>0</v>
      </c>
      <c r="Q224" s="144">
        <f t="shared" si="48"/>
        <v>0</v>
      </c>
      <c r="R224" s="144">
        <f t="shared" si="48"/>
        <v>0</v>
      </c>
      <c r="S224" s="144">
        <f t="shared" si="48"/>
        <v>0</v>
      </c>
      <c r="T224" s="144">
        <f t="shared" si="48"/>
        <v>0</v>
      </c>
      <c r="U224" s="144">
        <f t="shared" si="48"/>
        <v>0</v>
      </c>
      <c r="V224" s="144">
        <f t="shared" si="48"/>
        <v>0</v>
      </c>
      <c r="W224" s="144">
        <f t="shared" si="48"/>
        <v>0</v>
      </c>
      <c r="X224" s="144">
        <f t="shared" si="48"/>
        <v>0</v>
      </c>
      <c r="Y224" s="144">
        <f t="shared" si="48"/>
        <v>0</v>
      </c>
      <c r="Z224" s="144">
        <f t="shared" si="48"/>
        <v>0</v>
      </c>
      <c r="AA224" s="144">
        <f t="shared" si="48"/>
        <v>0</v>
      </c>
      <c r="AB224" s="144">
        <f t="shared" si="48"/>
        <v>0</v>
      </c>
      <c r="AC224" s="144">
        <f t="shared" si="48"/>
        <v>0</v>
      </c>
      <c r="AD224" s="144">
        <f t="shared" si="48"/>
        <v>0</v>
      </c>
      <c r="AE224" s="144">
        <f t="shared" si="48"/>
        <v>0</v>
      </c>
      <c r="AF224" s="145">
        <f t="shared" si="48"/>
        <v>0</v>
      </c>
      <c r="AG224" s="146">
        <f t="shared" si="48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49">AF226</f>
        <v>0</v>
      </c>
      <c r="C226" s="149">
        <v>0.3</v>
      </c>
      <c r="D226" s="149">
        <f t="shared" ref="D226:P231" si="50">C226</f>
        <v>0.3</v>
      </c>
      <c r="E226" s="149">
        <f t="shared" si="50"/>
        <v>0.3</v>
      </c>
      <c r="F226" s="149">
        <f t="shared" si="50"/>
        <v>0.3</v>
      </c>
      <c r="G226" s="149">
        <f t="shared" si="50"/>
        <v>0.3</v>
      </c>
      <c r="H226" s="149">
        <f t="shared" si="50"/>
        <v>0.3</v>
      </c>
      <c r="I226" s="149">
        <f t="shared" si="50"/>
        <v>0.3</v>
      </c>
      <c r="J226" s="149">
        <f t="shared" si="50"/>
        <v>0.3</v>
      </c>
      <c r="K226" s="149">
        <f t="shared" si="50"/>
        <v>0.3</v>
      </c>
      <c r="L226" s="149">
        <f t="shared" si="50"/>
        <v>0.3</v>
      </c>
      <c r="M226" s="149">
        <f t="shared" si="50"/>
        <v>0.3</v>
      </c>
      <c r="N226" s="149">
        <f t="shared" si="50"/>
        <v>0.3</v>
      </c>
      <c r="O226" s="149">
        <f t="shared" si="50"/>
        <v>0.3</v>
      </c>
      <c r="P226" s="149">
        <f t="shared" si="50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49"/>
        <v>0</v>
      </c>
      <c r="C227" s="136">
        <v>0.4</v>
      </c>
      <c r="D227" s="136">
        <f t="shared" si="50"/>
        <v>0.4</v>
      </c>
      <c r="E227" s="136">
        <f t="shared" si="50"/>
        <v>0.4</v>
      </c>
      <c r="F227" s="136">
        <f t="shared" si="50"/>
        <v>0.4</v>
      </c>
      <c r="G227" s="136">
        <f t="shared" si="50"/>
        <v>0.4</v>
      </c>
      <c r="H227" s="136">
        <f t="shared" si="50"/>
        <v>0.4</v>
      </c>
      <c r="I227" s="136">
        <f t="shared" si="50"/>
        <v>0.4</v>
      </c>
      <c r="J227" s="136">
        <f t="shared" si="50"/>
        <v>0.4</v>
      </c>
      <c r="K227" s="136">
        <f t="shared" si="50"/>
        <v>0.4</v>
      </c>
      <c r="L227" s="136">
        <f t="shared" si="50"/>
        <v>0.4</v>
      </c>
      <c r="M227" s="136">
        <f t="shared" si="50"/>
        <v>0.4</v>
      </c>
      <c r="N227" s="136">
        <f t="shared" si="50"/>
        <v>0.4</v>
      </c>
      <c r="O227" s="136">
        <f t="shared" si="50"/>
        <v>0.4</v>
      </c>
      <c r="P227" s="136">
        <f t="shared" si="50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49"/>
        <v>0</v>
      </c>
      <c r="C228" s="136">
        <v>1.5</v>
      </c>
      <c r="D228" s="136">
        <f t="shared" si="50"/>
        <v>1.5</v>
      </c>
      <c r="E228" s="136">
        <f t="shared" si="50"/>
        <v>1.5</v>
      </c>
      <c r="F228" s="136">
        <f t="shared" si="50"/>
        <v>1.5</v>
      </c>
      <c r="G228" s="136">
        <f t="shared" si="50"/>
        <v>1.5</v>
      </c>
      <c r="H228" s="136">
        <f t="shared" si="50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50"/>
        <v>1.5</v>
      </c>
      <c r="K228" s="136">
        <f t="shared" ca="1" si="50"/>
        <v>1.5</v>
      </c>
      <c r="L228" s="136">
        <f t="shared" ca="1" si="50"/>
        <v>1.5</v>
      </c>
      <c r="M228" s="136">
        <f t="shared" ca="1" si="50"/>
        <v>1.5</v>
      </c>
      <c r="N228" s="136">
        <f t="shared" ca="1" si="50"/>
        <v>1.5</v>
      </c>
      <c r="O228" s="136">
        <f t="shared" ca="1" si="50"/>
        <v>1.5</v>
      </c>
      <c r="P228" s="136">
        <f t="shared" ca="1" si="50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49"/>
        <v>0</v>
      </c>
      <c r="C229" s="136">
        <v>0.3</v>
      </c>
      <c r="D229" s="136">
        <f t="shared" si="50"/>
        <v>0.3</v>
      </c>
      <c r="E229" s="136">
        <f t="shared" si="50"/>
        <v>0.3</v>
      </c>
      <c r="F229" s="136">
        <f t="shared" si="50"/>
        <v>0.3</v>
      </c>
      <c r="G229" s="136">
        <f t="shared" si="50"/>
        <v>0.3</v>
      </c>
      <c r="H229" s="136">
        <f t="shared" si="50"/>
        <v>0.3</v>
      </c>
      <c r="I229" s="136">
        <f t="shared" si="50"/>
        <v>0.3</v>
      </c>
      <c r="J229" s="136">
        <f t="shared" si="50"/>
        <v>0.3</v>
      </c>
      <c r="K229" s="136">
        <f t="shared" si="50"/>
        <v>0.3</v>
      </c>
      <c r="L229" s="136">
        <f t="shared" si="50"/>
        <v>0.3</v>
      </c>
      <c r="M229" s="136">
        <f t="shared" si="50"/>
        <v>0.3</v>
      </c>
      <c r="N229" s="136">
        <f t="shared" si="50"/>
        <v>0.3</v>
      </c>
      <c r="O229" s="136">
        <f t="shared" si="50"/>
        <v>0.3</v>
      </c>
      <c r="P229" s="136">
        <f t="shared" si="50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49"/>
        <v>0</v>
      </c>
      <c r="C230" s="136">
        <v>0.4</v>
      </c>
      <c r="D230" s="136">
        <f t="shared" si="50"/>
        <v>0.4</v>
      </c>
      <c r="E230" s="136">
        <f t="shared" si="50"/>
        <v>0.4</v>
      </c>
      <c r="F230" s="136">
        <f t="shared" si="50"/>
        <v>0.4</v>
      </c>
      <c r="G230" s="136">
        <f t="shared" si="50"/>
        <v>0.4</v>
      </c>
      <c r="H230" s="136">
        <f t="shared" si="50"/>
        <v>0.4</v>
      </c>
      <c r="I230" s="136">
        <f t="shared" si="50"/>
        <v>0.4</v>
      </c>
      <c r="J230" s="136">
        <f t="shared" si="50"/>
        <v>0.4</v>
      </c>
      <c r="K230" s="136">
        <f t="shared" si="50"/>
        <v>0.4</v>
      </c>
      <c r="L230" s="136">
        <f t="shared" si="50"/>
        <v>0.4</v>
      </c>
      <c r="M230" s="136">
        <f t="shared" si="50"/>
        <v>0.4</v>
      </c>
      <c r="N230" s="136">
        <f t="shared" si="50"/>
        <v>0.4</v>
      </c>
      <c r="O230" s="136">
        <f t="shared" si="50"/>
        <v>0.4</v>
      </c>
      <c r="P230" s="136">
        <f t="shared" si="50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49"/>
        <v>0</v>
      </c>
      <c r="C231" s="140">
        <v>0.64</v>
      </c>
      <c r="D231" s="140">
        <f t="shared" si="50"/>
        <v>0.64</v>
      </c>
      <c r="E231" s="140">
        <f t="shared" si="50"/>
        <v>0.64</v>
      </c>
      <c r="F231" s="140">
        <f t="shared" si="50"/>
        <v>0.64</v>
      </c>
      <c r="G231" s="140">
        <f t="shared" si="50"/>
        <v>0.64</v>
      </c>
      <c r="H231" s="140">
        <f t="shared" si="50"/>
        <v>0.64</v>
      </c>
      <c r="I231" s="140">
        <f t="shared" si="50"/>
        <v>0.64</v>
      </c>
      <c r="J231" s="140">
        <f t="shared" si="50"/>
        <v>0.64</v>
      </c>
      <c r="K231" s="140">
        <f t="shared" si="50"/>
        <v>0.64</v>
      </c>
      <c r="L231" s="140">
        <f t="shared" si="50"/>
        <v>0.64</v>
      </c>
      <c r="M231" s="140">
        <f t="shared" si="50"/>
        <v>0.64</v>
      </c>
      <c r="N231" s="140">
        <f t="shared" si="50"/>
        <v>0.64</v>
      </c>
      <c r="O231" s="140">
        <f t="shared" si="50"/>
        <v>0.64</v>
      </c>
      <c r="P231" s="140">
        <f t="shared" si="50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51">SUM(B226:B231)</f>
        <v>0</v>
      </c>
      <c r="C232" s="144">
        <f t="shared" si="51"/>
        <v>3.54</v>
      </c>
      <c r="D232" s="144">
        <f t="shared" si="51"/>
        <v>3.54</v>
      </c>
      <c r="E232" s="144">
        <f t="shared" si="51"/>
        <v>3.54</v>
      </c>
      <c r="F232" s="144">
        <f t="shared" si="51"/>
        <v>3.54</v>
      </c>
      <c r="G232" s="144">
        <f t="shared" si="51"/>
        <v>3.54</v>
      </c>
      <c r="H232" s="144">
        <f t="shared" si="51"/>
        <v>3.54</v>
      </c>
      <c r="I232" s="144">
        <f t="shared" ca="1" si="51"/>
        <v>3.54</v>
      </c>
      <c r="J232" s="144">
        <f t="shared" ca="1" si="51"/>
        <v>3.54</v>
      </c>
      <c r="K232" s="144">
        <f t="shared" ca="1" si="51"/>
        <v>3.54</v>
      </c>
      <c r="L232" s="144">
        <f t="shared" ca="1" si="51"/>
        <v>3.54</v>
      </c>
      <c r="M232" s="144">
        <f t="shared" ca="1" si="51"/>
        <v>3.54</v>
      </c>
      <c r="N232" s="144">
        <f t="shared" ca="1" si="51"/>
        <v>3.54</v>
      </c>
      <c r="O232" s="144">
        <f t="shared" ca="1" si="51"/>
        <v>3.54</v>
      </c>
      <c r="P232" s="144">
        <f t="shared" ca="1" si="51"/>
        <v>3.54</v>
      </c>
      <c r="Q232" s="144">
        <f t="shared" si="51"/>
        <v>0</v>
      </c>
      <c r="R232" s="144">
        <f t="shared" si="51"/>
        <v>0</v>
      </c>
      <c r="S232" s="144">
        <f t="shared" si="51"/>
        <v>0</v>
      </c>
      <c r="T232" s="144">
        <f t="shared" si="51"/>
        <v>0</v>
      </c>
      <c r="U232" s="144">
        <f t="shared" si="51"/>
        <v>0</v>
      </c>
      <c r="V232" s="144">
        <f t="shared" si="51"/>
        <v>0</v>
      </c>
      <c r="W232" s="144">
        <f t="shared" si="51"/>
        <v>0</v>
      </c>
      <c r="X232" s="144">
        <f t="shared" si="51"/>
        <v>0</v>
      </c>
      <c r="Y232" s="144">
        <f t="shared" si="51"/>
        <v>0</v>
      </c>
      <c r="Z232" s="144">
        <f t="shared" si="51"/>
        <v>0</v>
      </c>
      <c r="AA232" s="144">
        <f t="shared" si="51"/>
        <v>0</v>
      </c>
      <c r="AB232" s="144">
        <f t="shared" si="51"/>
        <v>0</v>
      </c>
      <c r="AC232" s="144">
        <f t="shared" si="51"/>
        <v>0</v>
      </c>
      <c r="AD232" s="144">
        <f t="shared" si="51"/>
        <v>0</v>
      </c>
      <c r="AE232" s="144">
        <f t="shared" si="51"/>
        <v>0</v>
      </c>
      <c r="AF232" s="144">
        <f t="shared" si="51"/>
        <v>0</v>
      </c>
      <c r="AG232" s="154">
        <f t="shared" si="51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1423.8400000000001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09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2079/12/9)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2079/12/9)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52">B89</f>
        <v>982.64</v>
      </c>
      <c r="U246" s="180">
        <f t="shared" si="52"/>
        <v>951.83999999999992</v>
      </c>
      <c r="V246" s="180">
        <f t="shared" si="52"/>
        <v>942.63999999999987</v>
      </c>
      <c r="W246" s="180">
        <f t="shared" si="52"/>
        <v>929.74</v>
      </c>
      <c r="X246" s="180">
        <f t="shared" si="52"/>
        <v>979.04</v>
      </c>
      <c r="Y246" s="180">
        <f t="shared" si="52"/>
        <v>1021.5400000000001</v>
      </c>
      <c r="Z246" s="180">
        <f t="shared" si="52"/>
        <v>1115.24</v>
      </c>
      <c r="AA246" s="180">
        <f t="shared" si="52"/>
        <v>1184.3400000000001</v>
      </c>
      <c r="AB246" s="180">
        <f t="shared" si="52"/>
        <v>1278.54</v>
      </c>
      <c r="AC246" s="180">
        <f t="shared" si="52"/>
        <v>1407.44</v>
      </c>
      <c r="AD246" s="180">
        <f t="shared" si="52"/>
        <v>1423.8400000000001</v>
      </c>
      <c r="AE246" s="180">
        <f t="shared" si="52"/>
        <v>1394.94</v>
      </c>
      <c r="AF246" s="180">
        <f t="shared" si="52"/>
        <v>1264.6400000000001</v>
      </c>
      <c r="AG246" s="180">
        <f t="shared" si="52"/>
        <v>1223.6399999999999</v>
      </c>
      <c r="AH246" s="180">
        <f t="shared" si="52"/>
        <v>1166.74</v>
      </c>
      <c r="AI246" s="180">
        <f t="shared" si="52"/>
        <v>1188.1399999999999</v>
      </c>
      <c r="AJ246" s="180">
        <f t="shared" si="52"/>
        <v>1219.3400000000001</v>
      </c>
      <c r="AK246" s="180">
        <f t="shared" si="52"/>
        <v>1224.94</v>
      </c>
      <c r="AL246" s="180">
        <f t="shared" si="52"/>
        <v>1231.94</v>
      </c>
      <c r="AM246" s="180">
        <f t="shared" si="52"/>
        <v>1240.4099999999999</v>
      </c>
      <c r="AN246" s="180">
        <f t="shared" si="52"/>
        <v>1229.21</v>
      </c>
      <c r="AO246" s="180">
        <f t="shared" si="52"/>
        <v>1203.21</v>
      </c>
      <c r="AP246" s="180">
        <f t="shared" si="52"/>
        <v>1379.81</v>
      </c>
      <c r="AQ246" s="180">
        <f t="shared" si="52"/>
        <v>1429.21</v>
      </c>
      <c r="AR246" s="180">
        <f t="shared" si="52"/>
        <v>1443.14</v>
      </c>
      <c r="AS246" s="180">
        <f t="shared" si="52"/>
        <v>1371.5400000000002</v>
      </c>
      <c r="AT246" s="180">
        <f t="shared" si="52"/>
        <v>1208.2400000000002</v>
      </c>
      <c r="AU246" s="180">
        <f t="shared" si="52"/>
        <v>1243.7400000000002</v>
      </c>
      <c r="AV246" s="180">
        <f t="shared" si="52"/>
        <v>1186.74</v>
      </c>
      <c r="AW246" s="180">
        <f t="shared" si="52"/>
        <v>1086.08</v>
      </c>
      <c r="AX246" s="180">
        <f t="shared" si="52"/>
        <v>1025.3400000000001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53">C231</f>
        <v>0.64</v>
      </c>
      <c r="C267" s="183">
        <f t="shared" si="53"/>
        <v>0.64</v>
      </c>
      <c r="D267" s="183">
        <f t="shared" si="53"/>
        <v>0.64</v>
      </c>
      <c r="E267" s="183">
        <f t="shared" si="53"/>
        <v>0.64</v>
      </c>
      <c r="F267" s="183">
        <f t="shared" si="53"/>
        <v>0.64</v>
      </c>
      <c r="G267" s="183">
        <f t="shared" si="53"/>
        <v>0.64</v>
      </c>
      <c r="H267" s="183">
        <f t="shared" si="53"/>
        <v>0.64</v>
      </c>
      <c r="I267" s="183">
        <f t="shared" si="53"/>
        <v>0.64</v>
      </c>
      <c r="J267" s="183">
        <f t="shared" si="53"/>
        <v>0.64</v>
      </c>
      <c r="K267" s="183">
        <f t="shared" si="53"/>
        <v>0.64</v>
      </c>
      <c r="L267" s="183">
        <f t="shared" si="53"/>
        <v>0.64</v>
      </c>
      <c r="M267" s="183">
        <f t="shared" si="53"/>
        <v>0.64</v>
      </c>
      <c r="N267" s="183">
        <f t="shared" si="53"/>
        <v>0.64</v>
      </c>
      <c r="O267" s="183">
        <f t="shared" si="53"/>
        <v>0.64</v>
      </c>
      <c r="P267" s="183">
        <f t="shared" si="53"/>
        <v>0</v>
      </c>
      <c r="Q267" s="183">
        <f t="shared" si="53"/>
        <v>0</v>
      </c>
      <c r="R267" s="183">
        <f t="shared" si="53"/>
        <v>0</v>
      </c>
      <c r="S267" s="183">
        <f t="shared" si="53"/>
        <v>0</v>
      </c>
      <c r="T267" s="183">
        <f t="shared" si="53"/>
        <v>0</v>
      </c>
      <c r="U267" s="183">
        <f t="shared" si="53"/>
        <v>0</v>
      </c>
      <c r="V267" s="183">
        <f t="shared" si="53"/>
        <v>0</v>
      </c>
      <c r="W267" s="183">
        <f t="shared" si="53"/>
        <v>0</v>
      </c>
      <c r="X267" s="183">
        <f t="shared" si="53"/>
        <v>0</v>
      </c>
      <c r="Y267" s="183">
        <f t="shared" si="53"/>
        <v>0</v>
      </c>
      <c r="Z267" s="183">
        <f t="shared" si="53"/>
        <v>0</v>
      </c>
      <c r="AA267" s="183">
        <f t="shared" si="53"/>
        <v>0</v>
      </c>
      <c r="AB267" s="183">
        <f t="shared" si="53"/>
        <v>0</v>
      </c>
      <c r="AC267" s="183">
        <f t="shared" si="53"/>
        <v>0</v>
      </c>
      <c r="AD267" s="183">
        <f t="shared" si="53"/>
        <v>0</v>
      </c>
      <c r="AE267" s="183">
        <f t="shared" si="53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54">IF(B235&lt;100,"",B235-520)</f>
        <v/>
      </c>
      <c r="C268" s="184" t="str">
        <f t="shared" si="54"/>
        <v/>
      </c>
      <c r="D268" s="184" t="str">
        <f t="shared" si="54"/>
        <v/>
      </c>
      <c r="E268" s="184" t="str">
        <f t="shared" si="54"/>
        <v/>
      </c>
      <c r="F268" s="184" t="str">
        <f t="shared" si="54"/>
        <v/>
      </c>
      <c r="G268" s="184" t="str">
        <f t="shared" si="54"/>
        <v/>
      </c>
      <c r="H268" s="184" t="str">
        <f t="shared" si="54"/>
        <v/>
      </c>
      <c r="I268" s="184" t="str">
        <f t="shared" si="54"/>
        <v/>
      </c>
      <c r="J268" s="184" t="str">
        <f t="shared" si="54"/>
        <v/>
      </c>
      <c r="K268" s="184" t="str">
        <f t="shared" si="54"/>
        <v/>
      </c>
      <c r="L268" s="184" t="str">
        <f t="shared" si="54"/>
        <v/>
      </c>
      <c r="M268" s="184" t="str">
        <f t="shared" si="54"/>
        <v/>
      </c>
      <c r="N268" s="184" t="str">
        <f t="shared" si="54"/>
        <v/>
      </c>
      <c r="O268" s="184" t="str">
        <f t="shared" si="54"/>
        <v/>
      </c>
      <c r="P268" s="184" t="str">
        <f t="shared" si="54"/>
        <v/>
      </c>
      <c r="Q268" s="184" t="str">
        <f t="shared" si="54"/>
        <v/>
      </c>
      <c r="R268" s="184" t="str">
        <f t="shared" si="54"/>
        <v/>
      </c>
      <c r="S268" s="184" t="str">
        <f t="shared" si="54"/>
        <v/>
      </c>
      <c r="T268" s="184" t="str">
        <f t="shared" si="54"/>
        <v/>
      </c>
      <c r="U268" s="184" t="str">
        <f t="shared" si="54"/>
        <v/>
      </c>
      <c r="V268" s="184" t="str">
        <f t="shared" si="54"/>
        <v/>
      </c>
      <c r="W268" s="184" t="str">
        <f t="shared" si="54"/>
        <v/>
      </c>
      <c r="X268" s="184" t="str">
        <f t="shared" si="54"/>
        <v/>
      </c>
      <c r="Y268" s="184" t="str">
        <f t="shared" si="54"/>
        <v/>
      </c>
      <c r="Z268" s="184" t="str">
        <f t="shared" si="54"/>
        <v/>
      </c>
      <c r="AA268" s="184" t="str">
        <f t="shared" si="54"/>
        <v/>
      </c>
      <c r="AB268" s="184" t="str">
        <f t="shared" si="54"/>
        <v/>
      </c>
      <c r="AC268" s="184" t="str">
        <f t="shared" si="54"/>
        <v/>
      </c>
      <c r="AD268" s="184" t="str">
        <f t="shared" si="54"/>
        <v/>
      </c>
      <c r="AE268" s="184" t="str">
        <f t="shared" si="54"/>
        <v/>
      </c>
      <c r="AF268" s="184" t="str">
        <f t="shared" si="54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55">IF(B236&lt;100,"",B236-620)</f>
        <v/>
      </c>
      <c r="C269" s="184" t="str">
        <f t="shared" si="55"/>
        <v/>
      </c>
      <c r="D269" s="184" t="str">
        <f t="shared" si="55"/>
        <v/>
      </c>
      <c r="E269" s="184" t="str">
        <f t="shared" si="55"/>
        <v/>
      </c>
      <c r="F269" s="184" t="str">
        <f t="shared" si="55"/>
        <v/>
      </c>
      <c r="G269" s="184" t="str">
        <f t="shared" si="55"/>
        <v/>
      </c>
      <c r="H269" s="184" t="str">
        <f t="shared" si="55"/>
        <v/>
      </c>
      <c r="I269" s="184" t="str">
        <f t="shared" si="55"/>
        <v/>
      </c>
      <c r="J269" s="184" t="str">
        <f t="shared" si="55"/>
        <v/>
      </c>
      <c r="K269" s="184" t="str">
        <f t="shared" si="55"/>
        <v/>
      </c>
      <c r="L269" s="184" t="str">
        <f t="shared" si="55"/>
        <v/>
      </c>
      <c r="M269" s="184" t="str">
        <f t="shared" si="55"/>
        <v/>
      </c>
      <c r="N269" s="184" t="str">
        <f t="shared" si="55"/>
        <v/>
      </c>
      <c r="O269" s="184" t="str">
        <f t="shared" si="55"/>
        <v/>
      </c>
      <c r="P269" s="184" t="str">
        <f t="shared" si="55"/>
        <v/>
      </c>
      <c r="Q269" s="184" t="str">
        <f t="shared" si="55"/>
        <v/>
      </c>
      <c r="R269" s="184" t="str">
        <f t="shared" si="55"/>
        <v/>
      </c>
      <c r="S269" s="184" t="str">
        <f t="shared" si="55"/>
        <v/>
      </c>
      <c r="T269" s="184" t="str">
        <f t="shared" si="55"/>
        <v/>
      </c>
      <c r="U269" s="184" t="str">
        <f t="shared" si="55"/>
        <v/>
      </c>
      <c r="V269" s="184" t="str">
        <f t="shared" si="55"/>
        <v/>
      </c>
      <c r="W269" s="184" t="str">
        <f t="shared" si="55"/>
        <v/>
      </c>
      <c r="X269" s="184" t="str">
        <f t="shared" si="55"/>
        <v/>
      </c>
      <c r="Y269" s="184" t="str">
        <f t="shared" si="55"/>
        <v/>
      </c>
      <c r="Z269" s="184" t="str">
        <f t="shared" si="55"/>
        <v/>
      </c>
      <c r="AA269" s="184" t="str">
        <f t="shared" si="55"/>
        <v/>
      </c>
      <c r="AB269" s="184" t="str">
        <f t="shared" si="55"/>
        <v/>
      </c>
      <c r="AC269" s="184" t="str">
        <f t="shared" si="55"/>
        <v/>
      </c>
      <c r="AD269" s="184" t="str">
        <f t="shared" si="55"/>
        <v/>
      </c>
      <c r="AE269" s="184" t="str">
        <f t="shared" si="55"/>
        <v/>
      </c>
      <c r="AF269" s="184" t="str">
        <f t="shared" si="55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56">IF(B237&lt;100,"",B237-330)</f>
        <v/>
      </c>
      <c r="C270" s="184" t="str">
        <f t="shared" si="56"/>
        <v/>
      </c>
      <c r="D270" s="184" t="str">
        <f t="shared" si="56"/>
        <v/>
      </c>
      <c r="E270" s="184" t="str">
        <f t="shared" si="56"/>
        <v/>
      </c>
      <c r="F270" s="184" t="str">
        <f t="shared" si="56"/>
        <v/>
      </c>
      <c r="G270" s="184" t="str">
        <f t="shared" si="56"/>
        <v/>
      </c>
      <c r="H270" s="184" t="str">
        <f t="shared" si="56"/>
        <v/>
      </c>
      <c r="I270" s="184" t="str">
        <f t="shared" si="56"/>
        <v/>
      </c>
      <c r="J270" s="184" t="str">
        <f t="shared" si="56"/>
        <v/>
      </c>
      <c r="K270" s="184" t="str">
        <f t="shared" si="56"/>
        <v/>
      </c>
      <c r="L270" s="184" t="str">
        <f t="shared" si="56"/>
        <v/>
      </c>
      <c r="M270" s="184" t="str">
        <f t="shared" si="56"/>
        <v/>
      </c>
      <c r="N270" s="184" t="str">
        <f t="shared" si="56"/>
        <v/>
      </c>
      <c r="O270" s="184" t="str">
        <f t="shared" si="56"/>
        <v/>
      </c>
      <c r="P270" s="184" t="str">
        <f t="shared" si="56"/>
        <v/>
      </c>
      <c r="Q270" s="184" t="str">
        <f t="shared" si="56"/>
        <v/>
      </c>
      <c r="R270" s="184" t="str">
        <f t="shared" si="56"/>
        <v/>
      </c>
      <c r="S270" s="184" t="str">
        <f t="shared" si="56"/>
        <v/>
      </c>
      <c r="T270" s="184" t="str">
        <f t="shared" si="56"/>
        <v/>
      </c>
      <c r="U270" s="184" t="str">
        <f t="shared" si="56"/>
        <v/>
      </c>
      <c r="V270" s="184" t="str">
        <f t="shared" si="56"/>
        <v/>
      </c>
      <c r="W270" s="184" t="str">
        <f t="shared" si="56"/>
        <v/>
      </c>
      <c r="X270" s="184" t="str">
        <f t="shared" si="56"/>
        <v/>
      </c>
      <c r="Y270" s="184" t="str">
        <f t="shared" si="56"/>
        <v/>
      </c>
      <c r="Z270" s="184" t="str">
        <f t="shared" si="56"/>
        <v/>
      </c>
      <c r="AA270" s="184" t="str">
        <f t="shared" si="56"/>
        <v/>
      </c>
      <c r="AB270" s="184" t="str">
        <f t="shared" si="56"/>
        <v/>
      </c>
      <c r="AC270" s="184" t="str">
        <f t="shared" si="56"/>
        <v/>
      </c>
      <c r="AD270" s="184" t="str">
        <f t="shared" si="56"/>
        <v/>
      </c>
      <c r="AE270" s="184" t="str">
        <f t="shared" si="56"/>
        <v/>
      </c>
      <c r="AF270" s="184" t="str">
        <f t="shared" si="56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57">IF(B238&lt;100,"",B238-1500)</f>
        <v/>
      </c>
      <c r="C271" s="184" t="str">
        <f t="shared" si="57"/>
        <v/>
      </c>
      <c r="D271" s="184" t="str">
        <f t="shared" si="57"/>
        <v/>
      </c>
      <c r="E271" s="184" t="str">
        <f t="shared" si="57"/>
        <v/>
      </c>
      <c r="F271" s="184" t="str">
        <f t="shared" si="57"/>
        <v/>
      </c>
      <c r="G271" s="184" t="str">
        <f t="shared" si="57"/>
        <v/>
      </c>
      <c r="H271" s="184" t="str">
        <f t="shared" si="57"/>
        <v/>
      </c>
      <c r="I271" s="184" t="str">
        <f t="shared" si="57"/>
        <v/>
      </c>
      <c r="J271" s="184" t="str">
        <f t="shared" si="57"/>
        <v/>
      </c>
      <c r="K271" s="184" t="str">
        <f t="shared" si="57"/>
        <v/>
      </c>
      <c r="L271" s="184" t="str">
        <f t="shared" si="57"/>
        <v/>
      </c>
      <c r="M271" s="184" t="str">
        <f t="shared" si="57"/>
        <v/>
      </c>
      <c r="N271" s="184" t="str">
        <f t="shared" si="57"/>
        <v/>
      </c>
      <c r="O271" s="184" t="str">
        <f t="shared" si="57"/>
        <v/>
      </c>
      <c r="P271" s="184" t="str">
        <f t="shared" si="57"/>
        <v/>
      </c>
      <c r="Q271" s="184" t="str">
        <f t="shared" si="57"/>
        <v/>
      </c>
      <c r="R271" s="184" t="str">
        <f t="shared" si="57"/>
        <v/>
      </c>
      <c r="S271" s="184" t="str">
        <f t="shared" si="57"/>
        <v/>
      </c>
      <c r="T271" s="184" t="str">
        <f t="shared" si="57"/>
        <v/>
      </c>
      <c r="U271" s="184" t="str">
        <f t="shared" si="57"/>
        <v/>
      </c>
      <c r="V271" s="184" t="str">
        <f t="shared" si="57"/>
        <v/>
      </c>
      <c r="W271" s="184" t="str">
        <f t="shared" si="57"/>
        <v/>
      </c>
      <c r="X271" s="184" t="str">
        <f t="shared" si="57"/>
        <v/>
      </c>
      <c r="Y271" s="184" t="str">
        <f t="shared" si="57"/>
        <v/>
      </c>
      <c r="Z271" s="184" t="str">
        <f t="shared" si="57"/>
        <v/>
      </c>
      <c r="AA271" s="184" t="str">
        <f t="shared" si="57"/>
        <v/>
      </c>
      <c r="AB271" s="184" t="str">
        <f t="shared" si="57"/>
        <v/>
      </c>
      <c r="AC271" s="184" t="str">
        <f t="shared" si="57"/>
        <v/>
      </c>
      <c r="AD271" s="184" t="str">
        <f t="shared" si="57"/>
        <v/>
      </c>
      <c r="AE271" s="184" t="str">
        <f t="shared" si="57"/>
        <v/>
      </c>
      <c r="AF271" s="184" t="str">
        <f t="shared" si="57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8993" priority="344">
      <formula>B$9&gt;=20/24</formula>
    </cfRule>
    <cfRule type="expression" dxfId="8992" priority="345">
      <formula>AND(B$9&gt;=14/24,B$9&lt;20/24)</formula>
    </cfRule>
    <cfRule type="expression" dxfId="8991" priority="346">
      <formula>AND(B$9&gt;=8/24,B$9&lt;14/24)</formula>
    </cfRule>
    <cfRule type="expression" dxfId="8990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8989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8988" priority="341">
      <formula>$AH12=0</formula>
    </cfRule>
  </conditionalFormatting>
  <conditionalFormatting sqref="A114">
    <cfRule type="expression" dxfId="8987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8986" priority="338">
      <formula>$AH45=0</formula>
    </cfRule>
  </conditionalFormatting>
  <conditionalFormatting sqref="A98">
    <cfRule type="expression" dxfId="8985" priority="337">
      <formula>$AH98=0</formula>
    </cfRule>
  </conditionalFormatting>
  <conditionalFormatting sqref="A18">
    <cfRule type="expression" dxfId="8984" priority="336">
      <formula>$AH18=0</formula>
    </cfRule>
  </conditionalFormatting>
  <conditionalFormatting sqref="A196:A201">
    <cfRule type="expression" dxfId="8983" priority="335">
      <formula>$AH196=0</formula>
    </cfRule>
  </conditionalFormatting>
  <conditionalFormatting sqref="A190:A195">
    <cfRule type="expression" dxfId="8982" priority="334">
      <formula>$AH190=0</formula>
    </cfRule>
  </conditionalFormatting>
  <conditionalFormatting sqref="A58">
    <cfRule type="expression" dxfId="8981" priority="333">
      <formula>$AH58=0</formula>
    </cfRule>
  </conditionalFormatting>
  <conditionalFormatting sqref="A94">
    <cfRule type="expression" dxfId="8980" priority="332">
      <formula>$AH94=0</formula>
    </cfRule>
  </conditionalFormatting>
  <conditionalFormatting sqref="AD99:AF99 E99:X99">
    <cfRule type="expression" dxfId="8979" priority="328">
      <formula>E$9&gt;=20/24</formula>
    </cfRule>
    <cfRule type="expression" dxfId="8978" priority="329">
      <formula>AND(E$9&gt;=14/24,E$9&lt;20/24)</formula>
    </cfRule>
    <cfRule type="expression" dxfId="8977" priority="330">
      <formula>AND(E$9&gt;=8/24,E$9&lt;14/24)</formula>
    </cfRule>
    <cfRule type="expression" dxfId="8976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975" priority="350">
      <formula>C$9&gt;=20/24</formula>
    </cfRule>
    <cfRule type="expression" dxfId="8974" priority="351">
      <formula>AND(C$9&gt;=14/24,C$9&lt;20/24)</formula>
    </cfRule>
    <cfRule type="expression" dxfId="8973" priority="352">
      <formula>AND(C$9&gt;=8/24,C$9&lt;14/24)</formula>
    </cfRule>
    <cfRule type="expression" dxfId="8972" priority="353">
      <formula>C$9&lt;8/24</formula>
    </cfRule>
  </conditionalFormatting>
  <conditionalFormatting sqref="A233">
    <cfRule type="expression" dxfId="8971" priority="354">
      <formula>$AH233=0</formula>
    </cfRule>
  </conditionalFormatting>
  <conditionalFormatting sqref="AG245">
    <cfRule type="expression" dxfId="8970" priority="355">
      <formula>B$9&gt;=20/24</formula>
    </cfRule>
    <cfRule type="expression" dxfId="8969" priority="356">
      <formula>AND(B$9&gt;=14/24,B$9&lt;20/24)</formula>
    </cfRule>
    <cfRule type="expression" dxfId="8968" priority="357">
      <formula>AND(B$9&gt;=8/24,B$9&lt;14/24)</formula>
    </cfRule>
    <cfRule type="expression" dxfId="8967" priority="358">
      <formula>B$9&lt;8/24</formula>
    </cfRule>
  </conditionalFormatting>
  <conditionalFormatting sqref="S8">
    <cfRule type="expression" dxfId="8966" priority="323">
      <formula>U$9&gt;=20/24</formula>
    </cfRule>
    <cfRule type="expression" dxfId="8965" priority="324">
      <formula>AND(U$9&gt;=14/24,U$9&lt;20/24)</formula>
    </cfRule>
    <cfRule type="expression" dxfId="8964" priority="325">
      <formula>AND(U$9&gt;=8/24,U$9&lt;14/24)</formula>
    </cfRule>
    <cfRule type="expression" dxfId="8963" priority="326">
      <formula>U$9&lt;8/24</formula>
    </cfRule>
  </conditionalFormatting>
  <conditionalFormatting sqref="AB8">
    <cfRule type="expression" dxfId="8962" priority="319">
      <formula>AD$9&gt;=20/24</formula>
    </cfRule>
    <cfRule type="expression" dxfId="8961" priority="320">
      <formula>AND(AD$9&gt;=14/24,AD$9&lt;20/24)</formula>
    </cfRule>
    <cfRule type="expression" dxfId="8960" priority="321">
      <formula>AND(AD$9&gt;=8/24,AD$9&lt;14/24)</formula>
    </cfRule>
    <cfRule type="expression" dxfId="8959" priority="322">
      <formula>AD$9&lt;8/24</formula>
    </cfRule>
  </conditionalFormatting>
  <conditionalFormatting sqref="AH245:AX245">
    <cfRule type="expression" dxfId="8958" priority="359">
      <formula>AG$9&gt;=20/24</formula>
    </cfRule>
    <cfRule type="expression" dxfId="8957" priority="360">
      <formula>AND(AG$9&gt;=14/24,AG$9&lt;20/24)</formula>
    </cfRule>
    <cfRule type="expression" dxfId="8956" priority="361">
      <formula>AND(AG$9&gt;=8/24,AG$9&lt;14/24)</formula>
    </cfRule>
    <cfRule type="expression" dxfId="8955" priority="362">
      <formula>AG$9&lt;8/24</formula>
    </cfRule>
  </conditionalFormatting>
  <conditionalFormatting sqref="T245">
    <cfRule type="expression" dxfId="8954" priority="363">
      <formula>AX$9&gt;=20/24</formula>
    </cfRule>
    <cfRule type="expression" dxfId="8953" priority="364">
      <formula>AND(AX$9&gt;=14/24,AX$9&lt;20/24)</formula>
    </cfRule>
    <cfRule type="expression" dxfId="8952" priority="365">
      <formula>AND(AX$9&gt;=8/24,AX$9&lt;14/24)</formula>
    </cfRule>
    <cfRule type="expression" dxfId="8951" priority="366">
      <formula>AX$9&lt;8/24</formula>
    </cfRule>
  </conditionalFormatting>
  <conditionalFormatting sqref="A115:A116">
    <cfRule type="expression" dxfId="8950" priority="318">
      <formula>$AH115=0</formula>
    </cfRule>
  </conditionalFormatting>
  <conditionalFormatting sqref="M54:N57 O54:T58 E71:AF71 U55:AA58 AB54:AF57">
    <cfRule type="expression" dxfId="8949" priority="314">
      <formula>E$9&gt;=20/24</formula>
    </cfRule>
    <cfRule type="expression" dxfId="8948" priority="315">
      <formula>AND(E$9&gt;=14/24,E$9&lt;20/24)</formula>
    </cfRule>
    <cfRule type="expression" dxfId="8947" priority="316">
      <formula>AND(E$9&gt;=8/24,E$9&lt;14/24)</formula>
    </cfRule>
    <cfRule type="expression" dxfId="8946" priority="317">
      <formula>E$9&lt;8/24</formula>
    </cfRule>
  </conditionalFormatting>
  <conditionalFormatting sqref="AB53:AF53 M53:T53">
    <cfRule type="expression" dxfId="8945" priority="310">
      <formula>M$9&gt;=20/24</formula>
    </cfRule>
    <cfRule type="expression" dxfId="8944" priority="311">
      <formula>AND(M$9&gt;=14/24,M$9&lt;20/24)</formula>
    </cfRule>
    <cfRule type="expression" dxfId="8943" priority="312">
      <formula>AND(M$9&gt;=8/24,M$9&lt;14/24)</formula>
    </cfRule>
    <cfRule type="expression" dxfId="8942" priority="313">
      <formula>M$9&lt;8/24</formula>
    </cfRule>
  </conditionalFormatting>
  <conditionalFormatting sqref="M53:N57 O53:T58 U55:AA58 AB53:AF57">
    <cfRule type="expression" dxfId="8941" priority="309">
      <formula>M53&gt;$AG53</formula>
    </cfRule>
  </conditionalFormatting>
  <conditionalFormatting sqref="M100:X106 E72:Z73 Z74 X96:AF96 X67:AF69 D86:AF86 AA72:AF74 Y47:AF47 AD100:AF106">
    <cfRule type="expression" dxfId="8940" priority="305">
      <formula>D$9&gt;=20/24</formula>
    </cfRule>
    <cfRule type="expression" dxfId="8939" priority="306">
      <formula>AND(D$9&gt;=14/24,D$9&lt;20/24)</formula>
    </cfRule>
    <cfRule type="expression" dxfId="8938" priority="307">
      <formula>AND(D$9&gt;=8/24,D$9&lt;14/24)</formula>
    </cfRule>
    <cfRule type="expression" dxfId="8937" priority="308">
      <formula>D$9&lt;8/24</formula>
    </cfRule>
  </conditionalFormatting>
  <conditionalFormatting sqref="X67:AF69 Y47:AF47">
    <cfRule type="expression" dxfId="8936" priority="304">
      <formula>X47&gt;$AG47</formula>
    </cfRule>
  </conditionalFormatting>
  <conditionalFormatting sqref="U53:AA54">
    <cfRule type="expression" dxfId="8935" priority="300">
      <formula>U$9&gt;=20/24</formula>
    </cfRule>
    <cfRule type="expression" dxfId="8934" priority="301">
      <formula>AND(U$9&gt;=14/24,U$9&lt;20/24)</formula>
    </cfRule>
    <cfRule type="expression" dxfId="8933" priority="302">
      <formula>AND(U$9&gt;=8/24,U$9&lt;14/24)</formula>
    </cfRule>
    <cfRule type="expression" dxfId="8932" priority="303">
      <formula>U$9&lt;8/24</formula>
    </cfRule>
  </conditionalFormatting>
  <conditionalFormatting sqref="U53:AA54">
    <cfRule type="expression" dxfId="8931" priority="299">
      <formula>U53&gt;$AG53</formula>
    </cfRule>
  </conditionalFormatting>
  <conditionalFormatting sqref="C97:AF97 D88:AF88">
    <cfRule type="expression" dxfId="8930" priority="295">
      <formula>C$9&gt;=20/24</formula>
    </cfRule>
    <cfRule type="expression" dxfId="8929" priority="296">
      <formula>AND(C$9&gt;=14/24,C$9&lt;20/24)</formula>
    </cfRule>
    <cfRule type="expression" dxfId="8928" priority="297">
      <formula>AND(C$9&gt;=8/24,C$9&lt;14/24)</formula>
    </cfRule>
    <cfRule type="expression" dxfId="8927" priority="298">
      <formula>C$9&lt;8/24</formula>
    </cfRule>
  </conditionalFormatting>
  <conditionalFormatting sqref="U47:X47">
    <cfRule type="expression" dxfId="8926" priority="291">
      <formula>U$9&gt;=20/24</formula>
    </cfRule>
    <cfRule type="expression" dxfId="8925" priority="292">
      <formula>AND(U$9&gt;=14/24,U$9&lt;20/24)</formula>
    </cfRule>
    <cfRule type="expression" dxfId="8924" priority="293">
      <formula>AND(U$9&gt;=8/24,U$9&lt;14/24)</formula>
    </cfRule>
    <cfRule type="expression" dxfId="8923" priority="294">
      <formula>U$9&lt;8/24</formula>
    </cfRule>
  </conditionalFormatting>
  <conditionalFormatting sqref="U47:X47">
    <cfRule type="expression" dxfId="8922" priority="290">
      <formula>U47&gt;$AG47</formula>
    </cfRule>
  </conditionalFormatting>
  <conditionalFormatting sqref="E54:L55">
    <cfRule type="expression" dxfId="8921" priority="286">
      <formula>E$9&gt;=20/24</formula>
    </cfRule>
    <cfRule type="expression" dxfId="8920" priority="287">
      <formula>AND(E$9&gt;=14/24,E$9&lt;20/24)</formula>
    </cfRule>
    <cfRule type="expression" dxfId="8919" priority="288">
      <formula>AND(E$9&gt;=8/24,E$9&lt;14/24)</formula>
    </cfRule>
    <cfRule type="expression" dxfId="8918" priority="289">
      <formula>E$9&lt;8/24</formula>
    </cfRule>
  </conditionalFormatting>
  <conditionalFormatting sqref="E53:L53">
    <cfRule type="expression" dxfId="8917" priority="282">
      <formula>E$9&gt;=20/24</formula>
    </cfRule>
    <cfRule type="expression" dxfId="8916" priority="283">
      <formula>AND(E$9&gt;=14/24,E$9&lt;20/24)</formula>
    </cfRule>
    <cfRule type="expression" dxfId="8915" priority="284">
      <formula>AND(E$9&gt;=8/24,E$9&lt;14/24)</formula>
    </cfRule>
    <cfRule type="expression" dxfId="8914" priority="285">
      <formula>E$9&lt;8/24</formula>
    </cfRule>
  </conditionalFormatting>
  <conditionalFormatting sqref="E53:L55">
    <cfRule type="expression" dxfId="8913" priority="281">
      <formula>E53&gt;$AG53</formula>
    </cfRule>
  </conditionalFormatting>
  <conditionalFormatting sqref="AG70 AG87 E100:L106 Q67:W69">
    <cfRule type="expression" dxfId="8912" priority="277">
      <formula>E$9&gt;=20/24</formula>
    </cfRule>
    <cfRule type="expression" dxfId="8911" priority="278">
      <formula>AND(E$9&gt;=14/24,E$9&lt;20/24)</formula>
    </cfRule>
    <cfRule type="expression" dxfId="8910" priority="279">
      <formula>AND(E$9&gt;=8/24,E$9&lt;14/24)</formula>
    </cfRule>
    <cfRule type="expression" dxfId="8909" priority="280">
      <formula>E$9&lt;8/24</formula>
    </cfRule>
  </conditionalFormatting>
  <conditionalFormatting sqref="AG48 AG66 AG70 Q67:W69">
    <cfRule type="expression" dxfId="8908" priority="276">
      <formula>Q48&gt;$AG48</formula>
    </cfRule>
  </conditionalFormatting>
  <conditionalFormatting sqref="AB58:AF58">
    <cfRule type="expression" dxfId="8907" priority="272">
      <formula>AB$9&gt;=20/24</formula>
    </cfRule>
    <cfRule type="expression" dxfId="8906" priority="273">
      <formula>AND(AB$9&gt;=14/24,AB$9&lt;20/24)</formula>
    </cfRule>
    <cfRule type="expression" dxfId="8905" priority="274">
      <formula>AND(AB$9&gt;=8/24,AB$9&lt;14/24)</formula>
    </cfRule>
    <cfRule type="expression" dxfId="8904" priority="275">
      <formula>AB$9&lt;8/24</formula>
    </cfRule>
  </conditionalFormatting>
  <conditionalFormatting sqref="AB58:AF58">
    <cfRule type="expression" dxfId="8903" priority="271">
      <formula>AB58&gt;$AG58</formula>
    </cfRule>
  </conditionalFormatting>
  <conditionalFormatting sqref="A43">
    <cfRule type="expression" dxfId="8902" priority="270">
      <formula>$AH43=0</formula>
    </cfRule>
  </conditionalFormatting>
  <conditionalFormatting sqref="X91:AF95">
    <cfRule type="expression" dxfId="8901" priority="266">
      <formula>X$9&gt;=20/24</formula>
    </cfRule>
    <cfRule type="expression" dxfId="8900" priority="267">
      <formula>AND(X$9&gt;=14/24,X$9&lt;20/24)</formula>
    </cfRule>
    <cfRule type="expression" dxfId="8899" priority="268">
      <formula>AND(X$9&gt;=8/24,X$9&lt;14/24)</formula>
    </cfRule>
    <cfRule type="expression" dxfId="8898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8897" priority="262">
      <formula>E$9&gt;=20/24</formula>
    </cfRule>
    <cfRule type="expression" dxfId="8896" priority="263">
      <formula>AND(E$9&gt;=14/24,E$9&lt;20/24)</formula>
    </cfRule>
    <cfRule type="expression" dxfId="8895" priority="264">
      <formula>AND(E$9&gt;=8/24,E$9&lt;14/24)</formula>
    </cfRule>
    <cfRule type="expression" dxfId="8894" priority="265">
      <formula>E$9&lt;8/24</formula>
    </cfRule>
  </conditionalFormatting>
  <conditionalFormatting sqref="E49:AF51">
    <cfRule type="expression" dxfId="8893" priority="261">
      <formula>E49&gt;$AG49</formula>
    </cfRule>
  </conditionalFormatting>
  <conditionalFormatting sqref="AG52">
    <cfRule type="expression" dxfId="8892" priority="257">
      <formula>AG$9&gt;=20/24</formula>
    </cfRule>
    <cfRule type="expression" dxfId="8891" priority="258">
      <formula>AND(AG$9&gt;=14/24,AG$9&lt;20/24)</formula>
    </cfRule>
    <cfRule type="expression" dxfId="8890" priority="259">
      <formula>AND(AG$9&gt;=8/24,AG$9&lt;14/24)</formula>
    </cfRule>
    <cfRule type="expression" dxfId="8889" priority="260">
      <formula>AG$9&lt;8/24</formula>
    </cfRule>
  </conditionalFormatting>
  <conditionalFormatting sqref="AG52">
    <cfRule type="expression" dxfId="8888" priority="256">
      <formula>AG52&gt;$AG52</formula>
    </cfRule>
  </conditionalFormatting>
  <conditionalFormatting sqref="C107:AF107">
    <cfRule type="expression" dxfId="8887" priority="252">
      <formula>C$9&gt;=20/24</formula>
    </cfRule>
    <cfRule type="expression" dxfId="8886" priority="253">
      <formula>AND(C$9&gt;=14/24,C$9&lt;20/24)</formula>
    </cfRule>
    <cfRule type="expression" dxfId="8885" priority="254">
      <formula>AND(C$9&gt;=8/24,C$9&lt;14/24)</formula>
    </cfRule>
    <cfRule type="expression" dxfId="8884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8883" priority="250">
      <formula>$AH40=0</formula>
    </cfRule>
  </conditionalFormatting>
  <conditionalFormatting sqref="A90">
    <cfRule type="expression" dxfId="8882" priority="248">
      <formula>$AH90=0</formula>
    </cfRule>
  </conditionalFormatting>
  <conditionalFormatting sqref="A87">
    <cfRule type="expression" dxfId="8881" priority="249">
      <formula>$AH87=0</formula>
    </cfRule>
  </conditionalFormatting>
  <conditionalFormatting sqref="D110:AF110">
    <cfRule type="expression" dxfId="8880" priority="244">
      <formula>D$9&gt;=20/24</formula>
    </cfRule>
    <cfRule type="expression" dxfId="8879" priority="245">
      <formula>AND(D$9&gt;=14/24,D$9&lt;20/24)</formula>
    </cfRule>
    <cfRule type="expression" dxfId="8878" priority="246">
      <formula>AND(D$9&gt;=8/24,D$9&lt;14/24)</formula>
    </cfRule>
    <cfRule type="expression" dxfId="8877" priority="247">
      <formula>D$9&lt;8/24</formula>
    </cfRule>
  </conditionalFormatting>
  <conditionalFormatting sqref="A110">
    <cfRule type="expression" dxfId="8876" priority="243">
      <formula>$AH110=0</formula>
    </cfRule>
  </conditionalFormatting>
  <conditionalFormatting sqref="A21">
    <cfRule type="expression" dxfId="8875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874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8873" priority="235">
      <formula>Y$9&gt;=20/24</formula>
    </cfRule>
    <cfRule type="expression" dxfId="8872" priority="236">
      <formula>AND(Y$9&gt;=14/24,Y$9&lt;20/24)</formula>
    </cfRule>
    <cfRule type="expression" dxfId="8871" priority="237">
      <formula>AND(Y$9&gt;=8/24,Y$9&lt;14/24)</formula>
    </cfRule>
    <cfRule type="expression" dxfId="8870" priority="238">
      <formula>Y$9&lt;8/24</formula>
    </cfRule>
  </conditionalFormatting>
  <conditionalFormatting sqref="Y100:AC106">
    <cfRule type="expression" dxfId="8869" priority="231">
      <formula>Y$9&gt;=20/24</formula>
    </cfRule>
    <cfRule type="expression" dxfId="8868" priority="232">
      <formula>AND(Y$9&gt;=14/24,Y$9&lt;20/24)</formula>
    </cfRule>
    <cfRule type="expression" dxfId="8867" priority="233">
      <formula>AND(Y$9&gt;=8/24,Y$9&lt;14/24)</formula>
    </cfRule>
    <cfRule type="expression" dxfId="8866" priority="234">
      <formula>Y$9&lt;8/24</formula>
    </cfRule>
  </conditionalFormatting>
  <conditionalFormatting sqref="C109 C111:C116 M17:AF18">
    <cfRule type="expression" dxfId="8865" priority="227">
      <formula>C$9&gt;=20/24</formula>
    </cfRule>
    <cfRule type="expression" dxfId="8864" priority="228">
      <formula>AND(C$9&gt;=14/24,C$9&lt;20/24)</formula>
    </cfRule>
    <cfRule type="expression" dxfId="8863" priority="229">
      <formula>AND(C$9&gt;=8/24,C$9&lt;14/24)</formula>
    </cfRule>
    <cfRule type="expression" dxfId="8862" priority="230">
      <formula>C$9&lt;8/24</formula>
    </cfRule>
  </conditionalFormatting>
  <conditionalFormatting sqref="C47:T47">
    <cfRule type="expression" dxfId="8861" priority="223">
      <formula>C$9&gt;=20/24</formula>
    </cfRule>
    <cfRule type="expression" dxfId="8860" priority="224">
      <formula>AND(C$9&gt;=14/24,C$9&lt;20/24)</formula>
    </cfRule>
    <cfRule type="expression" dxfId="8859" priority="225">
      <formula>AND(C$9&gt;=8/24,C$9&lt;14/24)</formula>
    </cfRule>
    <cfRule type="expression" dxfId="8858" priority="226">
      <formula>C$9&lt;8/24</formula>
    </cfRule>
  </conditionalFormatting>
  <conditionalFormatting sqref="C47:T47 M17:AF18">
    <cfRule type="expression" dxfId="8857" priority="222">
      <formula>C17&gt;$AG17</formula>
    </cfRule>
  </conditionalFormatting>
  <conditionalFormatting sqref="C99:D99">
    <cfRule type="expression" dxfId="8856" priority="218">
      <formula>C$9&gt;=20/24</formula>
    </cfRule>
    <cfRule type="expression" dxfId="8855" priority="219">
      <formula>AND(C$9&gt;=14/24,C$9&lt;20/24)</formula>
    </cfRule>
    <cfRule type="expression" dxfId="8854" priority="220">
      <formula>AND(C$9&gt;=8/24,C$9&lt;14/24)</formula>
    </cfRule>
    <cfRule type="expression" dxfId="8853" priority="221">
      <formula>C$9&lt;8/24</formula>
    </cfRule>
  </conditionalFormatting>
  <conditionalFormatting sqref="C86 C100:D106 E67:P69 C96:W96 E74:W75 G76:W76 X74:Y76 C83:AF85 Z75:AF76">
    <cfRule type="expression" dxfId="8852" priority="214">
      <formula>C$9&gt;=20/24</formula>
    </cfRule>
    <cfRule type="expression" dxfId="8851" priority="215">
      <formula>AND(C$9&gt;=14/24,C$9&lt;20/24)</formula>
    </cfRule>
    <cfRule type="expression" dxfId="8850" priority="216">
      <formula>AND(C$9&gt;=8/24,C$9&lt;14/24)</formula>
    </cfRule>
    <cfRule type="expression" dxfId="8849" priority="217">
      <formula>C$9&lt;8/24</formula>
    </cfRule>
  </conditionalFormatting>
  <conditionalFormatting sqref="E67:P69 E56:L57">
    <cfRule type="expression" dxfId="8848" priority="213">
      <formula>E56&gt;$AG56</formula>
    </cfRule>
  </conditionalFormatting>
  <conditionalFormatting sqref="H58:N58">
    <cfRule type="expression" dxfId="8847" priority="209">
      <formula>H$9&gt;=20/24</formula>
    </cfRule>
    <cfRule type="expression" dxfId="8846" priority="210">
      <formula>AND(H$9&gt;=14/24,H$9&lt;20/24)</formula>
    </cfRule>
    <cfRule type="expression" dxfId="8845" priority="211">
      <formula>AND(H$9&gt;=8/24,H$9&lt;14/24)</formula>
    </cfRule>
    <cfRule type="expression" dxfId="8844" priority="212">
      <formula>H$9&lt;8/24</formula>
    </cfRule>
  </conditionalFormatting>
  <conditionalFormatting sqref="H58:N58">
    <cfRule type="expression" dxfId="8843" priority="208">
      <formula>H58&gt;$AG58</formula>
    </cfRule>
  </conditionalFormatting>
  <conditionalFormatting sqref="B54:D57 B71:D71">
    <cfRule type="expression" dxfId="8842" priority="132">
      <formula>B$9&gt;=20/24</formula>
    </cfRule>
    <cfRule type="expression" dxfId="8841" priority="133">
      <formula>AND(B$9&gt;=14/24,B$9&lt;20/24)</formula>
    </cfRule>
    <cfRule type="expression" dxfId="8840" priority="134">
      <formula>AND(B$9&gt;=8/24,B$9&lt;14/24)</formula>
    </cfRule>
    <cfRule type="expression" dxfId="8839" priority="135">
      <formula>B$9&lt;8/24</formula>
    </cfRule>
  </conditionalFormatting>
  <conditionalFormatting sqref="AC46:AF46">
    <cfRule type="expression" dxfId="8838" priority="204">
      <formula>AC$9&gt;=20/24</formula>
    </cfRule>
    <cfRule type="expression" dxfId="8837" priority="205">
      <formula>AND(AC$9&gt;=14/24,AC$9&lt;20/24)</formula>
    </cfRule>
    <cfRule type="expression" dxfId="8836" priority="206">
      <formula>AND(AC$9&gt;=8/24,AC$9&lt;14/24)</formula>
    </cfRule>
    <cfRule type="expression" dxfId="8835" priority="207">
      <formula>AC$9&lt;8/24</formula>
    </cfRule>
  </conditionalFormatting>
  <conditionalFormatting sqref="AC46:AF46">
    <cfRule type="expression" dxfId="8834" priority="203">
      <formula>AC46&gt;$AG46</formula>
    </cfRule>
  </conditionalFormatting>
  <conditionalFormatting sqref="C98:AF98 C87:AF87 C89:AF89 C70:AF70">
    <cfRule type="expression" dxfId="8833" priority="199">
      <formula>C$9&gt;=20/24</formula>
    </cfRule>
    <cfRule type="expression" dxfId="8832" priority="200">
      <formula>AND(C$9&gt;=14/24,C$9&lt;20/24)</formula>
    </cfRule>
    <cfRule type="expression" dxfId="8831" priority="201">
      <formula>AND(C$9&gt;=8/24,C$9&lt;14/24)</formula>
    </cfRule>
    <cfRule type="expression" dxfId="8830" priority="202">
      <formula>C$9&lt;8/24</formula>
    </cfRule>
  </conditionalFormatting>
  <conditionalFormatting sqref="C70:AF70 C65:AF66 C48:AF48">
    <cfRule type="expression" dxfId="8829" priority="198">
      <formula>C48&gt;$AG48</formula>
    </cfRule>
  </conditionalFormatting>
  <conditionalFormatting sqref="C82:AF82">
    <cfRule type="expression" dxfId="8828" priority="194">
      <formula>C$9&gt;=20/24</formula>
    </cfRule>
    <cfRule type="expression" dxfId="8827" priority="195">
      <formula>AND(C$9&gt;=14/24,C$9&lt;20/24)</formula>
    </cfRule>
    <cfRule type="expression" dxfId="8826" priority="196">
      <formula>AND(C$9&gt;=8/24,C$9&lt;14/24)</formula>
    </cfRule>
    <cfRule type="expression" dxfId="8825" priority="197">
      <formula>C$9&lt;8/24</formula>
    </cfRule>
  </conditionalFormatting>
  <conditionalFormatting sqref="C91:W95">
    <cfRule type="expression" dxfId="8824" priority="190">
      <formula>C$9&gt;=20/24</formula>
    </cfRule>
    <cfRule type="expression" dxfId="8823" priority="191">
      <formula>AND(C$9&gt;=14/24,C$9&lt;20/24)</formula>
    </cfRule>
    <cfRule type="expression" dxfId="8822" priority="192">
      <formula>AND(C$9&gt;=8/24,C$9&lt;14/24)</formula>
    </cfRule>
    <cfRule type="expression" dxfId="8821" priority="193">
      <formula>C$9&lt;8/24</formula>
    </cfRule>
  </conditionalFormatting>
  <conditionalFormatting sqref="C52:AF52">
    <cfRule type="expression" dxfId="8820" priority="186">
      <formula>C$9&gt;=20/24</formula>
    </cfRule>
    <cfRule type="expression" dxfId="8819" priority="187">
      <formula>AND(C$9&gt;=14/24,C$9&lt;20/24)</formula>
    </cfRule>
    <cfRule type="expression" dxfId="8818" priority="188">
      <formula>AND(C$9&gt;=8/24,C$9&lt;14/24)</formula>
    </cfRule>
    <cfRule type="expression" dxfId="8817" priority="189">
      <formula>C$9&lt;8/24</formula>
    </cfRule>
  </conditionalFormatting>
  <conditionalFormatting sqref="C52:AF52">
    <cfRule type="expression" dxfId="8816" priority="185">
      <formula>C52&gt;$AG52</formula>
    </cfRule>
  </conditionalFormatting>
  <conditionalFormatting sqref="B49:D51">
    <cfRule type="expression" dxfId="8815" priority="100">
      <formula>B$9&gt;=20/24</formula>
    </cfRule>
    <cfRule type="expression" dxfId="8814" priority="101">
      <formula>AND(B$9&gt;=14/24,B$9&lt;20/24)</formula>
    </cfRule>
    <cfRule type="expression" dxfId="8813" priority="102">
      <formula>AND(B$9&gt;=8/24,B$9&lt;14/24)</formula>
    </cfRule>
    <cfRule type="expression" dxfId="8812" priority="103">
      <formula>B$9&lt;8/24</formula>
    </cfRule>
  </conditionalFormatting>
  <conditionalFormatting sqref="C110">
    <cfRule type="expression" dxfId="8811" priority="177">
      <formula>C$9&gt;=20/24</formula>
    </cfRule>
    <cfRule type="expression" dxfId="8810" priority="178">
      <formula>AND(C$9&gt;=14/24,C$9&lt;20/24)</formula>
    </cfRule>
    <cfRule type="expression" dxfId="8809" priority="179">
      <formula>AND(C$9&gt;=8/24,C$9&lt;14/24)</formula>
    </cfRule>
    <cfRule type="expression" dxfId="8808" priority="180">
      <formula>C$9&lt;8/24</formula>
    </cfRule>
  </conditionalFormatting>
  <conditionalFormatting sqref="O59:AA59 AB59:AF64">
    <cfRule type="expression" dxfId="8807" priority="173">
      <formula>O$9&gt;=20/24</formula>
    </cfRule>
    <cfRule type="expression" dxfId="8806" priority="174">
      <formula>AND(O$9&gt;=14/24,O$9&lt;20/24)</formula>
    </cfRule>
    <cfRule type="expression" dxfId="8805" priority="175">
      <formula>AND(O$9&gt;=8/24,O$9&lt;14/24)</formula>
    </cfRule>
    <cfRule type="expression" dxfId="8804" priority="176">
      <formula>O$9&lt;8/24</formula>
    </cfRule>
  </conditionalFormatting>
  <conditionalFormatting sqref="O59:AA59 AB59:AF64">
    <cfRule type="expression" dxfId="8803" priority="172">
      <formula>O59&gt;$AG59</formula>
    </cfRule>
  </conditionalFormatting>
  <conditionalFormatting sqref="H13:AF15">
    <cfRule type="expression" dxfId="8802" priority="171">
      <formula>H13&gt;$AG13</formula>
    </cfRule>
  </conditionalFormatting>
  <conditionalFormatting sqref="H12:AF12">
    <cfRule type="expression" dxfId="8801" priority="167">
      <formula>H$9&gt;=20/24</formula>
    </cfRule>
    <cfRule type="expression" dxfId="8800" priority="168">
      <formula>AND(H$9&gt;=14/24,H$9&lt;20/24)</formula>
    </cfRule>
    <cfRule type="expression" dxfId="8799" priority="169">
      <formula>AND(H$9&gt;=8/24,H$9&lt;14/24)</formula>
    </cfRule>
    <cfRule type="expression" dxfId="8798" priority="170">
      <formula>H$9&lt;8/24</formula>
    </cfRule>
  </conditionalFormatting>
  <conditionalFormatting sqref="H12:AF12">
    <cfRule type="expression" dxfId="8797" priority="166">
      <formula>H12&gt;$AG12</formula>
    </cfRule>
  </conditionalFormatting>
  <conditionalFormatting sqref="H13:AF15">
    <cfRule type="expression" dxfId="8796" priority="162">
      <formula>H$9&gt;=20/24</formula>
    </cfRule>
    <cfRule type="expression" dxfId="8795" priority="163">
      <formula>AND(H$9&gt;=14/24,H$9&lt;20/24)</formula>
    </cfRule>
    <cfRule type="expression" dxfId="8794" priority="164">
      <formula>AND(H$9&gt;=8/24,H$9&lt;14/24)</formula>
    </cfRule>
    <cfRule type="expression" dxfId="8793" priority="165">
      <formula>H$9&lt;8/24</formula>
    </cfRule>
  </conditionalFormatting>
  <conditionalFormatting sqref="M77:AF81">
    <cfRule type="expression" dxfId="8792" priority="154">
      <formula>M$9&gt;=20/24</formula>
    </cfRule>
    <cfRule type="expression" dxfId="8791" priority="155">
      <formula>AND(M$9&gt;=14/24,M$9&lt;20/24)</formula>
    </cfRule>
    <cfRule type="expression" dxfId="8790" priority="156">
      <formula>AND(M$9&gt;=8/24,M$9&lt;14/24)</formula>
    </cfRule>
    <cfRule type="expression" dxfId="8789" priority="157">
      <formula>M$9&lt;8/24</formula>
    </cfRule>
  </conditionalFormatting>
  <conditionalFormatting sqref="AL78:AN78 AL84:AN84 AN79:AN80">
    <cfRule type="expression" dxfId="8788" priority="150">
      <formula>AL$9&gt;=20/24</formula>
    </cfRule>
    <cfRule type="expression" dxfId="8787" priority="151">
      <formula>AND(AL$9&gt;=14/24,AL$9&lt;20/24)</formula>
    </cfRule>
    <cfRule type="expression" dxfId="8786" priority="152">
      <formula>AND(AL$9&gt;=8/24,AL$9&lt;14/24)</formula>
    </cfRule>
    <cfRule type="expression" dxfId="8785" priority="153">
      <formula>AL$9&lt;8/24</formula>
    </cfRule>
  </conditionalFormatting>
  <conditionalFormatting sqref="AN81:AN82">
    <cfRule type="expression" dxfId="8784" priority="146">
      <formula>AN$9&gt;=20/24</formula>
    </cfRule>
    <cfRule type="expression" dxfId="8783" priority="147">
      <formula>AND(AN$9&gt;=14/24,AN$9&lt;20/24)</formula>
    </cfRule>
    <cfRule type="expression" dxfId="8782" priority="148">
      <formula>AND(AN$9&gt;=8/24,AN$9&lt;14/24)</formula>
    </cfRule>
    <cfRule type="expression" dxfId="8781" priority="149">
      <formula>AN$9&lt;8/24</formula>
    </cfRule>
  </conditionalFormatting>
  <conditionalFormatting sqref="AL79:AM83">
    <cfRule type="expression" dxfId="8780" priority="368">
      <formula>AJ$9&gt;=20/24</formula>
    </cfRule>
    <cfRule type="expression" dxfId="8779" priority="369">
      <formula>AND(AJ$9&gt;=14/24,AJ$9&lt;20/24)</formula>
    </cfRule>
    <cfRule type="expression" dxfId="8778" priority="370">
      <formula>AND(AJ$9&gt;=8/24,AJ$9&lt;14/24)</formula>
    </cfRule>
    <cfRule type="expression" dxfId="8777" priority="371">
      <formula>AJ$9&lt;8/24</formula>
    </cfRule>
  </conditionalFormatting>
  <conditionalFormatting sqref="A117">
    <cfRule type="expression" dxfId="8776" priority="145">
      <formula>$AH117=0</formula>
    </cfRule>
  </conditionalFormatting>
  <conditionalFormatting sqref="B109 B111:B116 B12:G15 B17:L32 B34:AF43 B45:AF45 M19:AF32">
    <cfRule type="expression" dxfId="8775" priority="141">
      <formula>B$9&gt;=20/24</formula>
    </cfRule>
    <cfRule type="expression" dxfId="8774" priority="142">
      <formula>AND(B$9&gt;=14/24,B$9&lt;20/24)</formula>
    </cfRule>
    <cfRule type="expression" dxfId="8773" priority="143">
      <formula>AND(B$9&gt;=8/24,B$9&lt;14/24)</formula>
    </cfRule>
    <cfRule type="expression" dxfId="8772" priority="144">
      <formula>B$9&lt;8/24</formula>
    </cfRule>
  </conditionalFormatting>
  <conditionalFormatting sqref="B12:G15 B17:L32 B34:AF43 B45:AF45 M19:AF32">
    <cfRule type="expression" dxfId="8771" priority="140">
      <formula>B12&gt;$AG12</formula>
    </cfRule>
  </conditionalFormatting>
  <conditionalFormatting sqref="B99">
    <cfRule type="expression" dxfId="8770" priority="136">
      <formula>B$9&gt;=20/24</formula>
    </cfRule>
    <cfRule type="expression" dxfId="8769" priority="137">
      <formula>AND(B$9&gt;=14/24,B$9&lt;20/24)</formula>
    </cfRule>
    <cfRule type="expression" dxfId="8768" priority="138">
      <formula>AND(B$9&gt;=8/24,B$9&lt;14/24)</formula>
    </cfRule>
    <cfRule type="expression" dxfId="8767" priority="139">
      <formula>B$9&lt;8/24</formula>
    </cfRule>
  </conditionalFormatting>
  <conditionalFormatting sqref="B53:D53">
    <cfRule type="expression" dxfId="8766" priority="128">
      <formula>B$9&gt;=20/24</formula>
    </cfRule>
    <cfRule type="expression" dxfId="8765" priority="129">
      <formula>AND(B$9&gt;=14/24,B$9&lt;20/24)</formula>
    </cfRule>
    <cfRule type="expression" dxfId="8764" priority="130">
      <formula>AND(B$9&gt;=8/24,B$9&lt;14/24)</formula>
    </cfRule>
    <cfRule type="expression" dxfId="8763" priority="131">
      <formula>B$9&lt;8/24</formula>
    </cfRule>
  </conditionalFormatting>
  <conditionalFormatting sqref="B53:D57">
    <cfRule type="expression" dxfId="8762" priority="127">
      <formula>B53&gt;$AG53</formula>
    </cfRule>
  </conditionalFormatting>
  <conditionalFormatting sqref="B96 B100:B106 B86 B47 B67:D69 B72:D74">
    <cfRule type="expression" dxfId="8761" priority="123">
      <formula>B$9&gt;=20/24</formula>
    </cfRule>
    <cfRule type="expression" dxfId="8760" priority="124">
      <formula>AND(B$9&gt;=14/24,B$9&lt;20/24)</formula>
    </cfRule>
    <cfRule type="expression" dxfId="8759" priority="125">
      <formula>AND(B$9&gt;=8/24,B$9&lt;14/24)</formula>
    </cfRule>
    <cfRule type="expression" dxfId="8758" priority="126">
      <formula>B$9&lt;8/24</formula>
    </cfRule>
  </conditionalFormatting>
  <conditionalFormatting sqref="B47 B67:D69">
    <cfRule type="expression" dxfId="8757" priority="122">
      <formula>B47&gt;$AG47</formula>
    </cfRule>
  </conditionalFormatting>
  <conditionalFormatting sqref="B97 B88:C88">
    <cfRule type="expression" dxfId="8756" priority="118">
      <formula>B$9&gt;=20/24</formula>
    </cfRule>
    <cfRule type="expression" dxfId="8755" priority="119">
      <formula>AND(B$9&gt;=14/24,B$9&lt;20/24)</formula>
    </cfRule>
    <cfRule type="expression" dxfId="8754" priority="120">
      <formula>AND(B$9&gt;=8/24,B$9&lt;14/24)</formula>
    </cfRule>
    <cfRule type="expression" dxfId="8753" priority="121">
      <formula>B$9&lt;8/24</formula>
    </cfRule>
  </conditionalFormatting>
  <conditionalFormatting sqref="B46:AB46">
    <cfRule type="expression" dxfId="8752" priority="114">
      <formula>B$9&gt;=20/24</formula>
    </cfRule>
    <cfRule type="expression" dxfId="8751" priority="115">
      <formula>AND(B$9&gt;=14/24,B$9&lt;20/24)</formula>
    </cfRule>
    <cfRule type="expression" dxfId="8750" priority="116">
      <formula>AND(B$9&gt;=8/24,B$9&lt;14/24)</formula>
    </cfRule>
    <cfRule type="expression" dxfId="8749" priority="117">
      <formula>B$9&lt;8/24</formula>
    </cfRule>
  </conditionalFormatting>
  <conditionalFormatting sqref="B46:AB46">
    <cfRule type="expression" dxfId="8748" priority="113">
      <formula>B46&gt;$AG46</formula>
    </cfRule>
  </conditionalFormatting>
  <conditionalFormatting sqref="B58:G58">
    <cfRule type="expression" dxfId="8747" priority="109">
      <formula>B$9&gt;=20/24</formula>
    </cfRule>
    <cfRule type="expression" dxfId="8746" priority="110">
      <formula>AND(B$9&gt;=14/24,B$9&lt;20/24)</formula>
    </cfRule>
    <cfRule type="expression" dxfId="8745" priority="111">
      <formula>AND(B$9&gt;=8/24,B$9&lt;14/24)</formula>
    </cfRule>
    <cfRule type="expression" dxfId="8744" priority="112">
      <formula>B$9&lt;8/24</formula>
    </cfRule>
  </conditionalFormatting>
  <conditionalFormatting sqref="B58:G58">
    <cfRule type="expression" dxfId="8743" priority="108">
      <formula>B58&gt;$AG58</formula>
    </cfRule>
  </conditionalFormatting>
  <conditionalFormatting sqref="B91:B95">
    <cfRule type="expression" dxfId="8742" priority="104">
      <formula>B$9&gt;=20/24</formula>
    </cfRule>
    <cfRule type="expression" dxfId="8741" priority="105">
      <formula>AND(B$9&gt;=14/24,B$9&lt;20/24)</formula>
    </cfRule>
    <cfRule type="expression" dxfId="8740" priority="106">
      <formula>AND(B$9&gt;=8/24,B$9&lt;14/24)</formula>
    </cfRule>
    <cfRule type="expression" dxfId="8739" priority="107">
      <formula>B$9&lt;8/24</formula>
    </cfRule>
  </conditionalFormatting>
  <conditionalFormatting sqref="B49:D51">
    <cfRule type="expression" dxfId="8738" priority="99">
      <formula>B49&gt;$AG49</formula>
    </cfRule>
  </conditionalFormatting>
  <conditionalFormatting sqref="B107">
    <cfRule type="expression" dxfId="8737" priority="95">
      <formula>B$9&gt;=20/24</formula>
    </cfRule>
    <cfRule type="expression" dxfId="8736" priority="96">
      <formula>AND(B$9&gt;=14/24,B$9&lt;20/24)</formula>
    </cfRule>
    <cfRule type="expression" dxfId="8735" priority="97">
      <formula>AND(B$9&gt;=8/24,B$9&lt;14/24)</formula>
    </cfRule>
    <cfRule type="expression" dxfId="8734" priority="98">
      <formula>B$9&lt;8/24</formula>
    </cfRule>
  </conditionalFormatting>
  <conditionalFormatting sqref="B110">
    <cfRule type="expression" dxfId="8733" priority="91">
      <formula>B$9&gt;=20/24</formula>
    </cfRule>
    <cfRule type="expression" dxfId="8732" priority="92">
      <formula>AND(B$9&gt;=14/24,B$9&lt;20/24)</formula>
    </cfRule>
    <cfRule type="expression" dxfId="8731" priority="93">
      <formula>AND(B$9&gt;=8/24,B$9&lt;14/24)</formula>
    </cfRule>
    <cfRule type="expression" dxfId="8730" priority="94">
      <formula>B$9&lt;8/24</formula>
    </cfRule>
  </conditionalFormatting>
  <conditionalFormatting sqref="B83:B85 B75:D76 E76:F76">
    <cfRule type="expression" dxfId="8729" priority="87">
      <formula>B$9&gt;=20/24</formula>
    </cfRule>
    <cfRule type="expression" dxfId="8728" priority="88">
      <formula>AND(B$9&gt;=14/24,B$9&lt;20/24)</formula>
    </cfRule>
    <cfRule type="expression" dxfId="8727" priority="89">
      <formula>AND(B$9&gt;=8/24,B$9&lt;14/24)</formula>
    </cfRule>
    <cfRule type="expression" dxfId="8726" priority="90">
      <formula>B$9&lt;8/24</formula>
    </cfRule>
  </conditionalFormatting>
  <conditionalFormatting sqref="B89 B98 B70 B87">
    <cfRule type="expression" dxfId="8725" priority="83">
      <formula>B$9&gt;=20/24</formula>
    </cfRule>
    <cfRule type="expression" dxfId="8724" priority="84">
      <formula>AND(B$9&gt;=14/24,B$9&lt;20/24)</formula>
    </cfRule>
    <cfRule type="expression" dxfId="8723" priority="85">
      <formula>AND(B$9&gt;=8/24,B$9&lt;14/24)</formula>
    </cfRule>
    <cfRule type="expression" dxfId="8722" priority="86">
      <formula>B$9&lt;8/24</formula>
    </cfRule>
  </conditionalFormatting>
  <conditionalFormatting sqref="B48 B65:B66 B70">
    <cfRule type="expression" dxfId="8721" priority="82">
      <formula>B48&gt;$AG48</formula>
    </cfRule>
  </conditionalFormatting>
  <conditionalFormatting sqref="B82">
    <cfRule type="expression" dxfId="8720" priority="78">
      <formula>B$9&gt;=20/24</formula>
    </cfRule>
    <cfRule type="expression" dxfId="8719" priority="79">
      <formula>AND(B$9&gt;=14/24,B$9&lt;20/24)</formula>
    </cfRule>
    <cfRule type="expression" dxfId="8718" priority="80">
      <formula>AND(B$9&gt;=8/24,B$9&lt;14/24)</formula>
    </cfRule>
    <cfRule type="expression" dxfId="8717" priority="81">
      <formula>B$9&lt;8/24</formula>
    </cfRule>
  </conditionalFormatting>
  <conditionalFormatting sqref="B52">
    <cfRule type="expression" dxfId="8716" priority="74">
      <formula>B$9&gt;=20/24</formula>
    </cfRule>
    <cfRule type="expression" dxfId="8715" priority="75">
      <formula>AND(B$9&gt;=14/24,B$9&lt;20/24)</formula>
    </cfRule>
    <cfRule type="expression" dxfId="8714" priority="76">
      <formula>AND(B$9&gt;=8/24,B$9&lt;14/24)</formula>
    </cfRule>
    <cfRule type="expression" dxfId="8713" priority="77">
      <formula>B$9&lt;8/24</formula>
    </cfRule>
  </conditionalFormatting>
  <conditionalFormatting sqref="B52">
    <cfRule type="expression" dxfId="8712" priority="73">
      <formula>B52&gt;$AG52</formula>
    </cfRule>
  </conditionalFormatting>
  <conditionalFormatting sqref="B59:N64 O60:AA64">
    <cfRule type="expression" dxfId="8711" priority="65">
      <formula>B$9&gt;=20/24</formula>
    </cfRule>
    <cfRule type="expression" dxfId="8710" priority="66">
      <formula>AND(B$9&gt;=14/24,B$9&lt;20/24)</formula>
    </cfRule>
    <cfRule type="expression" dxfId="8709" priority="67">
      <formula>AND(B$9&gt;=8/24,B$9&lt;14/24)</formula>
    </cfRule>
    <cfRule type="expression" dxfId="8708" priority="68">
      <formula>B$9&lt;8/24</formula>
    </cfRule>
  </conditionalFormatting>
  <conditionalFormatting sqref="B59:N64 O60:AA64">
    <cfRule type="expression" dxfId="8707" priority="64">
      <formula>B59&gt;$AG59</formula>
    </cfRule>
  </conditionalFormatting>
  <conditionalFormatting sqref="B77:L81">
    <cfRule type="expression" dxfId="8706" priority="60">
      <formula>B$9&gt;=20/24</formula>
    </cfRule>
    <cfRule type="expression" dxfId="8705" priority="61">
      <formula>AND(B$9&gt;=14/24,B$9&lt;20/24)</formula>
    </cfRule>
    <cfRule type="expression" dxfId="8704" priority="62">
      <formula>AND(B$9&gt;=8/24,B$9&lt;14/24)</formula>
    </cfRule>
    <cfRule type="expression" dxfId="8703" priority="63">
      <formula>B$9&lt;8/24</formula>
    </cfRule>
  </conditionalFormatting>
  <conditionalFormatting sqref="A11">
    <cfRule type="expression" dxfId="8702" priority="59">
      <formula>$AH11=0</formula>
    </cfRule>
  </conditionalFormatting>
  <conditionalFormatting sqref="H11:AF11">
    <cfRule type="expression" dxfId="8701" priority="55">
      <formula>H$9&gt;=20/24</formula>
    </cfRule>
    <cfRule type="expression" dxfId="8700" priority="56">
      <formula>AND(H$9&gt;=14/24,H$9&lt;20/24)</formula>
    </cfRule>
    <cfRule type="expression" dxfId="8699" priority="57">
      <formula>AND(H$9&gt;=8/24,H$9&lt;14/24)</formula>
    </cfRule>
    <cfRule type="expression" dxfId="8698" priority="58">
      <formula>H$9&lt;8/24</formula>
    </cfRule>
  </conditionalFormatting>
  <conditionalFormatting sqref="H11:AF11">
    <cfRule type="expression" dxfId="8697" priority="54">
      <formula>H11&gt;$AG11</formula>
    </cfRule>
  </conditionalFormatting>
  <conditionalFormatting sqref="B11:G11">
    <cfRule type="expression" dxfId="8696" priority="50">
      <formula>B$9&gt;=20/24</formula>
    </cfRule>
    <cfRule type="expression" dxfId="8695" priority="51">
      <formula>AND(B$9&gt;=14/24,B$9&lt;20/24)</formula>
    </cfRule>
    <cfRule type="expression" dxfId="8694" priority="52">
      <formula>AND(B$9&gt;=8/24,B$9&lt;14/24)</formula>
    </cfRule>
    <cfRule type="expression" dxfId="8693" priority="53">
      <formula>B$9&lt;8/24</formula>
    </cfRule>
  </conditionalFormatting>
  <conditionalFormatting sqref="B11:G11">
    <cfRule type="expression" dxfId="8692" priority="49">
      <formula>B11&gt;$AG11</formula>
    </cfRule>
  </conditionalFormatting>
  <conditionalFormatting sqref="A16">
    <cfRule type="expression" dxfId="8691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M16:AF16">
    <cfRule type="expression" dxfId="8690" priority="43">
      <formula>M$9&gt;=20/24</formula>
    </cfRule>
    <cfRule type="expression" dxfId="8689" priority="44">
      <formula>AND(M$9&gt;=14/24,M$9&lt;20/24)</formula>
    </cfRule>
    <cfRule type="expression" dxfId="8688" priority="45">
      <formula>AND(M$9&gt;=8/24,M$9&lt;14/24)</formula>
    </cfRule>
    <cfRule type="expression" dxfId="8687" priority="46">
      <formula>M$9&lt;8/24</formula>
    </cfRule>
  </conditionalFormatting>
  <conditionalFormatting sqref="M16:AF16">
    <cfRule type="expression" dxfId="8686" priority="42">
      <formula>M16&gt;$AG16</formula>
    </cfRule>
  </conditionalFormatting>
  <conditionalFormatting sqref="B16:L16">
    <cfRule type="expression" dxfId="8685" priority="38">
      <formula>B$9&gt;=20/24</formula>
    </cfRule>
    <cfRule type="expression" dxfId="8684" priority="39">
      <formula>AND(B$9&gt;=14/24,B$9&lt;20/24)</formula>
    </cfRule>
    <cfRule type="expression" dxfId="8683" priority="40">
      <formula>AND(B$9&gt;=8/24,B$9&lt;14/24)</formula>
    </cfRule>
    <cfRule type="expression" dxfId="8682" priority="41">
      <formula>B$9&lt;8/24</formula>
    </cfRule>
  </conditionalFormatting>
  <conditionalFormatting sqref="B16:L16">
    <cfRule type="expression" dxfId="8681" priority="37">
      <formula>B16&gt;$AG16</formula>
    </cfRule>
  </conditionalFormatting>
  <conditionalFormatting sqref="A33">
    <cfRule type="expression" dxfId="8680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8679" priority="26">
      <formula>B$9&gt;=20/24</formula>
    </cfRule>
    <cfRule type="expression" dxfId="8678" priority="27">
      <formula>AND(B$9&gt;=14/24,B$9&lt;20/24)</formula>
    </cfRule>
    <cfRule type="expression" dxfId="8677" priority="28">
      <formula>AND(B$9&gt;=8/24,B$9&lt;14/24)</formula>
    </cfRule>
    <cfRule type="expression" dxfId="8676" priority="29">
      <formula>B$9&lt;8/24</formula>
    </cfRule>
  </conditionalFormatting>
  <conditionalFormatting sqref="B33:AF33">
    <cfRule type="expression" dxfId="8675" priority="25">
      <formula>B33&gt;$AG33</formula>
    </cfRule>
  </conditionalFormatting>
  <conditionalFormatting sqref="A44">
    <cfRule type="expression" dxfId="8674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8673" priority="14">
      <formula>B$9&gt;=20/24</formula>
    </cfRule>
    <cfRule type="expression" dxfId="8672" priority="15">
      <formula>AND(B$9&gt;=14/24,B$9&lt;20/24)</formula>
    </cfRule>
    <cfRule type="expression" dxfId="8671" priority="16">
      <formula>AND(B$9&gt;=8/24,B$9&lt;14/24)</formula>
    </cfRule>
    <cfRule type="expression" dxfId="8670" priority="17">
      <formula>B$9&lt;8/24</formula>
    </cfRule>
  </conditionalFormatting>
  <conditionalFormatting sqref="B44:AF44">
    <cfRule type="expression" dxfId="8669" priority="13">
      <formula>B44&gt;$AG44</formula>
    </cfRule>
  </conditionalFormatting>
  <conditionalFormatting sqref="B117">
    <cfRule type="expression" dxfId="8668" priority="1">
      <formula>B$9&gt;=20/24</formula>
    </cfRule>
    <cfRule type="expression" dxfId="8667" priority="2">
      <formula>AND(B$9&gt;=14/24,B$9&lt;20/24)</formula>
    </cfRule>
    <cfRule type="expression" dxfId="8666" priority="3">
      <formula>AND(B$9&gt;=8/24,B$9&lt;14/24)</formula>
    </cfRule>
    <cfRule type="expression" dxfId="8665" priority="4">
      <formula>B$9&lt;8/24</formula>
    </cfRule>
  </conditionalFormatting>
  <conditionalFormatting sqref="D117:AF117">
    <cfRule type="expression" dxfId="8664" priority="9">
      <formula>D$9&gt;=20/24</formula>
    </cfRule>
    <cfRule type="expression" dxfId="8663" priority="10">
      <formula>AND(D$9&gt;=14/24,D$9&lt;20/24)</formula>
    </cfRule>
    <cfRule type="expression" dxfId="8662" priority="11">
      <formula>AND(D$9&gt;=8/24,D$9&lt;14/24)</formula>
    </cfRule>
    <cfRule type="expression" dxfId="8661" priority="12">
      <formula>D$9&lt;8/24</formula>
    </cfRule>
  </conditionalFormatting>
  <conditionalFormatting sqref="C117">
    <cfRule type="expression" dxfId="8660" priority="5">
      <formula>C$9&gt;=20/24</formula>
    </cfRule>
    <cfRule type="expression" dxfId="8659" priority="6">
      <formula>AND(C$9&gt;=14/24,C$9&lt;20/24)</formula>
    </cfRule>
    <cfRule type="expression" dxfId="8658" priority="7">
      <formula>AND(C$9&gt;=8/24,C$9&lt;14/24)</formula>
    </cfRule>
    <cfRule type="expression" dxfId="8657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B9C4A9FA-0EBE-4533-94E7-101DF584899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B12E08FF-9287-448F-BEF8-270CB29B5AD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CAC12A17-1E8B-424E-97F0-25F116EA564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3EF4FF1C-626A-493D-9C85-A467BE5BBD7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5EAB18D8-0FB8-4159-9450-DFDB8AB0458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CA102448-877B-41BB-B5B4-AE83DDBB40D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DF615321-BAF7-4942-8F8E-CC7726B8FA2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2552AF02-067B-4295-987E-6040F7ADF36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87" zoomScaleNormal="87" workbookViewId="0">
      <pane ySplit="10" topLeftCell="A49" activePane="bottomLeft" state="frozen"/>
      <selection activeCell="Z85" sqref="Z85"/>
      <selection pane="bottomLeft" activeCell="K78" sqref="K78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2079/12/10</v>
      </c>
      <c r="C4" s="196"/>
      <c r="D4" s="196"/>
      <c r="E4" s="197" t="str">
        <f ca="1">"2079/"&amp;"12/"&amp;INT(MID(CELL("filename",G6),FIND("]",CELL("filename",G6))+1,200))</f>
        <v>2079/12/10</v>
      </c>
      <c r="F4" s="197"/>
      <c r="G4" s="197"/>
      <c r="H4" s="197" t="str">
        <f ca="1">TEXT(E4,"dddd")</f>
        <v>Sunday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423</v>
      </c>
      <c r="C5" s="33">
        <f t="shared" si="0"/>
        <v>415.79999999999995</v>
      </c>
      <c r="D5" s="33">
        <f t="shared" si="0"/>
        <v>400.20000000000005</v>
      </c>
      <c r="E5" s="33">
        <f t="shared" si="0"/>
        <v>407.80000000000007</v>
      </c>
      <c r="F5" s="33">
        <f t="shared" si="0"/>
        <v>405.26</v>
      </c>
      <c r="G5" s="33">
        <f t="shared" si="0"/>
        <v>440.5</v>
      </c>
      <c r="H5" s="33">
        <f t="shared" si="0"/>
        <v>454.7</v>
      </c>
      <c r="I5" s="33">
        <f t="shared" si="0"/>
        <v>395.9</v>
      </c>
      <c r="J5" s="33">
        <f t="shared" si="0"/>
        <v>427.5</v>
      </c>
      <c r="K5" s="33">
        <f t="shared" si="0"/>
        <v>381.9</v>
      </c>
      <c r="L5" s="33">
        <f t="shared" si="0"/>
        <v>386.4</v>
      </c>
      <c r="M5" s="33">
        <f t="shared" si="0"/>
        <v>464.7</v>
      </c>
      <c r="N5" s="33">
        <f t="shared" si="0"/>
        <v>495.20000000000005</v>
      </c>
      <c r="O5" s="33">
        <f t="shared" si="0"/>
        <v>547.5</v>
      </c>
      <c r="P5" s="33">
        <f t="shared" si="0"/>
        <v>546.20000000000005</v>
      </c>
      <c r="Q5" s="33">
        <f t="shared" si="0"/>
        <v>556.4</v>
      </c>
      <c r="R5" s="33">
        <f t="shared" si="0"/>
        <v>561.79999999999995</v>
      </c>
      <c r="S5" s="33">
        <f t="shared" si="0"/>
        <v>568.79999999999995</v>
      </c>
      <c r="T5" s="33">
        <f t="shared" si="0"/>
        <v>596</v>
      </c>
      <c r="U5" s="33">
        <f t="shared" si="0"/>
        <v>552.5</v>
      </c>
      <c r="V5" s="33">
        <f t="shared" si="0"/>
        <v>542.80000000000007</v>
      </c>
      <c r="W5" s="33">
        <f t="shared" si="0"/>
        <v>532.19999999999993</v>
      </c>
      <c r="X5" s="33">
        <f t="shared" si="0"/>
        <v>504</v>
      </c>
      <c r="Y5" s="33">
        <f t="shared" si="0"/>
        <v>485.8</v>
      </c>
      <c r="Z5" s="33">
        <f t="shared" si="0"/>
        <v>449.1</v>
      </c>
      <c r="AA5" s="33">
        <f t="shared" si="0"/>
        <v>458.5</v>
      </c>
      <c r="AB5" s="33">
        <f t="shared" si="0"/>
        <v>397.6</v>
      </c>
      <c r="AC5" s="33">
        <f t="shared" si="0"/>
        <v>408</v>
      </c>
      <c r="AD5" s="33">
        <f t="shared" si="0"/>
        <v>410.8</v>
      </c>
      <c r="AE5" s="33">
        <f t="shared" si="0"/>
        <v>404.2</v>
      </c>
      <c r="AF5" s="33">
        <f>B82</f>
        <v>427.4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1427MW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Load=974</v>
      </c>
      <c r="B7" s="38">
        <f t="shared" ref="B7:AF7" si="1">B89</f>
        <v>1044.94</v>
      </c>
      <c r="C7" s="38">
        <f t="shared" si="1"/>
        <v>997.6400000000001</v>
      </c>
      <c r="D7" s="38">
        <f t="shared" si="1"/>
        <v>990.44</v>
      </c>
      <c r="E7" s="38">
        <f t="shared" si="1"/>
        <v>976.44</v>
      </c>
      <c r="F7" s="38">
        <f t="shared" si="1"/>
        <v>973.84000000000015</v>
      </c>
      <c r="G7" s="38">
        <f t="shared" si="1"/>
        <v>1025.3</v>
      </c>
      <c r="H7" s="38">
        <f t="shared" si="1"/>
        <v>1109.6399999999999</v>
      </c>
      <c r="I7" s="38">
        <f t="shared" si="1"/>
        <v>1128.3400000000001</v>
      </c>
      <c r="J7" s="38">
        <f t="shared" si="1"/>
        <v>1202.94</v>
      </c>
      <c r="K7" s="38">
        <f t="shared" si="1"/>
        <v>1241.94</v>
      </c>
      <c r="L7" s="38">
        <f t="shared" si="1"/>
        <v>1381.6399999999999</v>
      </c>
      <c r="M7" s="38">
        <f t="shared" si="1"/>
        <v>1426.6399999999999</v>
      </c>
      <c r="N7" s="38">
        <f>N89</f>
        <v>1379.44</v>
      </c>
      <c r="O7" s="38">
        <f t="shared" si="1"/>
        <v>1323.3400000000001</v>
      </c>
      <c r="P7" s="38">
        <f t="shared" si="1"/>
        <v>1252.1399999999999</v>
      </c>
      <c r="Q7" s="38">
        <f t="shared" si="1"/>
        <v>1299.3400000000001</v>
      </c>
      <c r="R7" s="38">
        <f t="shared" si="1"/>
        <v>1268.1399999999999</v>
      </c>
      <c r="S7" s="38">
        <f t="shared" si="1"/>
        <v>1255.7399999999998</v>
      </c>
      <c r="T7" s="38">
        <f t="shared" si="1"/>
        <v>1303.2399999999998</v>
      </c>
      <c r="U7" s="38">
        <f t="shared" si="1"/>
        <v>1334.1399999999999</v>
      </c>
      <c r="V7" s="38">
        <f t="shared" si="1"/>
        <v>1254.94</v>
      </c>
      <c r="W7" s="38">
        <f t="shared" si="1"/>
        <v>1202.3400000000001</v>
      </c>
      <c r="X7" s="38">
        <f t="shared" si="1"/>
        <v>1353.04</v>
      </c>
      <c r="Y7" s="38">
        <f t="shared" si="1"/>
        <v>1488.8400000000001</v>
      </c>
      <c r="Z7" s="38">
        <f t="shared" si="1"/>
        <v>1535.64</v>
      </c>
      <c r="AA7" s="38">
        <f t="shared" si="1"/>
        <v>1481.39</v>
      </c>
      <c r="AB7" s="38">
        <f t="shared" si="1"/>
        <v>1453.49</v>
      </c>
      <c r="AC7" s="38">
        <f t="shared" si="1"/>
        <v>1161.8899999999999</v>
      </c>
      <c r="AD7" s="38">
        <f t="shared" si="1"/>
        <v>1145.29</v>
      </c>
      <c r="AE7" s="38">
        <f t="shared" si="1"/>
        <v>1080.74</v>
      </c>
      <c r="AF7" s="38">
        <f t="shared" si="1"/>
        <v>1049.6400000000001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28</v>
      </c>
      <c r="C11" s="50">
        <v>28</v>
      </c>
      <c r="D11" s="50">
        <v>28</v>
      </c>
      <c r="E11" s="50">
        <v>28</v>
      </c>
      <c r="F11" s="50">
        <v>28</v>
      </c>
      <c r="G11" s="50">
        <v>28</v>
      </c>
      <c r="H11" s="50">
        <v>28</v>
      </c>
      <c r="I11" s="50">
        <v>28</v>
      </c>
      <c r="J11" s="50">
        <v>28</v>
      </c>
      <c r="K11" s="50">
        <v>28</v>
      </c>
      <c r="L11" s="50">
        <v>28</v>
      </c>
      <c r="M11" s="50">
        <v>28</v>
      </c>
      <c r="N11" s="50">
        <v>28</v>
      </c>
      <c r="O11" s="50">
        <v>28</v>
      </c>
      <c r="P11" s="50">
        <v>28</v>
      </c>
      <c r="Q11" s="50">
        <v>28</v>
      </c>
      <c r="R11" s="50">
        <v>28</v>
      </c>
      <c r="S11" s="50">
        <v>28</v>
      </c>
      <c r="T11" s="50">
        <v>28</v>
      </c>
      <c r="U11" s="50">
        <v>28</v>
      </c>
      <c r="V11" s="50">
        <v>28</v>
      </c>
      <c r="W11" s="50">
        <v>28</v>
      </c>
      <c r="X11" s="50">
        <v>28</v>
      </c>
      <c r="Y11" s="50">
        <v>28</v>
      </c>
      <c r="Z11" s="50">
        <v>28</v>
      </c>
      <c r="AA11" s="50">
        <v>28</v>
      </c>
      <c r="AB11" s="50">
        <v>28</v>
      </c>
      <c r="AC11" s="50">
        <v>28</v>
      </c>
      <c r="AD11" s="50">
        <v>28</v>
      </c>
      <c r="AE11" s="50">
        <v>28</v>
      </c>
      <c r="AF11" s="50">
        <v>28</v>
      </c>
      <c r="AG11" s="51">
        <v>86</v>
      </c>
      <c r="AH11" s="52">
        <f t="shared" ref="AH11:AH74" si="2">MAX(B11:AF11)</f>
        <v>28</v>
      </c>
      <c r="AI11" s="53">
        <f t="shared" ref="AI11:AI74" si="3">MIN(B11:AF11)</f>
        <v>28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15.6</v>
      </c>
      <c r="C12" s="50">
        <v>15.6</v>
      </c>
      <c r="D12" s="50">
        <v>15.6</v>
      </c>
      <c r="E12" s="50">
        <v>17.2</v>
      </c>
      <c r="F12" s="50">
        <v>18.100000000000001</v>
      </c>
      <c r="G12" s="50">
        <v>18.100000000000001</v>
      </c>
      <c r="H12" s="50">
        <v>17.899999999999999</v>
      </c>
      <c r="I12" s="50">
        <v>15.6</v>
      </c>
      <c r="J12" s="50">
        <v>15.6</v>
      </c>
      <c r="K12" s="50">
        <v>17.100000000000001</v>
      </c>
      <c r="L12" s="50">
        <v>17.2</v>
      </c>
      <c r="M12" s="50">
        <v>17.2</v>
      </c>
      <c r="N12" s="50">
        <v>17.2</v>
      </c>
      <c r="O12" s="50">
        <v>17.2</v>
      </c>
      <c r="P12" s="50">
        <v>17.2</v>
      </c>
      <c r="Q12" s="50">
        <v>17.2</v>
      </c>
      <c r="R12" s="50">
        <v>17.2</v>
      </c>
      <c r="S12" s="50">
        <v>17.2</v>
      </c>
      <c r="T12" s="50">
        <v>17.2</v>
      </c>
      <c r="U12" s="50">
        <v>17.2</v>
      </c>
      <c r="V12" s="50">
        <v>17.2</v>
      </c>
      <c r="W12" s="50">
        <v>17.2</v>
      </c>
      <c r="X12" s="50">
        <v>17.2</v>
      </c>
      <c r="Y12" s="50">
        <v>14.1</v>
      </c>
      <c r="Z12" s="50">
        <v>14.1</v>
      </c>
      <c r="AA12" s="50">
        <v>14.1</v>
      </c>
      <c r="AB12" s="50">
        <v>14.1</v>
      </c>
      <c r="AC12" s="50">
        <v>14.1</v>
      </c>
      <c r="AD12" s="50">
        <v>14.1</v>
      </c>
      <c r="AE12" s="50">
        <v>14.1</v>
      </c>
      <c r="AF12" s="50">
        <v>14.1</v>
      </c>
      <c r="AG12" s="51">
        <v>52.4</v>
      </c>
      <c r="AH12" s="52">
        <f t="shared" si="2"/>
        <v>18.100000000000001</v>
      </c>
      <c r="AI12" s="53">
        <f t="shared" si="3"/>
        <v>14.1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216" t="s">
        <v>257</v>
      </c>
      <c r="C13" s="217"/>
      <c r="D13" s="217"/>
      <c r="E13" s="217"/>
      <c r="F13" s="217"/>
      <c r="G13" s="217"/>
      <c r="H13" s="217"/>
      <c r="I13" s="217"/>
      <c r="J13" s="217"/>
      <c r="K13" s="218"/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</v>
      </c>
      <c r="C14" s="50">
        <v>16</v>
      </c>
      <c r="D14" s="50">
        <v>16</v>
      </c>
      <c r="E14" s="50">
        <v>16</v>
      </c>
      <c r="F14" s="50">
        <v>16</v>
      </c>
      <c r="G14" s="50">
        <v>16</v>
      </c>
      <c r="H14" s="50">
        <v>16</v>
      </c>
      <c r="I14" s="50">
        <v>16</v>
      </c>
      <c r="J14" s="50">
        <v>16</v>
      </c>
      <c r="K14" s="50">
        <v>16</v>
      </c>
      <c r="L14" s="50">
        <v>16.399999999999999</v>
      </c>
      <c r="M14" s="50">
        <v>16.399999999999999</v>
      </c>
      <c r="N14" s="50">
        <v>16.399999999999999</v>
      </c>
      <c r="O14" s="50">
        <v>16.399999999999999</v>
      </c>
      <c r="P14" s="50">
        <v>16.399999999999999</v>
      </c>
      <c r="Q14" s="50">
        <v>16.399999999999999</v>
      </c>
      <c r="R14" s="50">
        <v>16.399999999999999</v>
      </c>
      <c r="S14" s="50">
        <v>16.399999999999999</v>
      </c>
      <c r="T14" s="50">
        <v>16.399999999999999</v>
      </c>
      <c r="U14" s="50">
        <v>16.399999999999999</v>
      </c>
      <c r="V14" s="50">
        <v>16.399999999999999</v>
      </c>
      <c r="W14" s="50">
        <v>16.399999999999999</v>
      </c>
      <c r="X14" s="50">
        <v>16.399999999999999</v>
      </c>
      <c r="Y14" s="50">
        <v>18.399999999999999</v>
      </c>
      <c r="Z14" s="50">
        <v>18.399999999999999</v>
      </c>
      <c r="AA14" s="50">
        <v>18.399999999999999</v>
      </c>
      <c r="AB14" s="50">
        <v>18.399999999999999</v>
      </c>
      <c r="AC14" s="50">
        <v>18.399999999999999</v>
      </c>
      <c r="AD14" s="50">
        <v>18.399999999999999</v>
      </c>
      <c r="AE14" s="50">
        <v>18.399999999999999</v>
      </c>
      <c r="AF14" s="50">
        <v>18.399999999999999</v>
      </c>
      <c r="AG14" s="55">
        <v>45</v>
      </c>
      <c r="AH14" s="52">
        <f t="shared" si="2"/>
        <v>18.399999999999999</v>
      </c>
      <c r="AI14" s="53">
        <f t="shared" si="3"/>
        <v>16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8</v>
      </c>
      <c r="Z15" s="50">
        <v>8</v>
      </c>
      <c r="AA15" s="50">
        <v>8</v>
      </c>
      <c r="AB15" s="50">
        <v>8</v>
      </c>
      <c r="AC15" s="50">
        <v>8</v>
      </c>
      <c r="AD15" s="50">
        <v>8</v>
      </c>
      <c r="AE15" s="50">
        <v>8</v>
      </c>
      <c r="AF15" s="50">
        <v>8</v>
      </c>
      <c r="AG15" s="55">
        <v>42</v>
      </c>
      <c r="AH15" s="52">
        <f t="shared" si="2"/>
        <v>9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8.1999999999999993</v>
      </c>
      <c r="C18" s="50">
        <v>8.1999999999999993</v>
      </c>
      <c r="D18" s="50">
        <v>8.1999999999999993</v>
      </c>
      <c r="E18" s="50">
        <v>8.1999999999999993</v>
      </c>
      <c r="F18" s="50">
        <v>8.1999999999999993</v>
      </c>
      <c r="G18" s="50">
        <v>8.1999999999999993</v>
      </c>
      <c r="H18" s="50">
        <v>8.1999999999999993</v>
      </c>
      <c r="I18" s="50">
        <v>8.1999999999999993</v>
      </c>
      <c r="J18" s="50">
        <v>8.1999999999999993</v>
      </c>
      <c r="K18" s="50">
        <v>8.1999999999999993</v>
      </c>
      <c r="L18" s="50">
        <v>8.1999999999999993</v>
      </c>
      <c r="M18" s="50">
        <v>8.1999999999999993</v>
      </c>
      <c r="N18" s="50">
        <v>8.1999999999999993</v>
      </c>
      <c r="O18" s="50">
        <v>8.1999999999999993</v>
      </c>
      <c r="P18" s="50">
        <v>8.1999999999999993</v>
      </c>
      <c r="Q18" s="50">
        <v>8.1999999999999993</v>
      </c>
      <c r="R18" s="50">
        <v>8.1999999999999993</v>
      </c>
      <c r="S18" s="50">
        <v>8.1999999999999993</v>
      </c>
      <c r="T18" s="50">
        <v>8.1999999999999993</v>
      </c>
      <c r="U18" s="50">
        <v>8.1999999999999993</v>
      </c>
      <c r="V18" s="50">
        <v>8.1999999999999993</v>
      </c>
      <c r="W18" s="50">
        <v>8.1999999999999993</v>
      </c>
      <c r="X18" s="50">
        <v>8.1999999999999993</v>
      </c>
      <c r="Y18" s="50">
        <v>8.1999999999999993</v>
      </c>
      <c r="Z18" s="50">
        <v>8.1999999999999993</v>
      </c>
      <c r="AA18" s="50">
        <v>8.1999999999999993</v>
      </c>
      <c r="AB18" s="50">
        <v>8.1999999999999993</v>
      </c>
      <c r="AC18" s="50">
        <v>8.1999999999999993</v>
      </c>
      <c r="AD18" s="50">
        <v>8.1999999999999993</v>
      </c>
      <c r="AE18" s="50">
        <v>8.1999999999999993</v>
      </c>
      <c r="AF18" s="50">
        <v>8.1999999999999993</v>
      </c>
      <c r="AG18" s="56">
        <v>30</v>
      </c>
      <c r="AH18" s="52">
        <f t="shared" si="2"/>
        <v>8.1999999999999993</v>
      </c>
      <c r="AI18" s="53">
        <f t="shared" si="3"/>
        <v>8.1999999999999993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8</v>
      </c>
      <c r="O20" s="50">
        <v>8</v>
      </c>
      <c r="P20" s="50">
        <v>8</v>
      </c>
      <c r="Q20" s="50">
        <v>8</v>
      </c>
      <c r="R20" s="50">
        <v>8</v>
      </c>
      <c r="S20" s="50">
        <v>8</v>
      </c>
      <c r="T20" s="50">
        <v>8</v>
      </c>
      <c r="U20" s="50">
        <v>8</v>
      </c>
      <c r="V20" s="50">
        <v>8</v>
      </c>
      <c r="W20" s="50">
        <v>8</v>
      </c>
      <c r="X20" s="50">
        <v>8</v>
      </c>
      <c r="Y20" s="50">
        <v>8</v>
      </c>
      <c r="Z20" s="50">
        <v>8</v>
      </c>
      <c r="AA20" s="50">
        <v>8</v>
      </c>
      <c r="AB20" s="50">
        <v>8</v>
      </c>
      <c r="AC20" s="50">
        <v>8</v>
      </c>
      <c r="AD20" s="50">
        <v>8</v>
      </c>
      <c r="AE20" s="50">
        <v>8</v>
      </c>
      <c r="AF20" s="50">
        <v>8</v>
      </c>
      <c r="AG20" s="55">
        <v>28</v>
      </c>
      <c r="AH20" s="52">
        <f t="shared" si="2"/>
        <v>8</v>
      </c>
      <c r="AI20" s="53">
        <f t="shared" si="3"/>
        <v>8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12.3</v>
      </c>
      <c r="C22" s="50">
        <v>12.3</v>
      </c>
      <c r="D22" s="50">
        <v>12.3</v>
      </c>
      <c r="E22" s="50">
        <v>12.3</v>
      </c>
      <c r="F22" s="50">
        <v>12.3</v>
      </c>
      <c r="G22" s="50">
        <v>12.3</v>
      </c>
      <c r="H22" s="50">
        <v>12.3</v>
      </c>
      <c r="I22" s="50">
        <v>12.3</v>
      </c>
      <c r="J22" s="50">
        <v>12.3</v>
      </c>
      <c r="K22" s="50">
        <v>12.3</v>
      </c>
      <c r="L22" s="50">
        <v>12.4</v>
      </c>
      <c r="M22" s="50">
        <v>12.4</v>
      </c>
      <c r="N22" s="50">
        <v>12.4</v>
      </c>
      <c r="O22" s="50">
        <v>12.4</v>
      </c>
      <c r="P22" s="50">
        <v>12.4</v>
      </c>
      <c r="Q22" s="50">
        <v>12.4</v>
      </c>
      <c r="R22" s="50">
        <v>12.4</v>
      </c>
      <c r="S22" s="50">
        <v>12.4</v>
      </c>
      <c r="T22" s="50">
        <v>12.4</v>
      </c>
      <c r="U22" s="50">
        <v>12.4</v>
      </c>
      <c r="V22" s="50">
        <v>12.4</v>
      </c>
      <c r="W22" s="50">
        <v>12.4</v>
      </c>
      <c r="X22" s="50">
        <v>12.4</v>
      </c>
      <c r="Y22" s="50">
        <v>12.4</v>
      </c>
      <c r="Z22" s="50">
        <v>12.4</v>
      </c>
      <c r="AA22" s="50">
        <v>12.4</v>
      </c>
      <c r="AB22" s="50">
        <v>12.4</v>
      </c>
      <c r="AC22" s="50">
        <v>12.4</v>
      </c>
      <c r="AD22" s="50">
        <v>12.4</v>
      </c>
      <c r="AE22" s="50">
        <v>12.4</v>
      </c>
      <c r="AF22" s="50">
        <v>12.4</v>
      </c>
      <c r="AG22" s="55">
        <v>25</v>
      </c>
      <c r="AH22" s="52">
        <f t="shared" si="2"/>
        <v>12.4</v>
      </c>
      <c r="AI22" s="53">
        <f t="shared" si="3"/>
        <v>12.3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8.1999999999999993</v>
      </c>
      <c r="C26" s="50">
        <v>8.1999999999999993</v>
      </c>
      <c r="D26" s="50">
        <v>8.1999999999999993</v>
      </c>
      <c r="E26" s="50">
        <v>8.1999999999999993</v>
      </c>
      <c r="F26" s="50">
        <v>8.1999999999999993</v>
      </c>
      <c r="G26" s="50">
        <v>8.1999999999999993</v>
      </c>
      <c r="H26" s="50">
        <v>8.1999999999999993</v>
      </c>
      <c r="I26" s="50">
        <v>8.1999999999999993</v>
      </c>
      <c r="J26" s="50">
        <v>8.1999999999999993</v>
      </c>
      <c r="K26" s="50">
        <v>8.1999999999999993</v>
      </c>
      <c r="L26" s="50">
        <v>8.1999999999999993</v>
      </c>
      <c r="M26" s="50">
        <v>8.1999999999999993</v>
      </c>
      <c r="N26" s="50">
        <v>8.1999999999999993</v>
      </c>
      <c r="O26" s="50">
        <v>8.1999999999999993</v>
      </c>
      <c r="P26" s="50">
        <v>8.1999999999999993</v>
      </c>
      <c r="Q26" s="50">
        <v>8.1999999999999993</v>
      </c>
      <c r="R26" s="50">
        <v>8.1999999999999993</v>
      </c>
      <c r="S26" s="50">
        <v>8.1999999999999993</v>
      </c>
      <c r="T26" s="50">
        <v>8.1999999999999993</v>
      </c>
      <c r="U26" s="50">
        <v>8.1999999999999993</v>
      </c>
      <c r="V26" s="50">
        <v>8.1999999999999993</v>
      </c>
      <c r="W26" s="50">
        <v>8.1999999999999993</v>
      </c>
      <c r="X26" s="50">
        <v>8.1999999999999993</v>
      </c>
      <c r="Y26" s="50">
        <v>8.1999999999999993</v>
      </c>
      <c r="Z26" s="50">
        <v>8.1999999999999993</v>
      </c>
      <c r="AA26" s="50">
        <v>8.1999999999999993</v>
      </c>
      <c r="AB26" s="50">
        <v>8.1999999999999993</v>
      </c>
      <c r="AC26" s="50">
        <v>8.1999999999999993</v>
      </c>
      <c r="AD26" s="50">
        <v>8.1999999999999993</v>
      </c>
      <c r="AE26" s="50">
        <v>8.1999999999999993</v>
      </c>
      <c r="AF26" s="50">
        <v>8.1999999999999993</v>
      </c>
      <c r="AG26" s="55">
        <v>23.5</v>
      </c>
      <c r="AH26" s="52">
        <f t="shared" si="2"/>
        <v>8.1999999999999993</v>
      </c>
      <c r="AI26" s="53">
        <f t="shared" si="3"/>
        <v>8.1999999999999993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20</v>
      </c>
      <c r="C30" s="50">
        <v>20</v>
      </c>
      <c r="D30" s="50">
        <v>20</v>
      </c>
      <c r="E30" s="50">
        <v>20</v>
      </c>
      <c r="F30" s="50">
        <v>20</v>
      </c>
      <c r="G30" s="50">
        <v>20</v>
      </c>
      <c r="H30" s="50">
        <v>20</v>
      </c>
      <c r="I30" s="50">
        <v>20</v>
      </c>
      <c r="J30" s="50">
        <v>20</v>
      </c>
      <c r="K30" s="50">
        <v>20</v>
      </c>
      <c r="L30" s="50">
        <v>20</v>
      </c>
      <c r="M30" s="50">
        <v>20</v>
      </c>
      <c r="N30" s="50">
        <v>20</v>
      </c>
      <c r="O30" s="50">
        <v>20</v>
      </c>
      <c r="P30" s="50">
        <v>20</v>
      </c>
      <c r="Q30" s="50">
        <v>20</v>
      </c>
      <c r="R30" s="50">
        <v>20</v>
      </c>
      <c r="S30" s="50">
        <v>20</v>
      </c>
      <c r="T30" s="50">
        <v>20</v>
      </c>
      <c r="U30" s="50">
        <v>20</v>
      </c>
      <c r="V30" s="50">
        <v>20</v>
      </c>
      <c r="W30" s="50">
        <v>20</v>
      </c>
      <c r="X30" s="50">
        <v>20</v>
      </c>
      <c r="Y30" s="50">
        <v>20</v>
      </c>
      <c r="Z30" s="50">
        <v>20</v>
      </c>
      <c r="AA30" s="50">
        <v>20</v>
      </c>
      <c r="AB30" s="50">
        <v>20</v>
      </c>
      <c r="AC30" s="50">
        <v>20</v>
      </c>
      <c r="AD30" s="50">
        <v>20</v>
      </c>
      <c r="AE30" s="50">
        <v>20</v>
      </c>
      <c r="AF30" s="50">
        <v>20</v>
      </c>
      <c r="AG30" s="55">
        <v>22</v>
      </c>
      <c r="AH30" s="52">
        <f t="shared" si="2"/>
        <v>20</v>
      </c>
      <c r="AI30" s="53">
        <f t="shared" si="3"/>
        <v>20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12</v>
      </c>
      <c r="C38" s="50">
        <v>12</v>
      </c>
      <c r="D38" s="50">
        <v>12</v>
      </c>
      <c r="E38" s="50">
        <v>12</v>
      </c>
      <c r="F38" s="50">
        <v>12</v>
      </c>
      <c r="G38" s="50">
        <v>12</v>
      </c>
      <c r="H38" s="50">
        <v>12</v>
      </c>
      <c r="I38" s="50">
        <v>12</v>
      </c>
      <c r="J38" s="50">
        <v>12</v>
      </c>
      <c r="K38" s="50">
        <v>12</v>
      </c>
      <c r="L38" s="50">
        <v>12</v>
      </c>
      <c r="M38" s="50">
        <v>12</v>
      </c>
      <c r="N38" s="50">
        <v>12</v>
      </c>
      <c r="O38" s="50">
        <v>12</v>
      </c>
      <c r="P38" s="50">
        <v>12</v>
      </c>
      <c r="Q38" s="50">
        <v>12</v>
      </c>
      <c r="R38" s="50">
        <v>12</v>
      </c>
      <c r="S38" s="50">
        <v>12</v>
      </c>
      <c r="T38" s="50">
        <v>12</v>
      </c>
      <c r="U38" s="50">
        <v>12</v>
      </c>
      <c r="V38" s="50">
        <v>12</v>
      </c>
      <c r="W38" s="50">
        <v>12</v>
      </c>
      <c r="X38" s="50">
        <v>12</v>
      </c>
      <c r="Y38" s="50">
        <v>12</v>
      </c>
      <c r="Z38" s="50">
        <v>12</v>
      </c>
      <c r="AA38" s="50">
        <v>12</v>
      </c>
      <c r="AB38" s="50">
        <v>12</v>
      </c>
      <c r="AC38" s="50">
        <v>12</v>
      </c>
      <c r="AD38" s="50">
        <v>12</v>
      </c>
      <c r="AE38" s="50">
        <v>12</v>
      </c>
      <c r="AF38" s="50">
        <v>12</v>
      </c>
      <c r="AG38" s="55">
        <v>12</v>
      </c>
      <c r="AH38" s="52">
        <f t="shared" si="2"/>
        <v>12</v>
      </c>
      <c r="AI38" s="53">
        <f t="shared" si="3"/>
        <v>12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4.9000000000000004</v>
      </c>
      <c r="C41" s="50">
        <v>4.9000000000000004</v>
      </c>
      <c r="D41" s="50">
        <v>4.9000000000000004</v>
      </c>
      <c r="E41" s="50">
        <v>4.9000000000000004</v>
      </c>
      <c r="F41" s="50">
        <v>4.9000000000000004</v>
      </c>
      <c r="G41" s="50">
        <v>4.9000000000000004</v>
      </c>
      <c r="H41" s="50">
        <v>4.9000000000000004</v>
      </c>
      <c r="I41" s="50">
        <v>4.9000000000000004</v>
      </c>
      <c r="J41" s="50">
        <v>4.9000000000000004</v>
      </c>
      <c r="K41" s="50">
        <v>4.9000000000000004</v>
      </c>
      <c r="L41" s="50">
        <v>4.9000000000000004</v>
      </c>
      <c r="M41" s="50">
        <v>4.9000000000000004</v>
      </c>
      <c r="N41" s="50">
        <v>4.9000000000000004</v>
      </c>
      <c r="O41" s="50">
        <v>4.9000000000000004</v>
      </c>
      <c r="P41" s="50">
        <v>4.9000000000000004</v>
      </c>
      <c r="Q41" s="50">
        <v>4.9000000000000004</v>
      </c>
      <c r="R41" s="50">
        <v>4.9000000000000004</v>
      </c>
      <c r="S41" s="50">
        <v>4.9000000000000004</v>
      </c>
      <c r="T41" s="50">
        <v>4.9000000000000004</v>
      </c>
      <c r="U41" s="50">
        <v>4.9000000000000004</v>
      </c>
      <c r="V41" s="50">
        <v>4.9000000000000004</v>
      </c>
      <c r="W41" s="50">
        <v>4.9000000000000004</v>
      </c>
      <c r="X41" s="50">
        <v>4.9000000000000004</v>
      </c>
      <c r="Y41" s="50">
        <v>4.9000000000000004</v>
      </c>
      <c r="Z41" s="50">
        <v>4.9000000000000004</v>
      </c>
      <c r="AA41" s="50">
        <v>4.9000000000000004</v>
      </c>
      <c r="AB41" s="50">
        <v>4.9000000000000004</v>
      </c>
      <c r="AC41" s="50">
        <v>4.9000000000000004</v>
      </c>
      <c r="AD41" s="50">
        <v>4.9000000000000004</v>
      </c>
      <c r="AE41" s="50">
        <v>4.9000000000000004</v>
      </c>
      <c r="AF41" s="50">
        <v>4.9000000000000004</v>
      </c>
      <c r="AG41" s="56">
        <v>11.88</v>
      </c>
      <c r="AH41" s="52">
        <f t="shared" si="2"/>
        <v>4.9000000000000004</v>
      </c>
      <c r="AI41" s="53">
        <f t="shared" si="3"/>
        <v>4.9000000000000004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>
        <v>47</v>
      </c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47</v>
      </c>
      <c r="AI47" s="53">
        <f t="shared" si="3"/>
        <v>47</v>
      </c>
      <c r="AK47" s="54"/>
    </row>
    <row r="48" spans="1:88" ht="15.75" thickBot="1" x14ac:dyDescent="0.3">
      <c r="A48" s="66" t="s">
        <v>52</v>
      </c>
      <c r="B48" s="67">
        <f t="shared" ref="B48" si="4">SUM(B12:B46)</f>
        <v>351.1</v>
      </c>
      <c r="C48" s="67">
        <f t="shared" ref="C48:AG48" si="5">SUM(C12:C46)</f>
        <v>351.1</v>
      </c>
      <c r="D48" s="67">
        <f t="shared" si="5"/>
        <v>351.1</v>
      </c>
      <c r="E48" s="67">
        <f t="shared" si="5"/>
        <v>352.7</v>
      </c>
      <c r="F48" s="67">
        <f t="shared" si="5"/>
        <v>353.6</v>
      </c>
      <c r="G48" s="67">
        <f t="shared" si="5"/>
        <v>353.6</v>
      </c>
      <c r="H48" s="67">
        <f t="shared" si="5"/>
        <v>353.4</v>
      </c>
      <c r="I48" s="67">
        <f t="shared" si="5"/>
        <v>351.1</v>
      </c>
      <c r="J48" s="67">
        <f t="shared" si="5"/>
        <v>351.1</v>
      </c>
      <c r="K48" s="67">
        <f t="shared" si="5"/>
        <v>352.6</v>
      </c>
      <c r="L48" s="67">
        <f t="shared" si="5"/>
        <v>353.2</v>
      </c>
      <c r="M48" s="67">
        <f t="shared" si="5"/>
        <v>353.2</v>
      </c>
      <c r="N48" s="67">
        <f t="shared" si="5"/>
        <v>353.2</v>
      </c>
      <c r="O48" s="67">
        <f t="shared" si="5"/>
        <v>353.2</v>
      </c>
      <c r="P48" s="67">
        <f t="shared" si="5"/>
        <v>353.2</v>
      </c>
      <c r="Q48" s="67">
        <f t="shared" si="5"/>
        <v>353.2</v>
      </c>
      <c r="R48" s="67">
        <f t="shared" si="5"/>
        <v>353.2</v>
      </c>
      <c r="S48" s="67">
        <f t="shared" si="5"/>
        <v>353.2</v>
      </c>
      <c r="T48" s="67">
        <f t="shared" si="5"/>
        <v>353.2</v>
      </c>
      <c r="U48" s="67">
        <f t="shared" ref="U48:V48" si="6">SUM(U12:U46)</f>
        <v>353.2</v>
      </c>
      <c r="V48" s="67">
        <f t="shared" si="6"/>
        <v>353.2</v>
      </c>
      <c r="W48" s="67">
        <f t="shared" si="5"/>
        <v>353.2</v>
      </c>
      <c r="X48" s="67">
        <f t="shared" ref="X48" si="7">SUM(X12:X46)</f>
        <v>353.2</v>
      </c>
      <c r="Y48" s="67">
        <f t="shared" si="5"/>
        <v>351.1</v>
      </c>
      <c r="Z48" s="67">
        <v>351.1</v>
      </c>
      <c r="AA48" s="67">
        <f t="shared" si="5"/>
        <v>351.1</v>
      </c>
      <c r="AB48" s="67">
        <f t="shared" si="5"/>
        <v>351.1</v>
      </c>
      <c r="AC48" s="67">
        <f t="shared" si="5"/>
        <v>351.1</v>
      </c>
      <c r="AD48" s="67">
        <f t="shared" si="5"/>
        <v>351.1</v>
      </c>
      <c r="AE48" s="67">
        <f t="shared" si="5"/>
        <v>351.1</v>
      </c>
      <c r="AF48" s="67">
        <f t="shared" si="5"/>
        <v>351.1</v>
      </c>
      <c r="AG48" s="68">
        <f t="shared" si="5"/>
        <v>875.68</v>
      </c>
      <c r="AH48" s="52">
        <f t="shared" si="2"/>
        <v>353.6</v>
      </c>
      <c r="AI48" s="53">
        <f t="shared" si="3"/>
        <v>351.1</v>
      </c>
      <c r="AK48" s="54"/>
    </row>
    <row r="49" spans="1:41" x14ac:dyDescent="0.25">
      <c r="A49" s="69" t="s">
        <v>53</v>
      </c>
      <c r="B49" s="50">
        <v>80</v>
      </c>
      <c r="C49" s="50">
        <v>70</v>
      </c>
      <c r="D49" s="50">
        <v>70</v>
      </c>
      <c r="E49" s="50">
        <v>70</v>
      </c>
      <c r="F49" s="50">
        <v>60</v>
      </c>
      <c r="G49" s="50">
        <v>60</v>
      </c>
      <c r="H49" s="50">
        <v>110</v>
      </c>
      <c r="I49" s="50">
        <v>70</v>
      </c>
      <c r="J49" s="50">
        <v>150</v>
      </c>
      <c r="K49" s="50">
        <v>152</v>
      </c>
      <c r="L49" s="50">
        <v>180</v>
      </c>
      <c r="M49" s="50">
        <v>200</v>
      </c>
      <c r="N49" s="70">
        <v>100</v>
      </c>
      <c r="O49" s="50">
        <v>60</v>
      </c>
      <c r="P49" s="50">
        <v>40</v>
      </c>
      <c r="Q49" s="50">
        <v>70</v>
      </c>
      <c r="R49" s="50">
        <v>40</v>
      </c>
      <c r="S49" s="50">
        <v>30</v>
      </c>
      <c r="T49" s="50">
        <v>60</v>
      </c>
      <c r="U49" s="50">
        <v>30</v>
      </c>
      <c r="V49" s="50">
        <v>30</v>
      </c>
      <c r="W49" s="50">
        <v>20</v>
      </c>
      <c r="X49" s="50">
        <v>10</v>
      </c>
      <c r="Y49" s="50">
        <v>86</v>
      </c>
      <c r="Z49" s="50">
        <v>150</v>
      </c>
      <c r="AA49" s="50">
        <v>170</v>
      </c>
      <c r="AB49" s="50">
        <v>170</v>
      </c>
      <c r="AC49" s="50">
        <v>97</v>
      </c>
      <c r="AD49" s="50">
        <v>70</v>
      </c>
      <c r="AE49" s="50">
        <v>80</v>
      </c>
      <c r="AF49" s="50">
        <v>70</v>
      </c>
      <c r="AG49" s="56">
        <v>456</v>
      </c>
      <c r="AH49" s="52">
        <f t="shared" si="2"/>
        <v>200</v>
      </c>
      <c r="AI49" s="53">
        <f t="shared" si="3"/>
        <v>10</v>
      </c>
      <c r="AK49" s="54"/>
    </row>
    <row r="50" spans="1:41" x14ac:dyDescent="0.25">
      <c r="A50" s="71" t="s">
        <v>54</v>
      </c>
      <c r="B50" s="72">
        <v>35</v>
      </c>
      <c r="C50" s="72">
        <v>35</v>
      </c>
      <c r="D50" s="72">
        <v>35</v>
      </c>
      <c r="E50" s="72">
        <v>35</v>
      </c>
      <c r="F50" s="72">
        <v>35</v>
      </c>
      <c r="G50" s="72">
        <v>33</v>
      </c>
      <c r="H50" s="72">
        <v>33</v>
      </c>
      <c r="I50" s="72">
        <v>35</v>
      </c>
      <c r="J50" s="72">
        <v>35</v>
      </c>
      <c r="K50" s="72">
        <v>35</v>
      </c>
      <c r="L50" s="72">
        <v>33</v>
      </c>
      <c r="M50" s="72">
        <v>33</v>
      </c>
      <c r="N50" s="72">
        <v>33</v>
      </c>
      <c r="O50" s="72">
        <v>33</v>
      </c>
      <c r="P50" s="72">
        <v>33</v>
      </c>
      <c r="Q50" s="72">
        <v>33</v>
      </c>
      <c r="R50" s="72">
        <v>33</v>
      </c>
      <c r="S50" s="72">
        <v>33</v>
      </c>
      <c r="T50" s="72">
        <v>33</v>
      </c>
      <c r="U50" s="72">
        <v>33</v>
      </c>
      <c r="V50" s="72">
        <v>33</v>
      </c>
      <c r="W50" s="72">
        <v>33</v>
      </c>
      <c r="X50" s="72">
        <v>33</v>
      </c>
      <c r="Y50" s="72">
        <v>33</v>
      </c>
      <c r="Z50" s="72">
        <v>33</v>
      </c>
      <c r="AA50" s="72">
        <v>33</v>
      </c>
      <c r="AB50" s="72">
        <v>33</v>
      </c>
      <c r="AC50" s="72">
        <v>33</v>
      </c>
      <c r="AD50" s="72">
        <v>33</v>
      </c>
      <c r="AE50" s="72">
        <v>33</v>
      </c>
      <c r="AF50" s="72">
        <v>33</v>
      </c>
      <c r="AG50" s="61">
        <v>60</v>
      </c>
      <c r="AH50" s="52">
        <f t="shared" si="2"/>
        <v>35</v>
      </c>
      <c r="AI50" s="53">
        <f t="shared" si="3"/>
        <v>33</v>
      </c>
      <c r="AK50" s="54"/>
    </row>
    <row r="51" spans="1:41" ht="15.75" thickBot="1" x14ac:dyDescent="0.3">
      <c r="A51" s="73" t="s">
        <v>55</v>
      </c>
      <c r="B51" s="74">
        <v>10.6</v>
      </c>
      <c r="C51" s="74">
        <v>10.6</v>
      </c>
      <c r="D51" s="74">
        <v>10.6</v>
      </c>
      <c r="E51" s="74">
        <v>10.6</v>
      </c>
      <c r="F51" s="74">
        <v>10.6</v>
      </c>
      <c r="G51" s="74">
        <v>10.3</v>
      </c>
      <c r="H51" s="74">
        <v>10.3</v>
      </c>
      <c r="I51" s="74">
        <v>10.1</v>
      </c>
      <c r="J51" s="74">
        <v>10.1</v>
      </c>
      <c r="K51" s="74">
        <v>10.199999999999999</v>
      </c>
      <c r="L51" s="74">
        <v>10.6</v>
      </c>
      <c r="M51" s="74">
        <v>10.6</v>
      </c>
      <c r="N51" s="74">
        <v>10.1</v>
      </c>
      <c r="O51" s="74">
        <v>10</v>
      </c>
      <c r="P51" s="74">
        <v>10</v>
      </c>
      <c r="Q51" s="74">
        <v>10</v>
      </c>
      <c r="R51" s="74">
        <v>10</v>
      </c>
      <c r="S51" s="74">
        <v>10.1</v>
      </c>
      <c r="T51" s="74">
        <v>10.1</v>
      </c>
      <c r="U51" s="74">
        <v>10.1</v>
      </c>
      <c r="V51" s="74">
        <v>10.1</v>
      </c>
      <c r="W51" s="74">
        <v>10.1</v>
      </c>
      <c r="X51" s="74">
        <v>10.1</v>
      </c>
      <c r="Y51" s="74">
        <v>10.1</v>
      </c>
      <c r="Z51" s="74">
        <v>10.199999999999999</v>
      </c>
      <c r="AA51" s="74">
        <v>10.25</v>
      </c>
      <c r="AB51" s="74">
        <v>10.25</v>
      </c>
      <c r="AC51" s="74">
        <v>10.25</v>
      </c>
      <c r="AD51" s="74">
        <v>10.25</v>
      </c>
      <c r="AE51" s="74">
        <v>9.6</v>
      </c>
      <c r="AF51" s="74">
        <v>9.6</v>
      </c>
      <c r="AG51" s="75">
        <v>22.1</v>
      </c>
      <c r="AH51" s="52">
        <f t="shared" si="2"/>
        <v>10.6</v>
      </c>
      <c r="AI51" s="53">
        <f t="shared" si="3"/>
        <v>9.6</v>
      </c>
      <c r="AK51" s="54"/>
    </row>
    <row r="52" spans="1:41" ht="15.75" thickBot="1" x14ac:dyDescent="0.3">
      <c r="A52" s="76" t="s">
        <v>56</v>
      </c>
      <c r="B52" s="67">
        <f t="shared" ref="B52" si="8">SUM(B49:B51)</f>
        <v>125.6</v>
      </c>
      <c r="C52" s="67">
        <f t="shared" ref="C52:AG52" si="9">SUM(C49:C51)</f>
        <v>115.6</v>
      </c>
      <c r="D52" s="67">
        <f t="shared" si="9"/>
        <v>115.6</v>
      </c>
      <c r="E52" s="67">
        <f t="shared" si="9"/>
        <v>115.6</v>
      </c>
      <c r="F52" s="67">
        <f t="shared" si="9"/>
        <v>105.6</v>
      </c>
      <c r="G52" s="67">
        <f t="shared" si="9"/>
        <v>103.3</v>
      </c>
      <c r="H52" s="67">
        <f t="shared" si="9"/>
        <v>153.30000000000001</v>
      </c>
      <c r="I52" s="67">
        <f t="shared" si="9"/>
        <v>115.1</v>
      </c>
      <c r="J52" s="67">
        <f t="shared" si="9"/>
        <v>195.1</v>
      </c>
      <c r="K52" s="67">
        <f t="shared" si="9"/>
        <v>197.2</v>
      </c>
      <c r="L52" s="67">
        <f t="shared" si="9"/>
        <v>223.6</v>
      </c>
      <c r="M52" s="67">
        <f t="shared" si="9"/>
        <v>243.6</v>
      </c>
      <c r="N52" s="67">
        <f t="shared" si="9"/>
        <v>143.1</v>
      </c>
      <c r="O52" s="67">
        <f t="shared" si="9"/>
        <v>103</v>
      </c>
      <c r="P52" s="67">
        <f t="shared" si="9"/>
        <v>83</v>
      </c>
      <c r="Q52" s="67">
        <f t="shared" si="9"/>
        <v>113</v>
      </c>
      <c r="R52" s="67">
        <f t="shared" si="9"/>
        <v>83</v>
      </c>
      <c r="S52" s="67">
        <f t="shared" si="9"/>
        <v>73.099999999999994</v>
      </c>
      <c r="T52" s="67">
        <f t="shared" si="9"/>
        <v>103.1</v>
      </c>
      <c r="U52" s="67">
        <f t="shared" ref="U52:V52" si="10">SUM(U49:U51)</f>
        <v>73.099999999999994</v>
      </c>
      <c r="V52" s="67">
        <f t="shared" si="10"/>
        <v>73.099999999999994</v>
      </c>
      <c r="W52" s="67">
        <f t="shared" si="9"/>
        <v>63.1</v>
      </c>
      <c r="X52" s="67">
        <f t="shared" ref="X52" si="11">SUM(X49:X51)</f>
        <v>53.1</v>
      </c>
      <c r="Y52" s="67">
        <f t="shared" si="9"/>
        <v>129.1</v>
      </c>
      <c r="Z52" s="67">
        <v>143.19999999999999</v>
      </c>
      <c r="AA52" s="67">
        <f t="shared" si="9"/>
        <v>213.25</v>
      </c>
      <c r="AB52" s="67">
        <f t="shared" si="9"/>
        <v>213.25</v>
      </c>
      <c r="AC52" s="67">
        <f t="shared" si="9"/>
        <v>140.25</v>
      </c>
      <c r="AD52" s="67">
        <f t="shared" si="9"/>
        <v>113.25</v>
      </c>
      <c r="AE52" s="67">
        <f t="shared" si="9"/>
        <v>122.6</v>
      </c>
      <c r="AF52" s="67">
        <f t="shared" si="9"/>
        <v>112.6</v>
      </c>
      <c r="AG52" s="68">
        <f t="shared" si="9"/>
        <v>538.1</v>
      </c>
      <c r="AH52" s="52">
        <f t="shared" si="2"/>
        <v>243.6</v>
      </c>
      <c r="AI52" s="53">
        <f t="shared" si="3"/>
        <v>53.1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29.3</v>
      </c>
      <c r="H53" s="50">
        <v>28.1</v>
      </c>
      <c r="I53" s="50">
        <v>60</v>
      </c>
      <c r="J53" s="50">
        <v>87</v>
      </c>
      <c r="K53" s="50">
        <v>85.1</v>
      </c>
      <c r="L53" s="50">
        <v>85.2</v>
      </c>
      <c r="M53" s="50">
        <v>93.4</v>
      </c>
      <c r="N53" s="50">
        <v>80.900000000000006</v>
      </c>
      <c r="O53" s="50">
        <v>60.9</v>
      </c>
      <c r="P53" s="50">
        <v>60.9</v>
      </c>
      <c r="Q53" s="50">
        <v>60.9</v>
      </c>
      <c r="R53" s="50">
        <v>60.9</v>
      </c>
      <c r="S53" s="50">
        <v>60.8</v>
      </c>
      <c r="T53" s="50">
        <v>61</v>
      </c>
      <c r="U53" s="50">
        <v>90</v>
      </c>
      <c r="V53" s="50">
        <v>61</v>
      </c>
      <c r="W53" s="50">
        <v>60.9</v>
      </c>
      <c r="X53" s="50">
        <v>91.7</v>
      </c>
      <c r="Y53" s="50">
        <v>101.3</v>
      </c>
      <c r="Z53" s="50">
        <v>123.9</v>
      </c>
      <c r="AA53" s="50">
        <v>113.2</v>
      </c>
      <c r="AB53" s="50">
        <v>103.3</v>
      </c>
      <c r="AC53" s="50">
        <v>60.2</v>
      </c>
      <c r="AD53" s="50">
        <v>60.2</v>
      </c>
      <c r="AE53" s="50">
        <v>0</v>
      </c>
      <c r="AF53" s="50">
        <v>0</v>
      </c>
      <c r="AG53" s="56">
        <v>144</v>
      </c>
      <c r="AH53" s="52">
        <f t="shared" si="2"/>
        <v>123.9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32.200000000000003</v>
      </c>
      <c r="C54" s="72">
        <v>32.1</v>
      </c>
      <c r="D54" s="72">
        <v>32.1</v>
      </c>
      <c r="E54" s="72">
        <v>32.1</v>
      </c>
      <c r="F54" s="72">
        <v>33</v>
      </c>
      <c r="G54" s="72">
        <v>33</v>
      </c>
      <c r="H54" s="72">
        <v>33.200000000000003</v>
      </c>
      <c r="I54" s="72">
        <v>30.2</v>
      </c>
      <c r="J54" s="72">
        <v>32.799999999999997</v>
      </c>
      <c r="K54" s="72">
        <v>33</v>
      </c>
      <c r="L54" s="72">
        <v>32.799999999999997</v>
      </c>
      <c r="M54" s="72">
        <v>32.799999999999997</v>
      </c>
      <c r="N54" s="72">
        <v>29.7</v>
      </c>
      <c r="O54" s="72">
        <v>26.9</v>
      </c>
      <c r="P54" s="72">
        <v>23.2</v>
      </c>
      <c r="Q54" s="72">
        <v>29.7</v>
      </c>
      <c r="R54" s="72">
        <v>29.7</v>
      </c>
      <c r="S54" s="50">
        <v>29.8</v>
      </c>
      <c r="T54" s="50">
        <v>29.6</v>
      </c>
      <c r="U54" s="50">
        <v>27</v>
      </c>
      <c r="V54" s="50">
        <v>23</v>
      </c>
      <c r="W54" s="50">
        <v>22.8</v>
      </c>
      <c r="X54" s="50">
        <v>22.9</v>
      </c>
      <c r="Y54" s="50">
        <v>29.9</v>
      </c>
      <c r="Z54" s="50">
        <v>29.9</v>
      </c>
      <c r="AA54" s="50">
        <v>29.9</v>
      </c>
      <c r="AB54" s="72">
        <v>29.8</v>
      </c>
      <c r="AC54" s="72">
        <v>30</v>
      </c>
      <c r="AD54" s="72">
        <v>30</v>
      </c>
      <c r="AE54" s="72">
        <v>31</v>
      </c>
      <c r="AF54" s="72">
        <v>25</v>
      </c>
      <c r="AG54" s="61">
        <v>70</v>
      </c>
      <c r="AH54" s="52">
        <f t="shared" si="2"/>
        <v>33.200000000000003</v>
      </c>
      <c r="AI54" s="53">
        <f t="shared" si="3"/>
        <v>22.8</v>
      </c>
      <c r="AK54" s="54"/>
    </row>
    <row r="55" spans="1:41" x14ac:dyDescent="0.25">
      <c r="A55" s="60" t="s">
        <v>59</v>
      </c>
      <c r="B55" s="72">
        <v>22.8</v>
      </c>
      <c r="C55" s="72">
        <v>0</v>
      </c>
      <c r="D55" s="72">
        <v>0</v>
      </c>
      <c r="E55" s="72">
        <v>0</v>
      </c>
      <c r="F55" s="72">
        <v>0</v>
      </c>
      <c r="G55" s="72">
        <v>16.899999999999999</v>
      </c>
      <c r="H55" s="72">
        <v>16.899999999999999</v>
      </c>
      <c r="I55" s="72">
        <v>34</v>
      </c>
      <c r="J55" s="72">
        <v>52</v>
      </c>
      <c r="K55" s="72">
        <v>52</v>
      </c>
      <c r="L55" s="72">
        <v>60.7</v>
      </c>
      <c r="M55" s="72">
        <v>69</v>
      </c>
      <c r="N55" s="72">
        <v>56.9</v>
      </c>
      <c r="O55" s="72">
        <v>55.2</v>
      </c>
      <c r="P55" s="72">
        <v>33.4</v>
      </c>
      <c r="Q55" s="72">
        <v>45.4</v>
      </c>
      <c r="R55" s="72">
        <v>34</v>
      </c>
      <c r="S55" s="50">
        <v>34.1</v>
      </c>
      <c r="T55" s="50">
        <v>44.6</v>
      </c>
      <c r="U55" s="50">
        <v>44.6</v>
      </c>
      <c r="V55" s="50">
        <v>44.6</v>
      </c>
      <c r="W55" s="50">
        <v>34.4</v>
      </c>
      <c r="X55" s="50">
        <v>34.4</v>
      </c>
      <c r="Y55" s="50">
        <v>46</v>
      </c>
      <c r="Z55" s="50">
        <v>63.5</v>
      </c>
      <c r="AA55" s="50">
        <v>47.2</v>
      </c>
      <c r="AB55" s="72">
        <v>33.5</v>
      </c>
      <c r="AC55" s="72">
        <v>34</v>
      </c>
      <c r="AD55" s="72">
        <v>34</v>
      </c>
      <c r="AE55" s="72">
        <v>16.5</v>
      </c>
      <c r="AF55" s="72">
        <v>16.5</v>
      </c>
      <c r="AG55" s="61">
        <v>69</v>
      </c>
      <c r="AH55" s="52">
        <f t="shared" si="2"/>
        <v>69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36.9</v>
      </c>
      <c r="C56" s="72">
        <v>36.9</v>
      </c>
      <c r="D56" s="72">
        <v>36.9</v>
      </c>
      <c r="E56" s="72">
        <v>36.9</v>
      </c>
      <c r="F56" s="63">
        <v>36.9</v>
      </c>
      <c r="G56" s="63">
        <v>37</v>
      </c>
      <c r="H56" s="63">
        <v>37.299999999999997</v>
      </c>
      <c r="I56" s="63">
        <v>36.299999999999997</v>
      </c>
      <c r="J56" s="63">
        <v>37.1</v>
      </c>
      <c r="K56" s="63">
        <v>37.6</v>
      </c>
      <c r="L56" s="63">
        <v>37.299999999999997</v>
      </c>
      <c r="M56" s="63">
        <v>37.299999999999997</v>
      </c>
      <c r="N56" s="72">
        <v>38</v>
      </c>
      <c r="O56" s="72">
        <v>38</v>
      </c>
      <c r="P56" s="72">
        <v>38</v>
      </c>
      <c r="Q56" s="72">
        <v>38</v>
      </c>
      <c r="R56" s="72">
        <v>38</v>
      </c>
      <c r="S56" s="50">
        <v>36.299999999999997</v>
      </c>
      <c r="T56" s="50">
        <v>36.299999999999997</v>
      </c>
      <c r="U56" s="50">
        <v>36.299999999999997</v>
      </c>
      <c r="V56" s="50">
        <v>34.5</v>
      </c>
      <c r="W56" s="50">
        <v>36.299999999999997</v>
      </c>
      <c r="X56" s="50">
        <v>36.299999999999997</v>
      </c>
      <c r="Y56" s="50">
        <v>36.299999999999997</v>
      </c>
      <c r="Z56" s="50">
        <v>36.299999999999997</v>
      </c>
      <c r="AA56" s="50">
        <v>36.299999999999997</v>
      </c>
      <c r="AB56" s="72">
        <v>36.299999999999997</v>
      </c>
      <c r="AC56" s="72">
        <v>36.299999999999997</v>
      </c>
      <c r="AD56" s="72">
        <v>36.299999999999997</v>
      </c>
      <c r="AE56" s="72">
        <v>36.299999999999997</v>
      </c>
      <c r="AF56" s="72">
        <v>36.299999999999997</v>
      </c>
      <c r="AG56" s="61">
        <v>60</v>
      </c>
      <c r="AH56" s="52">
        <f t="shared" si="2"/>
        <v>38</v>
      </c>
      <c r="AI56" s="53">
        <f t="shared" si="3"/>
        <v>34.5</v>
      </c>
      <c r="AK56" s="54"/>
    </row>
    <row r="57" spans="1:41" x14ac:dyDescent="0.25">
      <c r="A57" s="60" t="s">
        <v>61</v>
      </c>
      <c r="B57" s="72">
        <v>10</v>
      </c>
      <c r="C57" s="72">
        <v>0</v>
      </c>
      <c r="D57" s="72">
        <v>0</v>
      </c>
      <c r="E57" s="72">
        <v>0</v>
      </c>
      <c r="F57" s="63">
        <v>0</v>
      </c>
      <c r="G57" s="63">
        <v>10</v>
      </c>
      <c r="H57" s="63">
        <v>10</v>
      </c>
      <c r="I57" s="63">
        <v>10</v>
      </c>
      <c r="J57" s="63">
        <v>15</v>
      </c>
      <c r="K57" s="63">
        <v>15</v>
      </c>
      <c r="L57" s="63">
        <v>15</v>
      </c>
      <c r="M57" s="63">
        <v>15</v>
      </c>
      <c r="N57" s="72">
        <v>15</v>
      </c>
      <c r="O57" s="72">
        <v>13</v>
      </c>
      <c r="P57" s="72">
        <v>15</v>
      </c>
      <c r="Q57" s="72">
        <v>15</v>
      </c>
      <c r="R57" s="72">
        <v>15</v>
      </c>
      <c r="S57" s="50">
        <v>8.6999999999999993</v>
      </c>
      <c r="T57" s="50">
        <v>8.6999999999999993</v>
      </c>
      <c r="U57" s="50">
        <v>15</v>
      </c>
      <c r="V57" s="50">
        <v>15</v>
      </c>
      <c r="W57" s="50">
        <v>15</v>
      </c>
      <c r="X57" s="50">
        <v>10</v>
      </c>
      <c r="Y57" s="50">
        <v>15</v>
      </c>
      <c r="Z57" s="50">
        <v>11.7</v>
      </c>
      <c r="AA57" s="50">
        <v>10</v>
      </c>
      <c r="AB57" s="50">
        <v>10</v>
      </c>
      <c r="AC57" s="50">
        <v>9.5</v>
      </c>
      <c r="AD57" s="50">
        <v>9.5</v>
      </c>
      <c r="AE57" s="50">
        <v>9.5</v>
      </c>
      <c r="AF57" s="50">
        <v>0</v>
      </c>
      <c r="AG57" s="61">
        <v>30</v>
      </c>
      <c r="AH57" s="52">
        <f t="shared" si="2"/>
        <v>15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4</v>
      </c>
      <c r="N58" s="72">
        <v>6</v>
      </c>
      <c r="O58" s="72">
        <v>6</v>
      </c>
      <c r="P58" s="72">
        <v>6</v>
      </c>
      <c r="Q58" s="72">
        <v>6</v>
      </c>
      <c r="R58" s="72">
        <v>6</v>
      </c>
      <c r="S58" s="72">
        <v>6</v>
      </c>
      <c r="T58" s="72">
        <v>6</v>
      </c>
      <c r="U58" s="72">
        <v>6</v>
      </c>
      <c r="V58" s="72">
        <v>6</v>
      </c>
      <c r="W58" s="72">
        <v>6</v>
      </c>
      <c r="X58" s="72">
        <v>6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6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12</v>
      </c>
      <c r="C59" s="72">
        <v>12</v>
      </c>
      <c r="D59" s="72">
        <v>12</v>
      </c>
      <c r="E59" s="72">
        <v>12</v>
      </c>
      <c r="F59" s="72">
        <v>10</v>
      </c>
      <c r="G59" s="72">
        <v>10</v>
      </c>
      <c r="H59" s="72">
        <v>10</v>
      </c>
      <c r="I59" s="72">
        <v>10</v>
      </c>
      <c r="J59" s="72">
        <v>10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17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17</v>
      </c>
      <c r="AI59" s="53">
        <f t="shared" si="3"/>
        <v>10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9.6</v>
      </c>
      <c r="C61" s="72">
        <v>9.6</v>
      </c>
      <c r="D61" s="72">
        <v>9.6</v>
      </c>
      <c r="E61" s="72">
        <v>9.6</v>
      </c>
      <c r="F61" s="72">
        <v>9.6</v>
      </c>
      <c r="G61" s="72">
        <v>9.6</v>
      </c>
      <c r="H61" s="72">
        <v>9.6</v>
      </c>
      <c r="I61" s="72">
        <v>9.6</v>
      </c>
      <c r="J61" s="72">
        <v>9.6</v>
      </c>
      <c r="K61" s="72">
        <v>9.6</v>
      </c>
      <c r="L61" s="72">
        <v>9.6</v>
      </c>
      <c r="M61" s="72">
        <v>9.6</v>
      </c>
      <c r="N61" s="72">
        <v>9.6</v>
      </c>
      <c r="O61" s="72">
        <v>9.6</v>
      </c>
      <c r="P61" s="72">
        <v>9.6</v>
      </c>
      <c r="Q61" s="72">
        <v>9.6</v>
      </c>
      <c r="R61" s="72">
        <v>9.6</v>
      </c>
      <c r="S61" s="72">
        <v>9.6</v>
      </c>
      <c r="T61" s="72">
        <v>9.6</v>
      </c>
      <c r="U61" s="72">
        <v>9.6</v>
      </c>
      <c r="V61" s="72">
        <v>9.6</v>
      </c>
      <c r="W61" s="72">
        <v>9.6</v>
      </c>
      <c r="X61" s="72">
        <v>9.6</v>
      </c>
      <c r="Y61" s="72">
        <v>9.6</v>
      </c>
      <c r="Z61" s="72">
        <v>9.6</v>
      </c>
      <c r="AA61" s="72">
        <v>9.6</v>
      </c>
      <c r="AB61" s="72">
        <v>9.6</v>
      </c>
      <c r="AC61" s="72">
        <v>9.6</v>
      </c>
      <c r="AD61" s="72">
        <v>9.6</v>
      </c>
      <c r="AE61" s="72">
        <v>9.6</v>
      </c>
      <c r="AF61" s="72">
        <v>9.6</v>
      </c>
      <c r="AG61" s="61">
        <v>14.1</v>
      </c>
      <c r="AH61" s="52">
        <f t="shared" si="2"/>
        <v>9.6</v>
      </c>
      <c r="AI61" s="53">
        <f t="shared" si="3"/>
        <v>9.6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4.8</v>
      </c>
      <c r="C62" s="72">
        <v>4.8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4.8</v>
      </c>
      <c r="N62" s="72">
        <v>4.8</v>
      </c>
      <c r="O62" s="72">
        <v>4.8</v>
      </c>
      <c r="P62" s="72">
        <v>4.8</v>
      </c>
      <c r="Q62" s="72">
        <v>4.8</v>
      </c>
      <c r="R62" s="72">
        <v>4.8</v>
      </c>
      <c r="S62" s="72">
        <v>4.8</v>
      </c>
      <c r="T62" s="72">
        <v>4.8</v>
      </c>
      <c r="U62" s="72">
        <v>4.8</v>
      </c>
      <c r="V62" s="72">
        <v>4.8</v>
      </c>
      <c r="W62" s="72">
        <v>4.8</v>
      </c>
      <c r="X62" s="72">
        <v>4.8</v>
      </c>
      <c r="Y62" s="72">
        <v>4.8</v>
      </c>
      <c r="Z62" s="72">
        <v>4.8</v>
      </c>
      <c r="AA62" s="72">
        <v>4.8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4.8</v>
      </c>
      <c r="AI62" s="53">
        <f t="shared" si="3"/>
        <v>4.8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" si="12">SUM(B53:B65)</f>
        <v>140.84</v>
      </c>
      <c r="C66" s="67">
        <f t="shared" ref="C66:AG66" si="13">SUM(C53:C65)</f>
        <v>107.94</v>
      </c>
      <c r="D66" s="67">
        <f t="shared" si="13"/>
        <v>107.94</v>
      </c>
      <c r="E66" s="67">
        <f t="shared" si="13"/>
        <v>107.94</v>
      </c>
      <c r="F66" s="67">
        <f t="shared" si="13"/>
        <v>106.84</v>
      </c>
      <c r="G66" s="67">
        <f t="shared" si="13"/>
        <v>163.13999999999999</v>
      </c>
      <c r="H66" s="67">
        <f t="shared" si="13"/>
        <v>162.44</v>
      </c>
      <c r="I66" s="67">
        <f t="shared" si="13"/>
        <v>207.44</v>
      </c>
      <c r="J66" s="67">
        <f t="shared" si="13"/>
        <v>260.84000000000003</v>
      </c>
      <c r="K66" s="67">
        <f t="shared" si="13"/>
        <v>264.64000000000004</v>
      </c>
      <c r="L66" s="67">
        <f t="shared" si="13"/>
        <v>272.94000000000005</v>
      </c>
      <c r="M66" s="67">
        <f t="shared" si="13"/>
        <v>293.44000000000005</v>
      </c>
      <c r="N66" s="67">
        <f t="shared" si="13"/>
        <v>268.44000000000005</v>
      </c>
      <c r="O66" s="67">
        <f t="shared" si="13"/>
        <v>241.94</v>
      </c>
      <c r="P66" s="67">
        <f t="shared" si="13"/>
        <v>218.44</v>
      </c>
      <c r="Q66" s="67">
        <f t="shared" si="13"/>
        <v>236.94</v>
      </c>
      <c r="R66" s="67">
        <f t="shared" si="13"/>
        <v>225.54</v>
      </c>
      <c r="S66" s="67">
        <f t="shared" si="13"/>
        <v>217.64</v>
      </c>
      <c r="T66" s="67">
        <f t="shared" si="13"/>
        <v>228.14</v>
      </c>
      <c r="U66" s="67">
        <f t="shared" ref="U66" si="14">SUM(U53:U65)</f>
        <v>260.84000000000003</v>
      </c>
      <c r="V66" s="67">
        <f t="shared" si="13"/>
        <v>226.04</v>
      </c>
      <c r="W66" s="67">
        <f t="shared" si="13"/>
        <v>217.33999999999997</v>
      </c>
      <c r="X66" s="67">
        <f t="shared" si="13"/>
        <v>243.24</v>
      </c>
      <c r="Y66" s="67">
        <f t="shared" si="13"/>
        <v>270.44000000000005</v>
      </c>
      <c r="Z66" s="67">
        <v>309.24000000000007</v>
      </c>
      <c r="AA66" s="67">
        <f t="shared" si="13"/>
        <v>278.54000000000008</v>
      </c>
      <c r="AB66" s="67">
        <f t="shared" si="13"/>
        <v>254.83999999999997</v>
      </c>
      <c r="AC66" s="67">
        <f t="shared" si="13"/>
        <v>211.94</v>
      </c>
      <c r="AD66" s="67">
        <f t="shared" si="13"/>
        <v>211.94</v>
      </c>
      <c r="AE66" s="67">
        <f t="shared" si="13"/>
        <v>135.23999999999998</v>
      </c>
      <c r="AF66" s="67">
        <f t="shared" si="13"/>
        <v>119.74</v>
      </c>
      <c r="AG66" s="68">
        <f t="shared" si="13"/>
        <v>489.91</v>
      </c>
      <c r="AH66" s="52">
        <f t="shared" si="2"/>
        <v>309.24000000000007</v>
      </c>
      <c r="AI66" s="53">
        <f t="shared" si="3"/>
        <v>106.84</v>
      </c>
      <c r="AK66" s="54"/>
    </row>
    <row r="67" spans="1:40" x14ac:dyDescent="0.25">
      <c r="A67" s="49" t="s">
        <v>71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>
        <v>0</v>
      </c>
      <c r="N67" s="50">
        <v>0</v>
      </c>
      <c r="O67" s="50">
        <v>0</v>
      </c>
      <c r="P67" s="50"/>
      <c r="Q67" s="50"/>
      <c r="R67" s="50"/>
      <c r="S67" s="50"/>
      <c r="T67" s="50"/>
      <c r="U67" s="50"/>
      <c r="V67" s="50">
        <v>30</v>
      </c>
      <c r="W67" s="50">
        <v>20</v>
      </c>
      <c r="X67" s="50">
        <v>10</v>
      </c>
      <c r="Y67" s="50">
        <v>55</v>
      </c>
      <c r="Z67" s="50">
        <v>45</v>
      </c>
      <c r="AA67" s="50">
        <v>34</v>
      </c>
      <c r="AB67" s="50">
        <v>30</v>
      </c>
      <c r="AC67" s="50">
        <v>40</v>
      </c>
      <c r="AD67" s="50">
        <v>40</v>
      </c>
      <c r="AE67" s="50">
        <v>40</v>
      </c>
      <c r="AF67" s="50">
        <v>40</v>
      </c>
      <c r="AG67" s="56">
        <v>60</v>
      </c>
      <c r="AH67" s="52">
        <f t="shared" si="2"/>
        <v>55</v>
      </c>
      <c r="AI67" s="53">
        <f t="shared" si="3"/>
        <v>0</v>
      </c>
      <c r="AK67" s="54"/>
    </row>
    <row r="68" spans="1:40" x14ac:dyDescent="0.25">
      <c r="A68" s="60" t="s">
        <v>72</v>
      </c>
      <c r="B68" s="50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>
        <v>0</v>
      </c>
      <c r="N68" s="72">
        <v>0</v>
      </c>
      <c r="O68" s="72">
        <v>0</v>
      </c>
      <c r="P68" s="72"/>
      <c r="Q68" s="50"/>
      <c r="R68" s="50"/>
      <c r="S68" s="72"/>
      <c r="T68" s="72"/>
      <c r="U68" s="72"/>
      <c r="V68" s="72">
        <v>14.7</v>
      </c>
      <c r="W68" s="72">
        <v>4.3</v>
      </c>
      <c r="X68" s="72">
        <v>8.3000000000000007</v>
      </c>
      <c r="Y68" s="72">
        <v>21.4</v>
      </c>
      <c r="Z68" s="72">
        <v>22.9</v>
      </c>
      <c r="AA68" s="72">
        <v>18.600000000000001</v>
      </c>
      <c r="AB68" s="72">
        <v>11.6</v>
      </c>
      <c r="AC68" s="72">
        <v>16</v>
      </c>
      <c r="AD68" s="72">
        <v>16</v>
      </c>
      <c r="AE68" s="72">
        <v>16</v>
      </c>
      <c r="AF68" s="72">
        <v>16</v>
      </c>
      <c r="AG68" s="61">
        <v>32</v>
      </c>
      <c r="AH68" s="52">
        <f t="shared" si="2"/>
        <v>22.9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50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>
        <v>0</v>
      </c>
      <c r="N69" s="74">
        <v>0</v>
      </c>
      <c r="O69" s="74">
        <v>0</v>
      </c>
      <c r="P69" s="74"/>
      <c r="Q69" s="50"/>
      <c r="R69" s="50"/>
      <c r="S69" s="74"/>
      <c r="T69" s="74"/>
      <c r="U69" s="74"/>
      <c r="V69" s="74">
        <v>5.4</v>
      </c>
      <c r="W69" s="74">
        <v>1.6</v>
      </c>
      <c r="X69" s="74">
        <v>3</v>
      </c>
      <c r="Y69" s="74">
        <v>7.8</v>
      </c>
      <c r="Z69" s="74">
        <v>8.4</v>
      </c>
      <c r="AA69" s="74">
        <v>6.8</v>
      </c>
      <c r="AB69" s="74">
        <v>4.2</v>
      </c>
      <c r="AC69" s="74">
        <v>5</v>
      </c>
      <c r="AD69" s="74">
        <v>5</v>
      </c>
      <c r="AE69" s="74">
        <v>5</v>
      </c>
      <c r="AF69" s="74">
        <v>6</v>
      </c>
      <c r="AG69" s="75">
        <v>14</v>
      </c>
      <c r="AH69" s="52">
        <f t="shared" si="2"/>
        <v>8.4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5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6">M67+M68+M69</f>
        <v>0</v>
      </c>
      <c r="N70" s="67">
        <f t="shared" si="16"/>
        <v>0</v>
      </c>
      <c r="O70" s="67">
        <f t="shared" si="16"/>
        <v>0</v>
      </c>
      <c r="P70" s="67">
        <f t="shared" si="16"/>
        <v>0</v>
      </c>
      <c r="Q70" s="67">
        <f t="shared" si="16"/>
        <v>0</v>
      </c>
      <c r="R70" s="67">
        <f t="shared" si="16"/>
        <v>0</v>
      </c>
      <c r="S70" s="67">
        <f t="shared" si="16"/>
        <v>0</v>
      </c>
      <c r="T70" s="67">
        <f t="shared" si="16"/>
        <v>0</v>
      </c>
      <c r="U70" s="67">
        <f t="shared" ref="U70" si="17">U67+U68+U69</f>
        <v>0</v>
      </c>
      <c r="V70" s="67">
        <f t="shared" si="16"/>
        <v>50.1</v>
      </c>
      <c r="W70" s="67">
        <f t="shared" si="16"/>
        <v>25.900000000000002</v>
      </c>
      <c r="X70" s="67">
        <f t="shared" si="16"/>
        <v>21.3</v>
      </c>
      <c r="Y70" s="67">
        <f t="shared" si="16"/>
        <v>84.2</v>
      </c>
      <c r="Z70" s="67">
        <v>76.300000000000011</v>
      </c>
      <c r="AA70" s="67">
        <f t="shared" si="16"/>
        <v>59.4</v>
      </c>
      <c r="AB70" s="67">
        <f t="shared" si="16"/>
        <v>45.800000000000004</v>
      </c>
      <c r="AC70" s="67">
        <f t="shared" si="16"/>
        <v>61</v>
      </c>
      <c r="AD70" s="67">
        <f t="shared" si="16"/>
        <v>61</v>
      </c>
      <c r="AE70" s="67">
        <f t="shared" si="16"/>
        <v>61</v>
      </c>
      <c r="AF70" s="67">
        <f t="shared" si="16"/>
        <v>62</v>
      </c>
      <c r="AG70" s="68">
        <f>SUM(AG67:AG69)</f>
        <v>106</v>
      </c>
      <c r="AH70" s="52">
        <f t="shared" si="2"/>
        <v>84.2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54.9</v>
      </c>
      <c r="C71" s="50">
        <v>60.9</v>
      </c>
      <c r="D71" s="50">
        <v>59.2</v>
      </c>
      <c r="E71" s="50">
        <v>62</v>
      </c>
      <c r="F71" s="50">
        <v>58.6</v>
      </c>
      <c r="G71" s="50">
        <v>61</v>
      </c>
      <c r="H71" s="50">
        <v>67.8</v>
      </c>
      <c r="I71" s="50">
        <v>66.2</v>
      </c>
      <c r="J71" s="50">
        <v>70.400000000000006</v>
      </c>
      <c r="K71" s="50">
        <v>71</v>
      </c>
      <c r="L71" s="50">
        <v>66.7</v>
      </c>
      <c r="M71" s="50">
        <v>64.099999999999994</v>
      </c>
      <c r="N71" s="50">
        <v>61.8</v>
      </c>
      <c r="O71" s="50">
        <v>64</v>
      </c>
      <c r="P71" s="50">
        <v>68.5</v>
      </c>
      <c r="Q71" s="50">
        <v>65.2</v>
      </c>
      <c r="R71" s="50">
        <v>68.400000000000006</v>
      </c>
      <c r="S71" s="50">
        <v>67.099999999999994</v>
      </c>
      <c r="T71" s="50">
        <v>65.8</v>
      </c>
      <c r="U71" s="50">
        <v>73</v>
      </c>
      <c r="V71" s="50">
        <v>66.400000000000006</v>
      </c>
      <c r="W71" s="50">
        <v>64.7</v>
      </c>
      <c r="X71" s="50">
        <v>62.4</v>
      </c>
      <c r="Y71" s="50">
        <v>66.2</v>
      </c>
      <c r="Z71" s="50">
        <v>71.900000000000006</v>
      </c>
      <c r="AA71" s="50">
        <v>64.8</v>
      </c>
      <c r="AB71" s="50">
        <v>59.8</v>
      </c>
      <c r="AC71" s="50">
        <v>68.599999999999994</v>
      </c>
      <c r="AD71" s="50">
        <v>65</v>
      </c>
      <c r="AE71" s="50">
        <v>60</v>
      </c>
      <c r="AF71" s="50">
        <v>64</v>
      </c>
      <c r="AG71" s="56"/>
      <c r="AH71" s="52">
        <f t="shared" si="2"/>
        <v>73</v>
      </c>
      <c r="AI71" s="53">
        <f t="shared" si="3"/>
        <v>54.9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223.8</v>
      </c>
      <c r="C73" s="72">
        <v>263.5</v>
      </c>
      <c r="D73" s="72">
        <v>254.2</v>
      </c>
      <c r="E73" s="72">
        <v>246</v>
      </c>
      <c r="F73" s="72">
        <v>245</v>
      </c>
      <c r="G73" s="72">
        <v>242</v>
      </c>
      <c r="H73" s="72">
        <v>274.89999999999998</v>
      </c>
      <c r="I73" s="72">
        <v>271</v>
      </c>
      <c r="J73" s="72">
        <v>200</v>
      </c>
      <c r="K73" s="72">
        <v>230</v>
      </c>
      <c r="L73" s="72">
        <v>213</v>
      </c>
      <c r="M73" s="72">
        <v>200.3</v>
      </c>
      <c r="N73" s="72">
        <v>254.9</v>
      </c>
      <c r="O73" s="72">
        <v>311</v>
      </c>
      <c r="P73" s="72">
        <v>343</v>
      </c>
      <c r="Q73" s="72">
        <v>342</v>
      </c>
      <c r="R73" s="72">
        <v>349</v>
      </c>
      <c r="S73" s="72">
        <v>366.7</v>
      </c>
      <c r="T73" s="72">
        <v>375</v>
      </c>
      <c r="U73" s="72">
        <v>379</v>
      </c>
      <c r="V73" s="72">
        <v>345</v>
      </c>
      <c r="W73" s="72">
        <v>337</v>
      </c>
      <c r="X73" s="72">
        <v>339</v>
      </c>
      <c r="Y73" s="72">
        <v>307</v>
      </c>
      <c r="Z73" s="72">
        <v>250</v>
      </c>
      <c r="AA73" s="72">
        <v>260</v>
      </c>
      <c r="AB73" s="72">
        <v>252</v>
      </c>
      <c r="AC73" s="72">
        <v>250</v>
      </c>
      <c r="AD73" s="72">
        <v>260</v>
      </c>
      <c r="AE73" s="72">
        <v>270</v>
      </c>
      <c r="AF73" s="72">
        <v>260</v>
      </c>
      <c r="AG73" s="82"/>
      <c r="AH73" s="52">
        <f t="shared" si="2"/>
        <v>379</v>
      </c>
      <c r="AI73" s="53">
        <f t="shared" si="3"/>
        <v>200</v>
      </c>
      <c r="AK73" s="54"/>
    </row>
    <row r="74" spans="1:40" x14ac:dyDescent="0.25">
      <c r="A74" s="60" t="s">
        <v>78</v>
      </c>
      <c r="B74" s="72">
        <v>50.2</v>
      </c>
      <c r="C74" s="72">
        <v>13.6</v>
      </c>
      <c r="D74" s="72">
        <v>17.399999999999999</v>
      </c>
      <c r="E74" s="83">
        <v>18.600000000000001</v>
      </c>
      <c r="F74" s="83">
        <v>16.100000000000001</v>
      </c>
      <c r="G74" s="83">
        <v>12.86</v>
      </c>
      <c r="H74" s="83">
        <v>13</v>
      </c>
      <c r="I74" s="83">
        <v>48.5</v>
      </c>
      <c r="J74" s="83">
        <v>61</v>
      </c>
      <c r="K74" s="83">
        <v>62</v>
      </c>
      <c r="L74" s="83">
        <v>62</v>
      </c>
      <c r="M74" s="83">
        <v>61</v>
      </c>
      <c r="N74" s="83">
        <v>60</v>
      </c>
      <c r="O74" s="83">
        <v>56.6</v>
      </c>
      <c r="P74" s="83">
        <v>61</v>
      </c>
      <c r="Q74" s="83">
        <v>61</v>
      </c>
      <c r="R74" s="83">
        <v>61</v>
      </c>
      <c r="S74" s="83">
        <v>50</v>
      </c>
      <c r="T74" s="83">
        <v>50</v>
      </c>
      <c r="U74" s="83">
        <v>62</v>
      </c>
      <c r="V74" s="83">
        <v>68.400000000000006</v>
      </c>
      <c r="W74" s="83">
        <v>68.400000000000006</v>
      </c>
      <c r="X74" s="83">
        <v>65.400000000000006</v>
      </c>
      <c r="Y74" s="83">
        <v>65.400000000000006</v>
      </c>
      <c r="Z74" s="72">
        <v>65</v>
      </c>
      <c r="AA74" s="72">
        <v>64</v>
      </c>
      <c r="AB74" s="72">
        <v>61.7</v>
      </c>
      <c r="AC74" s="72">
        <v>59</v>
      </c>
      <c r="AD74" s="72">
        <v>59</v>
      </c>
      <c r="AE74" s="72">
        <v>56.2</v>
      </c>
      <c r="AF74" s="72">
        <v>56.2</v>
      </c>
      <c r="AG74" s="82"/>
      <c r="AH74" s="52">
        <f t="shared" si="2"/>
        <v>68.400000000000006</v>
      </c>
      <c r="AI74" s="53">
        <f t="shared" si="3"/>
        <v>12.86</v>
      </c>
      <c r="AK74" s="54"/>
    </row>
    <row r="75" spans="1:40" x14ac:dyDescent="0.25">
      <c r="A75" s="60" t="s">
        <v>79</v>
      </c>
      <c r="B75" s="50">
        <v>98.5</v>
      </c>
      <c r="C75" s="50">
        <v>85</v>
      </c>
      <c r="D75" s="50">
        <v>85</v>
      </c>
      <c r="E75" s="50">
        <v>73.599999999999994</v>
      </c>
      <c r="F75" s="50">
        <v>88.1</v>
      </c>
      <c r="G75" s="50">
        <v>89.4</v>
      </c>
      <c r="H75" s="50">
        <v>84.8</v>
      </c>
      <c r="I75" s="50">
        <v>69</v>
      </c>
      <c r="J75" s="50">
        <v>64.5</v>
      </c>
      <c r="K75" s="50">
        <v>64.5</v>
      </c>
      <c r="L75" s="50">
        <v>40.200000000000003</v>
      </c>
      <c r="M75" s="50">
        <v>61</v>
      </c>
      <c r="N75" s="50">
        <v>88</v>
      </c>
      <c r="O75" s="50">
        <v>63.6</v>
      </c>
      <c r="P75" s="50">
        <v>75</v>
      </c>
      <c r="Q75" s="50">
        <v>78</v>
      </c>
      <c r="R75" s="50">
        <v>78</v>
      </c>
      <c r="S75" s="50">
        <v>78</v>
      </c>
      <c r="T75" s="50">
        <v>78</v>
      </c>
      <c r="U75" s="50">
        <v>82</v>
      </c>
      <c r="V75" s="50">
        <v>72.7</v>
      </c>
      <c r="W75" s="50">
        <v>72.7</v>
      </c>
      <c r="X75" s="50">
        <v>65.400000000000006</v>
      </c>
      <c r="Y75" s="50">
        <v>65.400000000000006</v>
      </c>
      <c r="Z75" s="50">
        <v>48</v>
      </c>
      <c r="AA75" s="50">
        <v>60.3</v>
      </c>
      <c r="AB75" s="50">
        <v>85</v>
      </c>
      <c r="AC75" s="50">
        <v>20</v>
      </c>
      <c r="AD75" s="50">
        <v>24</v>
      </c>
      <c r="AE75" s="50">
        <v>24.6</v>
      </c>
      <c r="AF75" s="50">
        <v>24</v>
      </c>
      <c r="AG75" s="82"/>
      <c r="AH75" s="52">
        <f t="shared" ref="AH75:AH117" si="18">MAX(B75:AF75)</f>
        <v>98.5</v>
      </c>
      <c r="AI75" s="53">
        <f t="shared" ref="AI75:AI117" si="19">MIN(B75:AF75)</f>
        <v>20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8"/>
        <v>0</v>
      </c>
      <c r="AI76" s="53">
        <f t="shared" si="19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8"/>
        <v>0</v>
      </c>
      <c r="AI77" s="53">
        <f t="shared" si="19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8"/>
        <v>0</v>
      </c>
      <c r="AI78" s="53">
        <f t="shared" si="19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8"/>
        <v>0</v>
      </c>
      <c r="AI79" s="53">
        <f t="shared" si="19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8"/>
        <v>0</v>
      </c>
      <c r="AI80" s="53">
        <f t="shared" si="19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8"/>
        <v>0</v>
      </c>
      <c r="AI81" s="53">
        <f t="shared" si="19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20">SUMIF(B71:B81,"&gt;0")</f>
        <v>427.4</v>
      </c>
      <c r="C82" s="67">
        <f t="shared" ref="C82:AF82" si="21">SUMIF(C71:C81,"&gt;0")</f>
        <v>423</v>
      </c>
      <c r="D82" s="67">
        <f t="shared" si="21"/>
        <v>415.79999999999995</v>
      </c>
      <c r="E82" s="67">
        <f t="shared" si="21"/>
        <v>400.20000000000005</v>
      </c>
      <c r="F82" s="67">
        <f t="shared" si="21"/>
        <v>407.80000000000007</v>
      </c>
      <c r="G82" s="67">
        <f t="shared" si="21"/>
        <v>405.26</v>
      </c>
      <c r="H82" s="67">
        <f t="shared" si="21"/>
        <v>440.5</v>
      </c>
      <c r="I82" s="67">
        <f t="shared" si="21"/>
        <v>454.7</v>
      </c>
      <c r="J82" s="67">
        <f t="shared" si="21"/>
        <v>395.9</v>
      </c>
      <c r="K82" s="67">
        <f t="shared" si="21"/>
        <v>427.5</v>
      </c>
      <c r="L82" s="67">
        <f t="shared" si="21"/>
        <v>381.9</v>
      </c>
      <c r="M82" s="67">
        <f t="shared" si="21"/>
        <v>386.4</v>
      </c>
      <c r="N82" s="67">
        <f t="shared" si="21"/>
        <v>464.7</v>
      </c>
      <c r="O82" s="67">
        <f t="shared" si="21"/>
        <v>495.20000000000005</v>
      </c>
      <c r="P82" s="67">
        <f t="shared" si="21"/>
        <v>547.5</v>
      </c>
      <c r="Q82" s="67">
        <f t="shared" si="21"/>
        <v>546.20000000000005</v>
      </c>
      <c r="R82" s="67">
        <f t="shared" si="21"/>
        <v>556.4</v>
      </c>
      <c r="S82" s="67">
        <f t="shared" si="21"/>
        <v>561.79999999999995</v>
      </c>
      <c r="T82" s="67">
        <f t="shared" si="21"/>
        <v>568.79999999999995</v>
      </c>
      <c r="U82" s="67">
        <f t="shared" ref="U82" si="22">SUMIF(U71:U81,"&gt;0")</f>
        <v>596</v>
      </c>
      <c r="V82" s="67">
        <f t="shared" si="21"/>
        <v>552.5</v>
      </c>
      <c r="W82" s="67">
        <f t="shared" si="21"/>
        <v>542.80000000000007</v>
      </c>
      <c r="X82" s="67">
        <f t="shared" si="21"/>
        <v>532.19999999999993</v>
      </c>
      <c r="Y82" s="67">
        <f t="shared" si="21"/>
        <v>504</v>
      </c>
      <c r="Z82" s="67">
        <v>485.8</v>
      </c>
      <c r="AA82" s="67">
        <f t="shared" si="21"/>
        <v>449.1</v>
      </c>
      <c r="AB82" s="67">
        <f t="shared" si="21"/>
        <v>458.5</v>
      </c>
      <c r="AC82" s="67">
        <f t="shared" si="21"/>
        <v>397.6</v>
      </c>
      <c r="AD82" s="67">
        <f t="shared" si="21"/>
        <v>408</v>
      </c>
      <c r="AE82" s="67">
        <f t="shared" si="21"/>
        <v>410.8</v>
      </c>
      <c r="AF82" s="67">
        <f t="shared" si="21"/>
        <v>404.2</v>
      </c>
      <c r="AG82" s="95">
        <f>SUM(AG71:AG81)</f>
        <v>0</v>
      </c>
      <c r="AH82" s="52">
        <f t="shared" si="18"/>
        <v>596</v>
      </c>
      <c r="AI82" s="53">
        <f t="shared" si="19"/>
        <v>381.9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8"/>
        <v>0</v>
      </c>
      <c r="AI83" s="53">
        <f t="shared" si="19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8"/>
        <v>0</v>
      </c>
      <c r="AI84" s="53">
        <f t="shared" si="19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8"/>
        <v>0</v>
      </c>
      <c r="AI85" s="53">
        <f t="shared" si="19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8"/>
        <v>0</v>
      </c>
      <c r="AI86" s="53">
        <f t="shared" si="19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23">B48+B52+B70+B66+B82+B86</f>
        <v>1044.94</v>
      </c>
      <c r="C87" s="102">
        <f t="shared" ref="C87:AG87" si="24">C48+C52+C70+C66+C82+C86</f>
        <v>997.6400000000001</v>
      </c>
      <c r="D87" s="102">
        <f t="shared" si="24"/>
        <v>990.44</v>
      </c>
      <c r="E87" s="102">
        <f t="shared" si="24"/>
        <v>976.44</v>
      </c>
      <c r="F87" s="102">
        <f t="shared" si="24"/>
        <v>973.84000000000015</v>
      </c>
      <c r="G87" s="102">
        <f t="shared" si="24"/>
        <v>1025.3</v>
      </c>
      <c r="H87" s="102">
        <f t="shared" si="24"/>
        <v>1109.6399999999999</v>
      </c>
      <c r="I87" s="102">
        <f t="shared" si="24"/>
        <v>1128.3400000000001</v>
      </c>
      <c r="J87" s="102">
        <f t="shared" si="24"/>
        <v>1202.94</v>
      </c>
      <c r="K87" s="102">
        <f t="shared" si="24"/>
        <v>1241.94</v>
      </c>
      <c r="L87" s="102">
        <f t="shared" si="24"/>
        <v>1231.6399999999999</v>
      </c>
      <c r="M87" s="102">
        <f t="shared" si="24"/>
        <v>1276.6399999999999</v>
      </c>
      <c r="N87" s="102">
        <f t="shared" si="24"/>
        <v>1229.44</v>
      </c>
      <c r="O87" s="102">
        <f t="shared" si="24"/>
        <v>1193.3400000000001</v>
      </c>
      <c r="P87" s="102">
        <f t="shared" si="24"/>
        <v>1202.1399999999999</v>
      </c>
      <c r="Q87" s="102">
        <f t="shared" si="24"/>
        <v>1249.3400000000001</v>
      </c>
      <c r="R87" s="102">
        <f t="shared" si="24"/>
        <v>1218.1399999999999</v>
      </c>
      <c r="S87" s="102">
        <f t="shared" si="24"/>
        <v>1205.7399999999998</v>
      </c>
      <c r="T87" s="102">
        <f t="shared" si="24"/>
        <v>1253.2399999999998</v>
      </c>
      <c r="U87" s="102">
        <f t="shared" ref="U87" si="25">U48+U52+U70+U66+U82+U86</f>
        <v>1283.1399999999999</v>
      </c>
      <c r="V87" s="102">
        <f t="shared" si="24"/>
        <v>1254.94</v>
      </c>
      <c r="W87" s="102">
        <f t="shared" si="24"/>
        <v>1202.3400000000001</v>
      </c>
      <c r="X87" s="102">
        <f t="shared" si="24"/>
        <v>1203.04</v>
      </c>
      <c r="Y87" s="102">
        <f t="shared" si="24"/>
        <v>1338.8400000000001</v>
      </c>
      <c r="Z87" s="102">
        <v>1365.64</v>
      </c>
      <c r="AA87" s="102">
        <f t="shared" si="24"/>
        <v>1351.39</v>
      </c>
      <c r="AB87" s="102">
        <f t="shared" si="24"/>
        <v>1323.49</v>
      </c>
      <c r="AC87" s="102">
        <f t="shared" si="24"/>
        <v>1161.8899999999999</v>
      </c>
      <c r="AD87" s="102">
        <f t="shared" si="24"/>
        <v>1145.29</v>
      </c>
      <c r="AE87" s="102">
        <f t="shared" si="24"/>
        <v>1080.74</v>
      </c>
      <c r="AF87" s="102">
        <f t="shared" si="24"/>
        <v>1049.6400000000001</v>
      </c>
      <c r="AG87" s="68">
        <f t="shared" si="24"/>
        <v>2065.09</v>
      </c>
      <c r="AH87" s="52">
        <f>MAX(B87:AF87)</f>
        <v>1365.64</v>
      </c>
      <c r="AI87" s="53">
        <f>MIN(B87:AF87)</f>
        <v>973.84000000000015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>
        <v>150</v>
      </c>
      <c r="M88" s="104">
        <v>150</v>
      </c>
      <c r="N88" s="104">
        <v>150</v>
      </c>
      <c r="O88" s="104">
        <v>130</v>
      </c>
      <c r="P88" s="104">
        <v>50</v>
      </c>
      <c r="Q88" s="104">
        <v>50</v>
      </c>
      <c r="R88" s="104">
        <v>50</v>
      </c>
      <c r="S88" s="104">
        <v>50</v>
      </c>
      <c r="T88" s="104">
        <v>50</v>
      </c>
      <c r="U88" s="104">
        <v>51</v>
      </c>
      <c r="V88" s="104"/>
      <c r="W88" s="104"/>
      <c r="X88" s="104">
        <v>150</v>
      </c>
      <c r="Y88" s="104">
        <v>150</v>
      </c>
      <c r="Z88" s="104">
        <v>170</v>
      </c>
      <c r="AA88" s="104">
        <v>130</v>
      </c>
      <c r="AB88" s="104">
        <v>130</v>
      </c>
      <c r="AC88" s="104"/>
      <c r="AD88" s="104"/>
      <c r="AE88" s="104"/>
      <c r="AF88" s="104"/>
      <c r="AG88" s="95"/>
      <c r="AH88" s="52">
        <f t="shared" si="18"/>
        <v>170</v>
      </c>
      <c r="AI88" s="53">
        <f t="shared" si="19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26">B87+B88</f>
        <v>1044.94</v>
      </c>
      <c r="C89" s="102">
        <f t="shared" ref="C89:AF89" si="27">C87+C88</f>
        <v>997.6400000000001</v>
      </c>
      <c r="D89" s="102">
        <f t="shared" si="27"/>
        <v>990.44</v>
      </c>
      <c r="E89" s="102">
        <f t="shared" si="27"/>
        <v>976.44</v>
      </c>
      <c r="F89" s="102">
        <f t="shared" si="27"/>
        <v>973.84000000000015</v>
      </c>
      <c r="G89" s="102">
        <f t="shared" si="27"/>
        <v>1025.3</v>
      </c>
      <c r="H89" s="102">
        <f t="shared" si="27"/>
        <v>1109.6399999999999</v>
      </c>
      <c r="I89" s="102">
        <f t="shared" si="27"/>
        <v>1128.3400000000001</v>
      </c>
      <c r="J89" s="102">
        <f t="shared" si="27"/>
        <v>1202.94</v>
      </c>
      <c r="K89" s="102">
        <f t="shared" si="27"/>
        <v>1241.94</v>
      </c>
      <c r="L89" s="102">
        <f t="shared" si="27"/>
        <v>1381.6399999999999</v>
      </c>
      <c r="M89" s="102">
        <f t="shared" si="27"/>
        <v>1426.6399999999999</v>
      </c>
      <c r="N89" s="102">
        <f t="shared" si="27"/>
        <v>1379.44</v>
      </c>
      <c r="O89" s="102">
        <f t="shared" si="27"/>
        <v>1323.3400000000001</v>
      </c>
      <c r="P89" s="102">
        <f t="shared" si="27"/>
        <v>1252.1399999999999</v>
      </c>
      <c r="Q89" s="102">
        <f t="shared" si="27"/>
        <v>1299.3400000000001</v>
      </c>
      <c r="R89" s="102">
        <f t="shared" si="27"/>
        <v>1268.1399999999999</v>
      </c>
      <c r="S89" s="102">
        <f t="shared" si="27"/>
        <v>1255.7399999999998</v>
      </c>
      <c r="T89" s="102">
        <f t="shared" si="27"/>
        <v>1303.2399999999998</v>
      </c>
      <c r="U89" s="102">
        <f t="shared" ref="U89" si="28">U87+U88</f>
        <v>1334.1399999999999</v>
      </c>
      <c r="V89" s="102">
        <f t="shared" si="27"/>
        <v>1254.94</v>
      </c>
      <c r="W89" s="102">
        <f t="shared" si="27"/>
        <v>1202.3400000000001</v>
      </c>
      <c r="X89" s="102">
        <f t="shared" si="27"/>
        <v>1353.04</v>
      </c>
      <c r="Y89" s="102">
        <f t="shared" si="27"/>
        <v>1488.8400000000001</v>
      </c>
      <c r="Z89" s="102">
        <v>1535.64</v>
      </c>
      <c r="AA89" s="102">
        <f t="shared" si="27"/>
        <v>1481.39</v>
      </c>
      <c r="AB89" s="102">
        <f t="shared" si="27"/>
        <v>1453.49</v>
      </c>
      <c r="AC89" s="102">
        <f t="shared" si="27"/>
        <v>1161.8899999999999</v>
      </c>
      <c r="AD89" s="102">
        <f t="shared" si="27"/>
        <v>1145.29</v>
      </c>
      <c r="AE89" s="102">
        <f t="shared" si="27"/>
        <v>1080.74</v>
      </c>
      <c r="AF89" s="102">
        <f t="shared" si="27"/>
        <v>1049.6400000000001</v>
      </c>
      <c r="AG89" s="95">
        <f>AG86+AG82+AG70+AG66+AG48+AG88</f>
        <v>1526.99</v>
      </c>
      <c r="AH89" s="52">
        <f t="shared" si="18"/>
        <v>1535.64</v>
      </c>
      <c r="AI89" s="53">
        <f t="shared" si="19"/>
        <v>973.84000000000015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29">B89-B97</f>
        <v>1044.94</v>
      </c>
      <c r="C90" s="102">
        <f t="shared" ref="C90:AF90" si="30">C89-C97</f>
        <v>997.6400000000001</v>
      </c>
      <c r="D90" s="102">
        <f t="shared" si="30"/>
        <v>990.44</v>
      </c>
      <c r="E90" s="102">
        <f t="shared" si="30"/>
        <v>976.44</v>
      </c>
      <c r="F90" s="102">
        <f t="shared" si="30"/>
        <v>973.84000000000015</v>
      </c>
      <c r="G90" s="102">
        <f t="shared" si="30"/>
        <v>1025.3</v>
      </c>
      <c r="H90" s="102">
        <f t="shared" si="30"/>
        <v>1109.6399999999999</v>
      </c>
      <c r="I90" s="102">
        <f t="shared" si="30"/>
        <v>1128.3400000000001</v>
      </c>
      <c r="J90" s="102">
        <f t="shared" si="30"/>
        <v>1202.94</v>
      </c>
      <c r="K90" s="102">
        <f t="shared" si="30"/>
        <v>1241.94</v>
      </c>
      <c r="L90" s="102">
        <f t="shared" si="30"/>
        <v>1381.6399999999999</v>
      </c>
      <c r="M90" s="102">
        <f t="shared" si="30"/>
        <v>1426.6399999999999</v>
      </c>
      <c r="N90" s="102">
        <f t="shared" si="30"/>
        <v>1379.44</v>
      </c>
      <c r="O90" s="102">
        <f t="shared" si="30"/>
        <v>1323.3400000000001</v>
      </c>
      <c r="P90" s="102">
        <f t="shared" si="30"/>
        <v>1252.1399999999999</v>
      </c>
      <c r="Q90" s="102">
        <f t="shared" si="30"/>
        <v>1299.3400000000001</v>
      </c>
      <c r="R90" s="102">
        <f t="shared" si="30"/>
        <v>1268.1399999999999</v>
      </c>
      <c r="S90" s="102">
        <f t="shared" si="30"/>
        <v>1255.7399999999998</v>
      </c>
      <c r="T90" s="102">
        <f t="shared" si="30"/>
        <v>1303.2399999999998</v>
      </c>
      <c r="U90" s="102">
        <f t="shared" ref="U90" si="31">U89-U97</f>
        <v>1334.1399999999999</v>
      </c>
      <c r="V90" s="102">
        <f t="shared" si="30"/>
        <v>1254.94</v>
      </c>
      <c r="W90" s="102">
        <f t="shared" si="30"/>
        <v>1202.3400000000001</v>
      </c>
      <c r="X90" s="102">
        <f t="shared" si="30"/>
        <v>1353.04</v>
      </c>
      <c r="Y90" s="102">
        <f t="shared" si="30"/>
        <v>1488.8400000000001</v>
      </c>
      <c r="Z90" s="102">
        <v>1534.64</v>
      </c>
      <c r="AA90" s="102">
        <f t="shared" si="30"/>
        <v>1481.39</v>
      </c>
      <c r="AB90" s="102">
        <f t="shared" si="30"/>
        <v>1453.49</v>
      </c>
      <c r="AC90" s="102">
        <f t="shared" si="30"/>
        <v>1161.8899999999999</v>
      </c>
      <c r="AD90" s="102">
        <f t="shared" si="30"/>
        <v>1145.29</v>
      </c>
      <c r="AE90" s="102">
        <f t="shared" si="30"/>
        <v>1080.74</v>
      </c>
      <c r="AF90" s="102">
        <f t="shared" si="30"/>
        <v>1049.6400000000001</v>
      </c>
      <c r="AG90" s="95"/>
      <c r="AH90" s="52">
        <f t="shared" si="18"/>
        <v>1534.64</v>
      </c>
      <c r="AI90" s="53">
        <f t="shared" si="19"/>
        <v>973.84000000000015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8"/>
        <v>0</v>
      </c>
      <c r="AI91" s="53">
        <f t="shared" si="19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8"/>
        <v>0</v>
      </c>
      <c r="AI92" s="53">
        <f t="shared" si="19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8"/>
        <v>0</v>
      </c>
      <c r="AI93" s="53">
        <f t="shared" si="19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8"/>
        <v>0</v>
      </c>
      <c r="AI94" s="53">
        <f t="shared" si="19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8"/>
        <v>0</v>
      </c>
      <c r="AI95" s="53">
        <f t="shared" si="19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1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8"/>
        <v>1</v>
      </c>
      <c r="AI96" s="53">
        <f t="shared" si="19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1</v>
      </c>
      <c r="AA97" s="67"/>
      <c r="AB97" s="67"/>
      <c r="AC97" s="67"/>
      <c r="AD97" s="67"/>
      <c r="AE97" s="67"/>
      <c r="AF97" s="67"/>
      <c r="AG97" s="95"/>
      <c r="AH97" s="52">
        <f t="shared" si="18"/>
        <v>1</v>
      </c>
      <c r="AI97" s="53">
        <f t="shared" si="19"/>
        <v>1</v>
      </c>
      <c r="AK97" s="54"/>
    </row>
    <row r="98" spans="1:88" s="1" customFormat="1" ht="15.75" thickBot="1" x14ac:dyDescent="0.3">
      <c r="A98" s="81" t="s">
        <v>102</v>
      </c>
      <c r="B98" s="67">
        <f t="shared" ref="B98" si="32">B82-B97</f>
        <v>427.4</v>
      </c>
      <c r="C98" s="67">
        <f t="shared" ref="C98:AF98" si="33">C82-C97</f>
        <v>423</v>
      </c>
      <c r="D98" s="67">
        <f t="shared" si="33"/>
        <v>415.79999999999995</v>
      </c>
      <c r="E98" s="67">
        <f t="shared" si="33"/>
        <v>400.20000000000005</v>
      </c>
      <c r="F98" s="67">
        <f t="shared" si="33"/>
        <v>407.80000000000007</v>
      </c>
      <c r="G98" s="67">
        <f t="shared" si="33"/>
        <v>405.26</v>
      </c>
      <c r="H98" s="67">
        <f t="shared" si="33"/>
        <v>440.5</v>
      </c>
      <c r="I98" s="67">
        <f t="shared" si="33"/>
        <v>454.7</v>
      </c>
      <c r="J98" s="67">
        <f t="shared" si="33"/>
        <v>395.9</v>
      </c>
      <c r="K98" s="67">
        <f t="shared" si="33"/>
        <v>427.5</v>
      </c>
      <c r="L98" s="67">
        <f t="shared" si="33"/>
        <v>381.9</v>
      </c>
      <c r="M98" s="67">
        <f t="shared" si="33"/>
        <v>386.4</v>
      </c>
      <c r="N98" s="67">
        <f t="shared" si="33"/>
        <v>464.7</v>
      </c>
      <c r="O98" s="67">
        <f t="shared" si="33"/>
        <v>495.20000000000005</v>
      </c>
      <c r="P98" s="67">
        <f t="shared" si="33"/>
        <v>547.5</v>
      </c>
      <c r="Q98" s="67">
        <f t="shared" si="33"/>
        <v>546.20000000000005</v>
      </c>
      <c r="R98" s="67">
        <f t="shared" si="33"/>
        <v>556.4</v>
      </c>
      <c r="S98" s="67">
        <f t="shared" si="33"/>
        <v>561.79999999999995</v>
      </c>
      <c r="T98" s="67">
        <f t="shared" si="33"/>
        <v>568.79999999999995</v>
      </c>
      <c r="U98" s="67">
        <f t="shared" si="33"/>
        <v>596</v>
      </c>
      <c r="V98" s="67">
        <f t="shared" si="33"/>
        <v>552.5</v>
      </c>
      <c r="W98" s="67">
        <f t="shared" si="33"/>
        <v>542.80000000000007</v>
      </c>
      <c r="X98" s="67">
        <f t="shared" si="33"/>
        <v>532.19999999999993</v>
      </c>
      <c r="Y98" s="67">
        <f t="shared" si="33"/>
        <v>504</v>
      </c>
      <c r="Z98" s="67">
        <v>484.8</v>
      </c>
      <c r="AA98" s="67">
        <f t="shared" si="33"/>
        <v>449.1</v>
      </c>
      <c r="AB98" s="67">
        <f t="shared" si="33"/>
        <v>458.5</v>
      </c>
      <c r="AC98" s="67">
        <f t="shared" si="33"/>
        <v>397.6</v>
      </c>
      <c r="AD98" s="67">
        <f t="shared" si="33"/>
        <v>408</v>
      </c>
      <c r="AE98" s="67">
        <f t="shared" si="33"/>
        <v>410.8</v>
      </c>
      <c r="AF98" s="67">
        <f t="shared" si="33"/>
        <v>404.2</v>
      </c>
      <c r="AG98" s="95"/>
      <c r="AH98" s="52">
        <f t="shared" si="18"/>
        <v>596</v>
      </c>
      <c r="AI98" s="53">
        <f t="shared" si="19"/>
        <v>381.9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49.920999999999999</v>
      </c>
      <c r="C99" s="108">
        <v>50.081000000000003</v>
      </c>
      <c r="D99" s="108">
        <v>49.917999999999999</v>
      </c>
      <c r="E99" s="108">
        <v>49.917999999999999</v>
      </c>
      <c r="F99" s="108">
        <v>49.889000000000003</v>
      </c>
      <c r="G99" s="108">
        <v>50</v>
      </c>
      <c r="H99" s="108">
        <v>49.957000000000001</v>
      </c>
      <c r="I99" s="108">
        <v>49.975000000000001</v>
      </c>
      <c r="J99" s="108">
        <v>50.094000000000001</v>
      </c>
      <c r="K99" s="108">
        <v>50.045000000000002</v>
      </c>
      <c r="L99" s="108">
        <v>50.061999999999998</v>
      </c>
      <c r="M99" s="108">
        <v>49.991</v>
      </c>
      <c r="N99" s="108">
        <v>50.0334</v>
      </c>
      <c r="O99" s="108">
        <v>50.021999999999998</v>
      </c>
      <c r="P99" s="108">
        <v>49.877000000000002</v>
      </c>
      <c r="Q99" s="108">
        <v>49.866999999999997</v>
      </c>
      <c r="R99" s="108">
        <v>50.03</v>
      </c>
      <c r="S99" s="108">
        <v>50.136000000000003</v>
      </c>
      <c r="T99" s="108">
        <v>49.95</v>
      </c>
      <c r="U99" s="108">
        <v>49.83</v>
      </c>
      <c r="V99" s="108">
        <v>49.95</v>
      </c>
      <c r="W99" s="108">
        <v>50.08</v>
      </c>
      <c r="X99" s="108">
        <v>50.04</v>
      </c>
      <c r="Y99" s="108">
        <v>50.11</v>
      </c>
      <c r="Z99" s="108">
        <v>50.05</v>
      </c>
      <c r="AA99" s="108">
        <v>49.95</v>
      </c>
      <c r="AB99" s="108">
        <v>50.047800000000002</v>
      </c>
      <c r="AC99" s="108">
        <v>50.015999999999998</v>
      </c>
      <c r="AD99" s="108">
        <v>50.015999999999998</v>
      </c>
      <c r="AE99" s="108">
        <v>50.067</v>
      </c>
      <c r="AF99" s="108">
        <v>49.988</v>
      </c>
      <c r="AG99" s="109"/>
      <c r="AH99" s="52">
        <f t="shared" si="18"/>
        <v>50.136000000000003</v>
      </c>
      <c r="AI99" s="53">
        <f t="shared" si="19"/>
        <v>49.83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128.69999999999999</v>
      </c>
      <c r="C100" s="72">
        <v>128.19999999999999</v>
      </c>
      <c r="D100" s="72">
        <v>128.19999999999999</v>
      </c>
      <c r="E100" s="72">
        <v>128.19999999999999</v>
      </c>
      <c r="F100" s="72">
        <v>128.4</v>
      </c>
      <c r="G100" s="72">
        <v>129.1</v>
      </c>
      <c r="H100" s="72">
        <v>126.3</v>
      </c>
      <c r="I100" s="72">
        <v>128.30000000000001</v>
      </c>
      <c r="J100" s="72">
        <v>127.7</v>
      </c>
      <c r="K100" s="72">
        <v>126.8</v>
      </c>
      <c r="L100" s="72">
        <v>124.1</v>
      </c>
      <c r="M100" s="72">
        <v>125.9</v>
      </c>
      <c r="N100" s="72">
        <v>126.6</v>
      </c>
      <c r="O100" s="72">
        <v>125.4</v>
      </c>
      <c r="P100" s="72">
        <v>126.3</v>
      </c>
      <c r="Q100" s="72">
        <v>125.1</v>
      </c>
      <c r="R100" s="72">
        <v>126</v>
      </c>
      <c r="S100" s="72">
        <v>125.1</v>
      </c>
      <c r="T100" s="72">
        <v>124</v>
      </c>
      <c r="U100" s="72">
        <v>125.5</v>
      </c>
      <c r="V100" s="72">
        <v>127.6</v>
      </c>
      <c r="W100" s="72">
        <v>127.5</v>
      </c>
      <c r="X100" s="72">
        <v>127.3</v>
      </c>
      <c r="Y100" s="72">
        <v>128</v>
      </c>
      <c r="Z100" s="72">
        <v>128.19999999999999</v>
      </c>
      <c r="AA100" s="72">
        <v>129.30000000000001</v>
      </c>
      <c r="AB100" s="72">
        <v>130.30000000000001</v>
      </c>
      <c r="AC100" s="72">
        <v>127.3</v>
      </c>
      <c r="AD100" s="72">
        <v>127.3</v>
      </c>
      <c r="AE100" s="72">
        <v>128.69999999999999</v>
      </c>
      <c r="AF100" s="72">
        <v>129</v>
      </c>
      <c r="AG100" s="111"/>
      <c r="AH100" s="52">
        <f t="shared" si="18"/>
        <v>130.30000000000001</v>
      </c>
      <c r="AI100" s="53">
        <f t="shared" si="19"/>
        <v>124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131.9</v>
      </c>
      <c r="C101" s="72">
        <v>131.4</v>
      </c>
      <c r="D101" s="72">
        <v>131.4</v>
      </c>
      <c r="E101" s="72">
        <v>131.4</v>
      </c>
      <c r="F101" s="72">
        <v>131.5</v>
      </c>
      <c r="G101" s="72">
        <v>132.1</v>
      </c>
      <c r="H101" s="72">
        <v>129.4</v>
      </c>
      <c r="I101" s="72">
        <v>131</v>
      </c>
      <c r="J101" s="72">
        <v>129.69999999999999</v>
      </c>
      <c r="K101" s="72">
        <v>129.1</v>
      </c>
      <c r="L101" s="72">
        <v>127</v>
      </c>
      <c r="M101" s="72">
        <v>128.30000000000001</v>
      </c>
      <c r="N101" s="72">
        <v>129.4</v>
      </c>
      <c r="O101" s="72">
        <v>127.6</v>
      </c>
      <c r="P101" s="72">
        <v>128.5</v>
      </c>
      <c r="Q101" s="72">
        <v>127</v>
      </c>
      <c r="R101" s="72">
        <v>128.30000000000001</v>
      </c>
      <c r="S101" s="72">
        <v>127.9</v>
      </c>
      <c r="T101" s="72">
        <v>127.2</v>
      </c>
      <c r="U101" s="72">
        <v>128.30000000000001</v>
      </c>
      <c r="V101" s="72">
        <v>129.9</v>
      </c>
      <c r="W101" s="72">
        <v>129.80000000000001</v>
      </c>
      <c r="X101" s="72">
        <v>129.5</v>
      </c>
      <c r="Y101" s="72">
        <v>129.5</v>
      </c>
      <c r="Z101" s="72">
        <v>129.69999999999999</v>
      </c>
      <c r="AA101" s="72">
        <v>131</v>
      </c>
      <c r="AB101" s="72">
        <v>132.4</v>
      </c>
      <c r="AC101" s="72">
        <v>130.69999999999999</v>
      </c>
      <c r="AD101" s="72">
        <v>130.69999999999999</v>
      </c>
      <c r="AE101" s="72">
        <v>132.19999999999999</v>
      </c>
      <c r="AF101" s="72">
        <v>132.80000000000001</v>
      </c>
      <c r="AG101" s="111"/>
      <c r="AH101" s="52">
        <f t="shared" si="18"/>
        <v>132.80000000000001</v>
      </c>
      <c r="AI101" s="53">
        <f t="shared" si="19"/>
        <v>127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130.80000000000001</v>
      </c>
      <c r="C102" s="72">
        <v>132.30000000000001</v>
      </c>
      <c r="D102" s="72">
        <v>132.30000000000001</v>
      </c>
      <c r="E102" s="72">
        <v>132.30000000000001</v>
      </c>
      <c r="F102" s="72">
        <v>134.4</v>
      </c>
      <c r="G102" s="72">
        <v>131.30000000000001</v>
      </c>
      <c r="H102" s="72">
        <v>129.4</v>
      </c>
      <c r="I102" s="72">
        <v>128.69999999999999</v>
      </c>
      <c r="J102" s="72">
        <v>127.4</v>
      </c>
      <c r="K102" s="72">
        <v>130.5</v>
      </c>
      <c r="L102" s="72">
        <v>129</v>
      </c>
      <c r="M102" s="72">
        <v>129</v>
      </c>
      <c r="N102" s="72">
        <v>128.6</v>
      </c>
      <c r="O102" s="72">
        <v>127.2</v>
      </c>
      <c r="P102" s="72">
        <v>126</v>
      </c>
      <c r="Q102" s="72">
        <v>128.80000000000001</v>
      </c>
      <c r="R102" s="72">
        <v>127.8</v>
      </c>
      <c r="S102" s="72">
        <v>127.2</v>
      </c>
      <c r="T102" s="72">
        <v>127.9</v>
      </c>
      <c r="U102" s="72">
        <v>129.4</v>
      </c>
      <c r="V102" s="72">
        <v>130.4</v>
      </c>
      <c r="W102" s="72">
        <v>131</v>
      </c>
      <c r="X102" s="72">
        <v>130.4</v>
      </c>
      <c r="Y102" s="72">
        <v>128</v>
      </c>
      <c r="Z102" s="72">
        <v>130.4</v>
      </c>
      <c r="AA102" s="72">
        <v>131.19999999999999</v>
      </c>
      <c r="AB102" s="72">
        <v>132.1</v>
      </c>
      <c r="AC102" s="72">
        <v>130.1</v>
      </c>
      <c r="AD102" s="72">
        <v>130.1</v>
      </c>
      <c r="AE102" s="72">
        <v>131.80000000000001</v>
      </c>
      <c r="AF102" s="72">
        <v>130.19999999999999</v>
      </c>
      <c r="AG102" s="111"/>
      <c r="AH102" s="52">
        <f t="shared" si="18"/>
        <v>134.4</v>
      </c>
      <c r="AI102" s="53">
        <f t="shared" si="19"/>
        <v>126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8"/>
        <v>0</v>
      </c>
      <c r="AI103" s="53">
        <f t="shared" si="19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132.5</v>
      </c>
      <c r="C104" s="113">
        <v>128.30000000000001</v>
      </c>
      <c r="D104" s="113">
        <v>128.30000000000001</v>
      </c>
      <c r="E104" s="113">
        <v>128.30000000000001</v>
      </c>
      <c r="F104" s="113">
        <v>135</v>
      </c>
      <c r="G104" s="113">
        <v>135.30000000000001</v>
      </c>
      <c r="H104" s="113">
        <v>128.9</v>
      </c>
      <c r="I104" s="113">
        <v>135.5</v>
      </c>
      <c r="J104" s="113">
        <v>134</v>
      </c>
      <c r="K104" s="113">
        <v>131.30000000000001</v>
      </c>
      <c r="L104" s="113">
        <v>129.4</v>
      </c>
      <c r="M104" s="113">
        <v>131.1</v>
      </c>
      <c r="N104" s="113">
        <v>130.9</v>
      </c>
      <c r="O104" s="113">
        <v>133.80000000000001</v>
      </c>
      <c r="P104" s="113">
        <v>135.5</v>
      </c>
      <c r="Q104" s="113">
        <v>131.69999999999999</v>
      </c>
      <c r="R104" s="113">
        <v>133.80000000000001</v>
      </c>
      <c r="S104" s="113">
        <v>130.69999999999999</v>
      </c>
      <c r="T104" s="113">
        <v>131.69999999999999</v>
      </c>
      <c r="U104" s="113">
        <v>130.4</v>
      </c>
      <c r="V104" s="113">
        <v>132.9</v>
      </c>
      <c r="W104" s="113">
        <v>133.80000000000001</v>
      </c>
      <c r="X104" s="113">
        <v>136.4</v>
      </c>
      <c r="Y104" s="113">
        <v>134.80000000000001</v>
      </c>
      <c r="Z104" s="113">
        <v>133.80000000000001</v>
      </c>
      <c r="AA104" s="113">
        <v>135.4</v>
      </c>
      <c r="AB104" s="113">
        <v>135</v>
      </c>
      <c r="AC104" s="113">
        <v>131.4</v>
      </c>
      <c r="AD104" s="113">
        <v>131.4</v>
      </c>
      <c r="AE104" s="113">
        <v>132.5</v>
      </c>
      <c r="AF104" s="113">
        <v>131.69999999999999</v>
      </c>
      <c r="AG104" s="114"/>
      <c r="AH104" s="52">
        <f t="shared" si="18"/>
        <v>136.4</v>
      </c>
      <c r="AI104" s="53">
        <f t="shared" si="19"/>
        <v>128.30000000000001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134.80000000000001</v>
      </c>
      <c r="C105" s="72">
        <v>136.5</v>
      </c>
      <c r="D105" s="72">
        <v>136.5</v>
      </c>
      <c r="E105" s="72">
        <v>136.5</v>
      </c>
      <c r="F105" s="72">
        <v>135.69999999999999</v>
      </c>
      <c r="G105" s="72">
        <v>134.19999999999999</v>
      </c>
      <c r="H105" s="72">
        <v>131.6</v>
      </c>
      <c r="I105" s="72">
        <v>128.6</v>
      </c>
      <c r="J105" s="72">
        <v>131.30000000000001</v>
      </c>
      <c r="K105" s="72">
        <v>130.4</v>
      </c>
      <c r="L105" s="72">
        <v>129.30000000000001</v>
      </c>
      <c r="M105" s="72">
        <v>126.9</v>
      </c>
      <c r="N105" s="72">
        <v>132.80000000000001</v>
      </c>
      <c r="O105" s="72">
        <v>127.1</v>
      </c>
      <c r="P105" s="72">
        <v>128.9</v>
      </c>
      <c r="Q105" s="72">
        <v>127.3</v>
      </c>
      <c r="R105" s="72">
        <v>136.4</v>
      </c>
      <c r="S105" s="72">
        <v>124.7</v>
      </c>
      <c r="T105" s="72">
        <v>129.6</v>
      </c>
      <c r="U105" s="72">
        <v>137</v>
      </c>
      <c r="V105" s="72">
        <v>129.30000000000001</v>
      </c>
      <c r="W105" s="72">
        <v>134.1</v>
      </c>
      <c r="X105" s="72">
        <v>136.80000000000001</v>
      </c>
      <c r="Y105" s="72">
        <v>128.80000000000001</v>
      </c>
      <c r="Z105" s="72">
        <v>129.6</v>
      </c>
      <c r="AA105" s="72">
        <v>134.6</v>
      </c>
      <c r="AB105" s="72">
        <v>132</v>
      </c>
      <c r="AC105" s="72">
        <v>132.30000000000001</v>
      </c>
      <c r="AD105" s="72">
        <v>132.30000000000001</v>
      </c>
      <c r="AE105" s="72">
        <v>136.1</v>
      </c>
      <c r="AF105" s="72">
        <v>131.19999999999999</v>
      </c>
      <c r="AG105" s="111"/>
      <c r="AH105" s="52">
        <f t="shared" si="18"/>
        <v>137</v>
      </c>
      <c r="AI105" s="53">
        <f t="shared" si="19"/>
        <v>124.7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66.3</v>
      </c>
      <c r="C106" s="99">
        <v>66.099999999999994</v>
      </c>
      <c r="D106" s="99">
        <v>66.099999999999994</v>
      </c>
      <c r="E106" s="99">
        <v>66.099999999999994</v>
      </c>
      <c r="F106" s="99">
        <v>66</v>
      </c>
      <c r="G106" s="99">
        <v>66.400000000000006</v>
      </c>
      <c r="H106" s="99">
        <v>65</v>
      </c>
      <c r="I106" s="99">
        <v>65.599999999999994</v>
      </c>
      <c r="J106" s="99">
        <v>64.900000000000006</v>
      </c>
      <c r="K106" s="99">
        <v>65</v>
      </c>
      <c r="L106" s="99">
        <v>64</v>
      </c>
      <c r="M106" s="99">
        <v>64.3</v>
      </c>
      <c r="N106" s="99">
        <v>64.8</v>
      </c>
      <c r="O106" s="99">
        <v>63.9</v>
      </c>
      <c r="P106" s="99">
        <v>64.5</v>
      </c>
      <c r="Q106" s="99">
        <v>64</v>
      </c>
      <c r="R106" s="99">
        <v>64.7</v>
      </c>
      <c r="S106" s="99">
        <v>64.3</v>
      </c>
      <c r="T106" s="99">
        <v>63.9</v>
      </c>
      <c r="U106" s="99">
        <v>64.5</v>
      </c>
      <c r="V106" s="99">
        <v>65.400000000000006</v>
      </c>
      <c r="W106" s="99">
        <v>65.400000000000006</v>
      </c>
      <c r="X106" s="99">
        <v>65.099999999999994</v>
      </c>
      <c r="Y106" s="99">
        <v>65.099999999999994</v>
      </c>
      <c r="Z106" s="99">
        <v>65.2</v>
      </c>
      <c r="AA106" s="99">
        <v>65.900000000000006</v>
      </c>
      <c r="AB106" s="99">
        <v>66.5</v>
      </c>
      <c r="AC106" s="99">
        <v>65.5</v>
      </c>
      <c r="AD106" s="99">
        <v>65.5</v>
      </c>
      <c r="AE106" s="99">
        <v>66.400000000000006</v>
      </c>
      <c r="AF106" s="99">
        <v>66.5</v>
      </c>
      <c r="AG106" s="115"/>
      <c r="AH106" s="52">
        <f t="shared" si="18"/>
        <v>66.5</v>
      </c>
      <c r="AI106" s="53">
        <f t="shared" si="19"/>
        <v>63.9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 t="s">
        <v>111</v>
      </c>
      <c r="AA107" s="99"/>
      <c r="AB107" s="99"/>
      <c r="AC107" s="99"/>
      <c r="AD107" s="99"/>
      <c r="AE107" s="99"/>
      <c r="AF107" s="99"/>
      <c r="AG107" s="115"/>
      <c r="AH107" s="52">
        <f t="shared" si="18"/>
        <v>0</v>
      </c>
      <c r="AI107" s="53">
        <f t="shared" si="19"/>
        <v>0</v>
      </c>
    </row>
    <row r="108" spans="1:88" ht="15.75" thickBot="1" x14ac:dyDescent="0.3">
      <c r="A108" s="117" t="s">
        <v>112</v>
      </c>
      <c r="B108" s="118">
        <f t="shared" ref="B108" si="34">SUM(B18,B24,B27:B28,B56,B58:B59,B61,B63,B109:B113,B135,B141,B147,B156,B158,B170,B177,B180:B181,B188,B190,B192,B196:B198,B200:B202,B207,B213:B214,B216:B218,B226,B231)</f>
        <v>116.19999999999997</v>
      </c>
      <c r="C108" s="118">
        <f t="shared" ref="C108:AF108" si="35">SUM(C18,C24,C27:C28,C56,C58:C59,C61,C63,C109:C113,C135,C141,C147,C156,C158,C170,C177,C180:C181,C188,C190,C192,C196:C198,C200:C202,C207,C213:C214,C216:C218,C226,C231)</f>
        <v>109.94</v>
      </c>
      <c r="D108" s="118">
        <f t="shared" si="35"/>
        <v>109.94</v>
      </c>
      <c r="E108" s="118">
        <f t="shared" si="35"/>
        <v>103.93999999999998</v>
      </c>
      <c r="F108" s="118">
        <f t="shared" si="35"/>
        <v>105.73999999999998</v>
      </c>
      <c r="G108" s="118">
        <f t="shared" si="35"/>
        <v>134.84</v>
      </c>
      <c r="H108" s="118">
        <f t="shared" si="35"/>
        <v>170.24</v>
      </c>
      <c r="I108" s="118">
        <f t="shared" si="35"/>
        <v>199.44</v>
      </c>
      <c r="J108" s="118">
        <f t="shared" si="35"/>
        <v>265.74</v>
      </c>
      <c r="K108" s="118">
        <f t="shared" si="35"/>
        <v>283.64000000000004</v>
      </c>
      <c r="L108" s="118">
        <f t="shared" si="35"/>
        <v>304.64</v>
      </c>
      <c r="M108" s="118">
        <f t="shared" si="35"/>
        <v>311.24</v>
      </c>
      <c r="N108" s="118">
        <f t="shared" si="35"/>
        <v>287.74</v>
      </c>
      <c r="O108" s="118">
        <f t="shared" si="35"/>
        <v>279.33999999999997</v>
      </c>
      <c r="P108" s="118">
        <v>42</v>
      </c>
      <c r="Q108" s="118">
        <f t="shared" si="35"/>
        <v>248.40000000000003</v>
      </c>
      <c r="R108" s="118">
        <f t="shared" si="35"/>
        <v>246.89999999999998</v>
      </c>
      <c r="S108" s="118">
        <f t="shared" si="35"/>
        <v>251.8</v>
      </c>
      <c r="T108" s="118">
        <f t="shared" si="35"/>
        <v>227</v>
      </c>
      <c r="U108" s="118">
        <f t="shared" si="35"/>
        <v>223.39999999999998</v>
      </c>
      <c r="V108" s="118">
        <f t="shared" si="35"/>
        <v>246.10000000000002</v>
      </c>
      <c r="W108" s="118">
        <f t="shared" si="35"/>
        <v>279.79999999999995</v>
      </c>
      <c r="X108" s="118">
        <f t="shared" si="35"/>
        <v>284.79999999999995</v>
      </c>
      <c r="Y108" s="118">
        <f t="shared" si="35"/>
        <v>314</v>
      </c>
      <c r="Z108" s="118">
        <v>368.69708333333335</v>
      </c>
      <c r="AA108" s="118">
        <f t="shared" si="35"/>
        <v>311</v>
      </c>
      <c r="AB108" s="118">
        <f t="shared" si="35"/>
        <v>275.89999999999998</v>
      </c>
      <c r="AC108" s="118">
        <f t="shared" si="35"/>
        <v>233.5</v>
      </c>
      <c r="AD108" s="118">
        <f t="shared" si="35"/>
        <v>233.5</v>
      </c>
      <c r="AE108" s="118">
        <f t="shared" si="35"/>
        <v>174.5</v>
      </c>
      <c r="AF108" s="118">
        <f t="shared" si="35"/>
        <v>153.19999999999999</v>
      </c>
      <c r="AG108" s="119"/>
      <c r="AH108" s="52">
        <f t="shared" si="18"/>
        <v>368.69708333333335</v>
      </c>
      <c r="AI108" s="53">
        <f t="shared" si="19"/>
        <v>42</v>
      </c>
    </row>
    <row r="109" spans="1:88" x14ac:dyDescent="0.25">
      <c r="A109" s="107" t="s">
        <v>113</v>
      </c>
      <c r="B109" s="120">
        <v>-15.4</v>
      </c>
      <c r="C109" s="120">
        <v>-28.3</v>
      </c>
      <c r="D109" s="120">
        <v>-28.3</v>
      </c>
      <c r="E109" s="120">
        <v>-25.7</v>
      </c>
      <c r="F109" s="120">
        <v>-27.6</v>
      </c>
      <c r="G109" s="120">
        <v>-15.5</v>
      </c>
      <c r="H109" s="120">
        <v>-20.5</v>
      </c>
      <c r="I109" s="120">
        <v>0.8</v>
      </c>
      <c r="J109" s="120">
        <v>16.2</v>
      </c>
      <c r="K109" s="120">
        <v>14.4</v>
      </c>
      <c r="L109" s="120">
        <v>17.899999999999999</v>
      </c>
      <c r="M109" s="120">
        <v>20.399999999999999</v>
      </c>
      <c r="N109" s="120">
        <v>16.5</v>
      </c>
      <c r="O109" s="120">
        <v>15</v>
      </c>
      <c r="P109" s="120">
        <v>12</v>
      </c>
      <c r="Q109" s="120">
        <v>9.4</v>
      </c>
      <c r="R109" s="120">
        <v>11.8</v>
      </c>
      <c r="S109" s="120">
        <v>13.3</v>
      </c>
      <c r="T109" s="120">
        <v>9.4</v>
      </c>
      <c r="U109" s="120">
        <v>3.6</v>
      </c>
      <c r="V109" s="120">
        <v>6.9</v>
      </c>
      <c r="W109" s="120">
        <v>8.1</v>
      </c>
      <c r="X109" s="120">
        <v>17.3</v>
      </c>
      <c r="Y109" s="120">
        <v>23.2</v>
      </c>
      <c r="Z109" s="120">
        <v>23.7</v>
      </c>
      <c r="AA109" s="120">
        <v>18.5</v>
      </c>
      <c r="AB109" s="120">
        <v>25.7</v>
      </c>
      <c r="AC109" s="120">
        <v>14.7</v>
      </c>
      <c r="AD109" s="120">
        <v>14.7</v>
      </c>
      <c r="AE109" s="120">
        <v>-5.8</v>
      </c>
      <c r="AF109" s="120">
        <v>-14.2</v>
      </c>
      <c r="AG109" s="121">
        <v>75</v>
      </c>
      <c r="AH109" s="52">
        <f t="shared" si="18"/>
        <v>25.7</v>
      </c>
      <c r="AI109" s="53">
        <f t="shared" si="19"/>
        <v>-28.3</v>
      </c>
    </row>
    <row r="110" spans="1:88" x14ac:dyDescent="0.25">
      <c r="A110" s="110" t="s">
        <v>114</v>
      </c>
      <c r="B110" s="122">
        <v>-19.100000000000001</v>
      </c>
      <c r="C110" s="122">
        <v>-35.1</v>
      </c>
      <c r="D110" s="122">
        <v>-35.1</v>
      </c>
      <c r="E110" s="122">
        <v>-32.299999999999997</v>
      </c>
      <c r="F110" s="122">
        <v>-34.700000000000003</v>
      </c>
      <c r="G110" s="122">
        <v>-19.399999999999999</v>
      </c>
      <c r="H110" s="122">
        <v>-27.3</v>
      </c>
      <c r="I110" s="122">
        <v>1.1000000000000001</v>
      </c>
      <c r="J110" s="122">
        <v>17.2</v>
      </c>
      <c r="K110" s="122">
        <v>13.5</v>
      </c>
      <c r="L110" s="122">
        <v>16.5</v>
      </c>
      <c r="M110" s="122">
        <v>19.399999999999999</v>
      </c>
      <c r="N110" s="122">
        <v>15.7</v>
      </c>
      <c r="O110" s="122">
        <v>10.8</v>
      </c>
      <c r="P110" s="122">
        <v>12.1</v>
      </c>
      <c r="Q110" s="122">
        <v>7.4</v>
      </c>
      <c r="R110" s="122">
        <v>12.3</v>
      </c>
      <c r="S110" s="122">
        <v>14.1</v>
      </c>
      <c r="T110" s="122">
        <v>6.6</v>
      </c>
      <c r="U110" s="122">
        <v>2.5</v>
      </c>
      <c r="V110" s="122">
        <v>4.0999999999999996</v>
      </c>
      <c r="W110" s="122">
        <v>4.5999999999999996</v>
      </c>
      <c r="X110" s="122">
        <v>19.100000000000001</v>
      </c>
      <c r="Y110" s="122">
        <v>26.5</v>
      </c>
      <c r="Z110" s="122">
        <v>25.2</v>
      </c>
      <c r="AA110" s="122">
        <v>18.899999999999999</v>
      </c>
      <c r="AB110" s="122">
        <v>31.7</v>
      </c>
      <c r="AC110" s="122">
        <v>17.2</v>
      </c>
      <c r="AD110" s="122">
        <v>17.2</v>
      </c>
      <c r="AE110" s="122">
        <v>-10</v>
      </c>
      <c r="AF110" s="122">
        <v>-16</v>
      </c>
      <c r="AG110" s="121">
        <v>240</v>
      </c>
      <c r="AH110" s="52">
        <f t="shared" si="18"/>
        <v>31.7</v>
      </c>
      <c r="AI110" s="53">
        <f t="shared" si="19"/>
        <v>-35.1</v>
      </c>
    </row>
    <row r="111" spans="1:88" x14ac:dyDescent="0.25">
      <c r="A111" s="110" t="s">
        <v>115</v>
      </c>
      <c r="B111" s="122">
        <v>-16.8</v>
      </c>
      <c r="C111" s="122">
        <v>-8.3000000000000007</v>
      </c>
      <c r="D111" s="122">
        <v>-8.3000000000000007</v>
      </c>
      <c r="E111" s="122">
        <v>-13.5</v>
      </c>
      <c r="F111" s="122">
        <v>-9.1</v>
      </c>
      <c r="G111" s="122">
        <v>-8.4</v>
      </c>
      <c r="H111" s="122">
        <v>11.5</v>
      </c>
      <c r="I111" s="122">
        <v>7.4</v>
      </c>
      <c r="J111" s="122">
        <v>23</v>
      </c>
      <c r="K111" s="122">
        <v>30</v>
      </c>
      <c r="L111" s="122">
        <v>54.2</v>
      </c>
      <c r="M111" s="122">
        <v>53</v>
      </c>
      <c r="N111" s="122">
        <v>42.3</v>
      </c>
      <c r="O111" s="122">
        <v>30.6</v>
      </c>
      <c r="P111" s="122">
        <v>24</v>
      </c>
      <c r="Q111" s="122">
        <v>19</v>
      </c>
      <c r="R111" s="122">
        <v>12</v>
      </c>
      <c r="S111" s="122">
        <v>16</v>
      </c>
      <c r="T111" s="122">
        <f>0.7+10.3</f>
        <v>11</v>
      </c>
      <c r="U111" s="122">
        <f>2.8+14.5</f>
        <v>17.3</v>
      </c>
      <c r="V111" s="122">
        <f>-0.6+16.8</f>
        <v>16.2</v>
      </c>
      <c r="W111" s="122">
        <f>18.8+19.5</f>
        <v>38.299999999999997</v>
      </c>
      <c r="X111" s="122">
        <f>9.7+19.9</f>
        <v>29.599999999999998</v>
      </c>
      <c r="Y111" s="122">
        <f>-2.5+23.2</f>
        <v>20.7</v>
      </c>
      <c r="Z111" s="122">
        <f>2.8+26.6</f>
        <v>29.400000000000002</v>
      </c>
      <c r="AA111" s="122">
        <f>5.7+24.4</f>
        <v>30.099999999999998</v>
      </c>
      <c r="AB111" s="122">
        <v>9</v>
      </c>
      <c r="AC111" s="122">
        <v>-7</v>
      </c>
      <c r="AD111" s="122">
        <v>-7</v>
      </c>
      <c r="AE111" s="122">
        <v>-20</v>
      </c>
      <c r="AF111" s="122">
        <v>-14</v>
      </c>
      <c r="AG111" s="121">
        <v>240</v>
      </c>
      <c r="AH111" s="52">
        <f t="shared" si="18"/>
        <v>54.2</v>
      </c>
      <c r="AI111" s="53">
        <f t="shared" si="19"/>
        <v>-20</v>
      </c>
    </row>
    <row r="112" spans="1:88" x14ac:dyDescent="0.25">
      <c r="A112" s="110" t="s">
        <v>116</v>
      </c>
      <c r="B112" s="122">
        <v>-4.5</v>
      </c>
      <c r="C112" s="122">
        <v>-3.7</v>
      </c>
      <c r="D112" s="122">
        <v>-3.7</v>
      </c>
      <c r="E112" s="122">
        <v>-5.5</v>
      </c>
      <c r="F112" s="122">
        <v>-3.1</v>
      </c>
      <c r="G112" s="122">
        <v>1</v>
      </c>
      <c r="H112" s="122">
        <v>0.5</v>
      </c>
      <c r="I112" s="122">
        <v>3.7</v>
      </c>
      <c r="J112" s="122">
        <v>11.1</v>
      </c>
      <c r="K112" s="122">
        <v>14.3</v>
      </c>
      <c r="L112" s="122">
        <v>21</v>
      </c>
      <c r="M112" s="122">
        <v>22</v>
      </c>
      <c r="N112" s="122">
        <v>18.899999999999999</v>
      </c>
      <c r="O112" s="122">
        <v>12.5</v>
      </c>
      <c r="P112" s="122">
        <v>11.2</v>
      </c>
      <c r="Q112" s="122">
        <v>8.8000000000000007</v>
      </c>
      <c r="R112" s="122">
        <v>7</v>
      </c>
      <c r="S112" s="122">
        <v>7</v>
      </c>
      <c r="T112" s="122">
        <v>7.9</v>
      </c>
      <c r="U112" s="122">
        <v>7.9</v>
      </c>
      <c r="V112" s="122">
        <v>24.9</v>
      </c>
      <c r="W112" s="122">
        <v>22.3</v>
      </c>
      <c r="X112" s="122">
        <v>21.1</v>
      </c>
      <c r="Y112" s="122">
        <v>52.7</v>
      </c>
      <c r="Z112" s="122">
        <v>48.2</v>
      </c>
      <c r="AA112" s="122">
        <v>40</v>
      </c>
      <c r="AB112" s="122">
        <v>36</v>
      </c>
      <c r="AC112" s="122">
        <v>28.3</v>
      </c>
      <c r="AD112" s="122">
        <v>28.3</v>
      </c>
      <c r="AE112" s="122">
        <v>23</v>
      </c>
      <c r="AF112" s="122">
        <v>20</v>
      </c>
      <c r="AG112" s="121">
        <v>60</v>
      </c>
      <c r="AH112" s="52">
        <f t="shared" si="18"/>
        <v>52.7</v>
      </c>
      <c r="AI112" s="53">
        <f t="shared" si="19"/>
        <v>-5.5</v>
      </c>
    </row>
    <row r="113" spans="1:37" x14ac:dyDescent="0.25">
      <c r="A113" s="123" t="s">
        <v>117</v>
      </c>
      <c r="B113" s="124">
        <v>82.3</v>
      </c>
      <c r="C113" s="124">
        <v>94.7</v>
      </c>
      <c r="D113" s="124">
        <v>94.7</v>
      </c>
      <c r="E113" s="124">
        <v>90.3</v>
      </c>
      <c r="F113" s="124">
        <v>91.6</v>
      </c>
      <c r="G113" s="124">
        <v>88.4</v>
      </c>
      <c r="H113" s="124">
        <v>117</v>
      </c>
      <c r="I113" s="124">
        <v>98.4</v>
      </c>
      <c r="J113" s="124">
        <v>109.4</v>
      </c>
      <c r="K113" s="124">
        <v>117.1</v>
      </c>
      <c r="L113" s="124">
        <v>101</v>
      </c>
      <c r="M113" s="124">
        <v>98.4</v>
      </c>
      <c r="N113" s="124">
        <v>93.6</v>
      </c>
      <c r="O113" s="124">
        <v>109.7</v>
      </c>
      <c r="P113" s="124">
        <v>108</v>
      </c>
      <c r="Q113" s="124">
        <v>104</v>
      </c>
      <c r="R113" s="124">
        <v>104</v>
      </c>
      <c r="S113" s="124">
        <v>103.3</v>
      </c>
      <c r="T113" s="124">
        <v>94</v>
      </c>
      <c r="U113" s="124">
        <v>94</v>
      </c>
      <c r="V113" s="124">
        <v>97.7</v>
      </c>
      <c r="W113" s="124">
        <v>108.4</v>
      </c>
      <c r="X113" s="124">
        <v>99.6</v>
      </c>
      <c r="Y113" s="124">
        <v>98.8</v>
      </c>
      <c r="Z113" s="124">
        <v>111.8</v>
      </c>
      <c r="AA113" s="124">
        <v>111.4</v>
      </c>
      <c r="AB113" s="124">
        <v>81.400000000000006</v>
      </c>
      <c r="AC113" s="124">
        <v>88.2</v>
      </c>
      <c r="AD113" s="124">
        <v>88.2</v>
      </c>
      <c r="AE113" s="124">
        <v>95.2</v>
      </c>
      <c r="AF113" s="124">
        <v>85.3</v>
      </c>
      <c r="AG113" s="125">
        <v>120</v>
      </c>
      <c r="AH113" s="52">
        <f t="shared" si="18"/>
        <v>117.1</v>
      </c>
      <c r="AI113" s="53">
        <f t="shared" si="19"/>
        <v>81.400000000000006</v>
      </c>
    </row>
    <row r="114" spans="1:37" x14ac:dyDescent="0.25">
      <c r="A114" s="123" t="s">
        <v>118</v>
      </c>
      <c r="B114" s="124">
        <v>71.599999999999994</v>
      </c>
      <c r="C114" s="124">
        <v>83.7</v>
      </c>
      <c r="D114" s="124">
        <v>83.7</v>
      </c>
      <c r="E114" s="124">
        <v>77.400000000000006</v>
      </c>
      <c r="F114" s="124">
        <v>78.7</v>
      </c>
      <c r="G114" s="124">
        <v>75.099999999999994</v>
      </c>
      <c r="H114" s="124">
        <v>93.2</v>
      </c>
      <c r="I114" s="124">
        <v>76</v>
      </c>
      <c r="J114" s="124">
        <v>76.5</v>
      </c>
      <c r="K114" s="124">
        <v>86</v>
      </c>
      <c r="L114" s="124">
        <v>102</v>
      </c>
      <c r="M114" s="124">
        <v>101</v>
      </c>
      <c r="N114" s="124">
        <v>94.4</v>
      </c>
      <c r="O114" s="124">
        <v>89.9</v>
      </c>
      <c r="P114" s="124">
        <v>90</v>
      </c>
      <c r="Q114" s="124">
        <v>90</v>
      </c>
      <c r="R114" s="124">
        <v>85</v>
      </c>
      <c r="S114" s="124">
        <v>87</v>
      </c>
      <c r="T114" s="124">
        <v>93.3</v>
      </c>
      <c r="U114" s="124">
        <v>93.3</v>
      </c>
      <c r="V114" s="124">
        <v>79.5</v>
      </c>
      <c r="W114" s="124">
        <v>85.2</v>
      </c>
      <c r="X114" s="124">
        <v>77.099999999999994</v>
      </c>
      <c r="Y114" s="124">
        <v>68.5</v>
      </c>
      <c r="Z114" s="124">
        <v>77.2</v>
      </c>
      <c r="AA114" s="124">
        <v>76.8</v>
      </c>
      <c r="AB114" s="124">
        <v>52.5</v>
      </c>
      <c r="AC114" s="124">
        <v>77.099999999999994</v>
      </c>
      <c r="AD114" s="124">
        <v>77.099999999999994</v>
      </c>
      <c r="AE114" s="124">
        <v>95.2</v>
      </c>
      <c r="AF114" s="124">
        <v>87</v>
      </c>
      <c r="AG114" s="125"/>
      <c r="AH114" s="52">
        <f t="shared" si="18"/>
        <v>102</v>
      </c>
      <c r="AI114" s="53">
        <f t="shared" si="19"/>
        <v>52.5</v>
      </c>
    </row>
    <row r="115" spans="1:37" x14ac:dyDescent="0.25">
      <c r="A115" s="123" t="s">
        <v>119</v>
      </c>
      <c r="B115" s="124">
        <v>52.8</v>
      </c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>
        <v>19</v>
      </c>
      <c r="N115" s="124"/>
      <c r="O115" s="124"/>
      <c r="P115" s="124">
        <v>16</v>
      </c>
      <c r="Q115" s="124"/>
      <c r="R115" s="124">
        <v>19</v>
      </c>
      <c r="S115" s="124">
        <v>16.7</v>
      </c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>
        <v>13.5</v>
      </c>
      <c r="AD115" s="124">
        <v>13.5</v>
      </c>
      <c r="AE115" s="124">
        <v>42.9</v>
      </c>
      <c r="AF115" s="124"/>
      <c r="AG115" s="126"/>
      <c r="AH115" s="52">
        <f t="shared" si="18"/>
        <v>52.8</v>
      </c>
      <c r="AI115" s="53">
        <f t="shared" si="19"/>
        <v>13.5</v>
      </c>
    </row>
    <row r="116" spans="1:37" x14ac:dyDescent="0.25">
      <c r="A116" s="127" t="s">
        <v>120</v>
      </c>
      <c r="B116" s="113">
        <v>35.299999999999997</v>
      </c>
      <c r="C116" s="113">
        <v>40.299999999999997</v>
      </c>
      <c r="D116" s="113">
        <v>40.299999999999997</v>
      </c>
      <c r="E116" s="113">
        <v>44.9</v>
      </c>
      <c r="F116" s="113">
        <v>43.4</v>
      </c>
      <c r="G116" s="113">
        <v>36.4</v>
      </c>
      <c r="H116" s="113">
        <v>26.1</v>
      </c>
      <c r="I116" s="113">
        <v>13</v>
      </c>
      <c r="J116" s="113">
        <v>-8.6</v>
      </c>
      <c r="K116" s="113">
        <v>-9.4</v>
      </c>
      <c r="L116" s="113">
        <v>-16.8</v>
      </c>
      <c r="M116" s="113">
        <v>-21</v>
      </c>
      <c r="N116" s="113">
        <v>-15.7</v>
      </c>
      <c r="O116" s="113">
        <v>-11.3</v>
      </c>
      <c r="P116" s="113">
        <v>5.5</v>
      </c>
      <c r="Q116" s="113">
        <v>6.5</v>
      </c>
      <c r="R116" s="113">
        <v>2.2999999999999998</v>
      </c>
      <c r="S116" s="113">
        <v>-9.5</v>
      </c>
      <c r="T116" s="113">
        <v>-1.5</v>
      </c>
      <c r="U116" s="113">
        <v>-1.5</v>
      </c>
      <c r="V116" s="113">
        <v>-23</v>
      </c>
      <c r="W116" s="113">
        <v>-16</v>
      </c>
      <c r="X116" s="113">
        <v>-48.2</v>
      </c>
      <c r="Y116" s="113">
        <v>-50.7</v>
      </c>
      <c r="Z116" s="113">
        <v>-45.1</v>
      </c>
      <c r="AA116" s="113">
        <v>-38.200000000000003</v>
      </c>
      <c r="AB116" s="113">
        <v>-11.8</v>
      </c>
      <c r="AC116" s="113">
        <v>12.5</v>
      </c>
      <c r="AD116" s="113">
        <v>12.5</v>
      </c>
      <c r="AE116" s="113">
        <v>39</v>
      </c>
      <c r="AF116" s="113">
        <v>43.3</v>
      </c>
      <c r="AG116" s="126"/>
      <c r="AH116" s="52">
        <f t="shared" si="18"/>
        <v>44.9</v>
      </c>
      <c r="AI116" s="53">
        <f t="shared" si="19"/>
        <v>-50.7</v>
      </c>
    </row>
    <row r="117" spans="1:37" ht="15.75" thickBot="1" x14ac:dyDescent="0.3">
      <c r="A117" s="127" t="s">
        <v>121</v>
      </c>
      <c r="B117" s="113">
        <v>58.6</v>
      </c>
      <c r="C117" s="113">
        <v>51.9</v>
      </c>
      <c r="D117" s="113">
        <v>51.9</v>
      </c>
      <c r="E117" s="113">
        <v>51.1</v>
      </c>
      <c r="F117" s="113">
        <v>47.7</v>
      </c>
      <c r="G117" s="113">
        <v>49.9</v>
      </c>
      <c r="H117" s="113">
        <v>54.3</v>
      </c>
      <c r="I117" s="113">
        <v>57</v>
      </c>
      <c r="J117" s="113">
        <v>65.36</v>
      </c>
      <c r="K117" s="113">
        <v>70</v>
      </c>
      <c r="L117" s="113">
        <v>70</v>
      </c>
      <c r="M117" s="113">
        <v>71</v>
      </c>
      <c r="N117" s="113">
        <v>69.2</v>
      </c>
      <c r="O117" s="113">
        <v>70.8</v>
      </c>
      <c r="P117" s="113">
        <v>75</v>
      </c>
      <c r="Q117" s="113">
        <v>77</v>
      </c>
      <c r="R117" s="113">
        <v>87</v>
      </c>
      <c r="S117" s="113">
        <v>89.2</v>
      </c>
      <c r="T117" s="113">
        <v>89.4</v>
      </c>
      <c r="U117" s="113">
        <v>-18.5</v>
      </c>
      <c r="V117" s="113">
        <v>67.7</v>
      </c>
      <c r="W117" s="113">
        <v>60.4</v>
      </c>
      <c r="X117" s="113">
        <v>69.3</v>
      </c>
      <c r="Y117" s="113">
        <v>85.3</v>
      </c>
      <c r="Z117" s="113">
        <v>79.3</v>
      </c>
      <c r="AA117" s="113">
        <v>80.7</v>
      </c>
      <c r="AB117" s="113">
        <v>89.8</v>
      </c>
      <c r="AC117" s="113">
        <v>73.099999999999994</v>
      </c>
      <c r="AD117" s="113">
        <v>73.099999999999994</v>
      </c>
      <c r="AE117" s="113">
        <v>51.7</v>
      </c>
      <c r="AF117" s="113">
        <v>53.2</v>
      </c>
      <c r="AG117" s="126"/>
      <c r="AH117" s="52">
        <f t="shared" si="18"/>
        <v>89.8</v>
      </c>
      <c r="AI117" s="53">
        <f t="shared" si="19"/>
        <v>-18.5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36">SUM(B119:B223)</f>
        <v>0</v>
      </c>
      <c r="C224" s="144">
        <f t="shared" si="36"/>
        <v>0</v>
      </c>
      <c r="D224" s="144">
        <f t="shared" si="36"/>
        <v>0</v>
      </c>
      <c r="E224" s="144">
        <f t="shared" si="36"/>
        <v>0</v>
      </c>
      <c r="F224" s="144">
        <f t="shared" si="36"/>
        <v>0</v>
      </c>
      <c r="G224" s="144">
        <f t="shared" si="36"/>
        <v>0</v>
      </c>
      <c r="H224" s="144">
        <f t="shared" si="36"/>
        <v>0</v>
      </c>
      <c r="I224" s="144">
        <f t="shared" si="36"/>
        <v>0</v>
      </c>
      <c r="J224" s="144">
        <f t="shared" si="36"/>
        <v>0</v>
      </c>
      <c r="K224" s="144">
        <f t="shared" si="36"/>
        <v>0</v>
      </c>
      <c r="L224" s="144">
        <f t="shared" si="36"/>
        <v>0</v>
      </c>
      <c r="M224" s="144">
        <f t="shared" si="36"/>
        <v>0</v>
      </c>
      <c r="N224" s="144">
        <f t="shared" si="36"/>
        <v>0</v>
      </c>
      <c r="O224" s="144">
        <f t="shared" si="36"/>
        <v>0</v>
      </c>
      <c r="P224" s="144">
        <f t="shared" si="36"/>
        <v>0</v>
      </c>
      <c r="Q224" s="144">
        <f t="shared" si="36"/>
        <v>0</v>
      </c>
      <c r="R224" s="144">
        <f t="shared" si="36"/>
        <v>0</v>
      </c>
      <c r="S224" s="144">
        <f t="shared" si="36"/>
        <v>0</v>
      </c>
      <c r="T224" s="144">
        <f t="shared" si="36"/>
        <v>0</v>
      </c>
      <c r="U224" s="144">
        <f t="shared" si="36"/>
        <v>0</v>
      </c>
      <c r="V224" s="144">
        <f t="shared" si="36"/>
        <v>0</v>
      </c>
      <c r="W224" s="144">
        <f t="shared" si="36"/>
        <v>0</v>
      </c>
      <c r="X224" s="144">
        <f t="shared" si="36"/>
        <v>0</v>
      </c>
      <c r="Y224" s="144">
        <f t="shared" si="36"/>
        <v>0</v>
      </c>
      <c r="Z224" s="144">
        <f t="shared" si="36"/>
        <v>0</v>
      </c>
      <c r="AA224" s="144">
        <f t="shared" si="36"/>
        <v>0</v>
      </c>
      <c r="AB224" s="144">
        <f t="shared" si="36"/>
        <v>0</v>
      </c>
      <c r="AC224" s="144">
        <f t="shared" si="36"/>
        <v>0</v>
      </c>
      <c r="AD224" s="144">
        <f t="shared" si="36"/>
        <v>0</v>
      </c>
      <c r="AE224" s="144">
        <f t="shared" si="36"/>
        <v>0</v>
      </c>
      <c r="AF224" s="145">
        <f t="shared" si="36"/>
        <v>0</v>
      </c>
      <c r="AG224" s="146">
        <f t="shared" si="36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37">AF226</f>
        <v>0</v>
      </c>
      <c r="C226" s="149">
        <v>0.3</v>
      </c>
      <c r="D226" s="149">
        <f t="shared" ref="D226:P231" si="38">C226</f>
        <v>0.3</v>
      </c>
      <c r="E226" s="149">
        <f t="shared" si="38"/>
        <v>0.3</v>
      </c>
      <c r="F226" s="149">
        <f t="shared" si="38"/>
        <v>0.3</v>
      </c>
      <c r="G226" s="149">
        <f t="shared" si="38"/>
        <v>0.3</v>
      </c>
      <c r="H226" s="149">
        <f t="shared" si="38"/>
        <v>0.3</v>
      </c>
      <c r="I226" s="149">
        <f t="shared" si="38"/>
        <v>0.3</v>
      </c>
      <c r="J226" s="149">
        <f t="shared" si="38"/>
        <v>0.3</v>
      </c>
      <c r="K226" s="149">
        <f t="shared" si="38"/>
        <v>0.3</v>
      </c>
      <c r="L226" s="149">
        <f t="shared" si="38"/>
        <v>0.3</v>
      </c>
      <c r="M226" s="149">
        <f t="shared" si="38"/>
        <v>0.3</v>
      </c>
      <c r="N226" s="149">
        <f t="shared" si="38"/>
        <v>0.3</v>
      </c>
      <c r="O226" s="149">
        <f t="shared" si="38"/>
        <v>0.3</v>
      </c>
      <c r="P226" s="149">
        <f t="shared" si="38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37"/>
        <v>0</v>
      </c>
      <c r="C227" s="136">
        <v>0.4</v>
      </c>
      <c r="D227" s="136">
        <f t="shared" si="38"/>
        <v>0.4</v>
      </c>
      <c r="E227" s="136">
        <f t="shared" si="38"/>
        <v>0.4</v>
      </c>
      <c r="F227" s="136">
        <f t="shared" si="38"/>
        <v>0.4</v>
      </c>
      <c r="G227" s="136">
        <f t="shared" si="38"/>
        <v>0.4</v>
      </c>
      <c r="H227" s="136">
        <f t="shared" si="38"/>
        <v>0.4</v>
      </c>
      <c r="I227" s="136">
        <f t="shared" si="38"/>
        <v>0.4</v>
      </c>
      <c r="J227" s="136">
        <f t="shared" si="38"/>
        <v>0.4</v>
      </c>
      <c r="K227" s="136">
        <f t="shared" si="38"/>
        <v>0.4</v>
      </c>
      <c r="L227" s="136">
        <f t="shared" si="38"/>
        <v>0.4</v>
      </c>
      <c r="M227" s="136">
        <f t="shared" si="38"/>
        <v>0.4</v>
      </c>
      <c r="N227" s="136">
        <f t="shared" si="38"/>
        <v>0.4</v>
      </c>
      <c r="O227" s="136">
        <f t="shared" si="38"/>
        <v>0.4</v>
      </c>
      <c r="P227" s="136">
        <f t="shared" si="38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37"/>
        <v>0</v>
      </c>
      <c r="C228" s="136">
        <v>1.5</v>
      </c>
      <c r="D228" s="136">
        <f t="shared" si="38"/>
        <v>1.5</v>
      </c>
      <c r="E228" s="136">
        <f t="shared" si="38"/>
        <v>1.5</v>
      </c>
      <c r="F228" s="136">
        <f t="shared" si="38"/>
        <v>1.5</v>
      </c>
      <c r="G228" s="136">
        <f t="shared" si="38"/>
        <v>1.5</v>
      </c>
      <c r="H228" s="136">
        <f t="shared" si="38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8"/>
        <v>1.5</v>
      </c>
      <c r="K228" s="136">
        <f t="shared" ca="1" si="38"/>
        <v>1.5</v>
      </c>
      <c r="L228" s="136">
        <f t="shared" ca="1" si="38"/>
        <v>1.5</v>
      </c>
      <c r="M228" s="136">
        <f t="shared" ca="1" si="38"/>
        <v>1.5</v>
      </c>
      <c r="N228" s="136">
        <f t="shared" ca="1" si="38"/>
        <v>1.5</v>
      </c>
      <c r="O228" s="136">
        <f t="shared" ca="1" si="38"/>
        <v>1.5</v>
      </c>
      <c r="P228" s="136">
        <f t="shared" ca="1" si="38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37"/>
        <v>0</v>
      </c>
      <c r="C229" s="136">
        <v>0.3</v>
      </c>
      <c r="D229" s="136">
        <f t="shared" si="38"/>
        <v>0.3</v>
      </c>
      <c r="E229" s="136">
        <f t="shared" si="38"/>
        <v>0.3</v>
      </c>
      <c r="F229" s="136">
        <f t="shared" si="38"/>
        <v>0.3</v>
      </c>
      <c r="G229" s="136">
        <f t="shared" si="38"/>
        <v>0.3</v>
      </c>
      <c r="H229" s="136">
        <f t="shared" si="38"/>
        <v>0.3</v>
      </c>
      <c r="I229" s="136">
        <f t="shared" si="38"/>
        <v>0.3</v>
      </c>
      <c r="J229" s="136">
        <f t="shared" si="38"/>
        <v>0.3</v>
      </c>
      <c r="K229" s="136">
        <f t="shared" si="38"/>
        <v>0.3</v>
      </c>
      <c r="L229" s="136">
        <f t="shared" si="38"/>
        <v>0.3</v>
      </c>
      <c r="M229" s="136">
        <f t="shared" si="38"/>
        <v>0.3</v>
      </c>
      <c r="N229" s="136">
        <f t="shared" si="38"/>
        <v>0.3</v>
      </c>
      <c r="O229" s="136">
        <f t="shared" si="38"/>
        <v>0.3</v>
      </c>
      <c r="P229" s="136">
        <f t="shared" si="38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37"/>
        <v>0</v>
      </c>
      <c r="C230" s="136">
        <v>0.4</v>
      </c>
      <c r="D230" s="136">
        <f t="shared" si="38"/>
        <v>0.4</v>
      </c>
      <c r="E230" s="136">
        <f t="shared" si="38"/>
        <v>0.4</v>
      </c>
      <c r="F230" s="136">
        <f t="shared" si="38"/>
        <v>0.4</v>
      </c>
      <c r="G230" s="136">
        <f t="shared" si="38"/>
        <v>0.4</v>
      </c>
      <c r="H230" s="136">
        <f t="shared" si="38"/>
        <v>0.4</v>
      </c>
      <c r="I230" s="136">
        <f t="shared" si="38"/>
        <v>0.4</v>
      </c>
      <c r="J230" s="136">
        <f t="shared" si="38"/>
        <v>0.4</v>
      </c>
      <c r="K230" s="136">
        <f t="shared" si="38"/>
        <v>0.4</v>
      </c>
      <c r="L230" s="136">
        <f t="shared" si="38"/>
        <v>0.4</v>
      </c>
      <c r="M230" s="136">
        <f t="shared" si="38"/>
        <v>0.4</v>
      </c>
      <c r="N230" s="136">
        <f t="shared" si="38"/>
        <v>0.4</v>
      </c>
      <c r="O230" s="136">
        <f t="shared" si="38"/>
        <v>0.4</v>
      </c>
      <c r="P230" s="136">
        <f t="shared" si="38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37"/>
        <v>0</v>
      </c>
      <c r="C231" s="140">
        <v>0.64</v>
      </c>
      <c r="D231" s="140">
        <f t="shared" si="38"/>
        <v>0.64</v>
      </c>
      <c r="E231" s="140">
        <f t="shared" si="38"/>
        <v>0.64</v>
      </c>
      <c r="F231" s="140">
        <f t="shared" si="38"/>
        <v>0.64</v>
      </c>
      <c r="G231" s="140">
        <f t="shared" si="38"/>
        <v>0.64</v>
      </c>
      <c r="H231" s="140">
        <f t="shared" si="38"/>
        <v>0.64</v>
      </c>
      <c r="I231" s="140">
        <f t="shared" si="38"/>
        <v>0.64</v>
      </c>
      <c r="J231" s="140">
        <f t="shared" si="38"/>
        <v>0.64</v>
      </c>
      <c r="K231" s="140">
        <f t="shared" si="38"/>
        <v>0.64</v>
      </c>
      <c r="L231" s="140">
        <f t="shared" si="38"/>
        <v>0.64</v>
      </c>
      <c r="M231" s="140">
        <f t="shared" si="38"/>
        <v>0.64</v>
      </c>
      <c r="N231" s="140">
        <f t="shared" si="38"/>
        <v>0.64</v>
      </c>
      <c r="O231" s="140">
        <f t="shared" si="38"/>
        <v>0.64</v>
      </c>
      <c r="P231" s="140">
        <f t="shared" si="38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39">SUM(B226:B231)</f>
        <v>0</v>
      </c>
      <c r="C232" s="144">
        <f t="shared" si="39"/>
        <v>3.54</v>
      </c>
      <c r="D232" s="144">
        <f t="shared" si="39"/>
        <v>3.54</v>
      </c>
      <c r="E232" s="144">
        <f t="shared" si="39"/>
        <v>3.54</v>
      </c>
      <c r="F232" s="144">
        <f t="shared" si="39"/>
        <v>3.54</v>
      </c>
      <c r="G232" s="144">
        <f t="shared" si="39"/>
        <v>3.54</v>
      </c>
      <c r="H232" s="144">
        <f t="shared" si="39"/>
        <v>3.54</v>
      </c>
      <c r="I232" s="144">
        <f t="shared" ca="1" si="39"/>
        <v>3.54</v>
      </c>
      <c r="J232" s="144">
        <f t="shared" ca="1" si="39"/>
        <v>3.54</v>
      </c>
      <c r="K232" s="144">
        <f t="shared" ca="1" si="39"/>
        <v>3.54</v>
      </c>
      <c r="L232" s="144">
        <f t="shared" ca="1" si="39"/>
        <v>3.54</v>
      </c>
      <c r="M232" s="144">
        <f t="shared" ca="1" si="39"/>
        <v>3.54</v>
      </c>
      <c r="N232" s="144">
        <f t="shared" ca="1" si="39"/>
        <v>3.54</v>
      </c>
      <c r="O232" s="144">
        <f t="shared" ca="1" si="39"/>
        <v>3.54</v>
      </c>
      <c r="P232" s="144">
        <f t="shared" ca="1" si="39"/>
        <v>3.54</v>
      </c>
      <c r="Q232" s="144">
        <f t="shared" si="39"/>
        <v>0</v>
      </c>
      <c r="R232" s="144">
        <f t="shared" si="39"/>
        <v>0</v>
      </c>
      <c r="S232" s="144">
        <f t="shared" si="39"/>
        <v>0</v>
      </c>
      <c r="T232" s="144">
        <f t="shared" si="39"/>
        <v>0</v>
      </c>
      <c r="U232" s="144">
        <f t="shared" si="39"/>
        <v>0</v>
      </c>
      <c r="V232" s="144">
        <f t="shared" si="39"/>
        <v>0</v>
      </c>
      <c r="W232" s="144">
        <f t="shared" si="39"/>
        <v>0</v>
      </c>
      <c r="X232" s="144">
        <f t="shared" si="39"/>
        <v>0</v>
      </c>
      <c r="Y232" s="144">
        <f t="shared" si="39"/>
        <v>0</v>
      </c>
      <c r="Z232" s="144">
        <f t="shared" si="39"/>
        <v>0</v>
      </c>
      <c r="AA232" s="144">
        <f t="shared" si="39"/>
        <v>0</v>
      </c>
      <c r="AB232" s="144">
        <f t="shared" si="39"/>
        <v>0</v>
      </c>
      <c r="AC232" s="144">
        <f t="shared" si="39"/>
        <v>0</v>
      </c>
      <c r="AD232" s="144">
        <f t="shared" si="39"/>
        <v>0</v>
      </c>
      <c r="AE232" s="144">
        <f t="shared" si="39"/>
        <v>0</v>
      </c>
      <c r="AF232" s="144">
        <f t="shared" si="39"/>
        <v>0</v>
      </c>
      <c r="AG232" s="154">
        <f t="shared" si="39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1426.6399999999999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10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2079/12/10)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2079/12/10)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40">B89</f>
        <v>1044.94</v>
      </c>
      <c r="U246" s="180">
        <f t="shared" si="40"/>
        <v>997.6400000000001</v>
      </c>
      <c r="V246" s="180">
        <f t="shared" si="40"/>
        <v>990.44</v>
      </c>
      <c r="W246" s="180">
        <f t="shared" si="40"/>
        <v>976.44</v>
      </c>
      <c r="X246" s="180">
        <f t="shared" si="40"/>
        <v>973.84000000000015</v>
      </c>
      <c r="Y246" s="180">
        <f t="shared" si="40"/>
        <v>1025.3</v>
      </c>
      <c r="Z246" s="180">
        <f t="shared" si="40"/>
        <v>1109.6399999999999</v>
      </c>
      <c r="AA246" s="180">
        <f t="shared" si="40"/>
        <v>1128.3400000000001</v>
      </c>
      <c r="AB246" s="180">
        <f t="shared" si="40"/>
        <v>1202.94</v>
      </c>
      <c r="AC246" s="180">
        <f t="shared" si="40"/>
        <v>1241.94</v>
      </c>
      <c r="AD246" s="180">
        <f t="shared" si="40"/>
        <v>1381.6399999999999</v>
      </c>
      <c r="AE246" s="180">
        <f t="shared" si="40"/>
        <v>1426.6399999999999</v>
      </c>
      <c r="AF246" s="180">
        <f t="shared" si="40"/>
        <v>1379.44</v>
      </c>
      <c r="AG246" s="180">
        <f t="shared" si="40"/>
        <v>1323.3400000000001</v>
      </c>
      <c r="AH246" s="180">
        <f t="shared" si="40"/>
        <v>1252.1399999999999</v>
      </c>
      <c r="AI246" s="180">
        <f t="shared" si="40"/>
        <v>1299.3400000000001</v>
      </c>
      <c r="AJ246" s="180">
        <f t="shared" si="40"/>
        <v>1268.1399999999999</v>
      </c>
      <c r="AK246" s="180">
        <f t="shared" si="40"/>
        <v>1255.7399999999998</v>
      </c>
      <c r="AL246" s="180">
        <f t="shared" si="40"/>
        <v>1303.2399999999998</v>
      </c>
      <c r="AM246" s="180">
        <f t="shared" si="40"/>
        <v>1334.1399999999999</v>
      </c>
      <c r="AN246" s="180">
        <f t="shared" si="40"/>
        <v>1254.94</v>
      </c>
      <c r="AO246" s="180">
        <f t="shared" si="40"/>
        <v>1202.3400000000001</v>
      </c>
      <c r="AP246" s="180">
        <f t="shared" si="40"/>
        <v>1353.04</v>
      </c>
      <c r="AQ246" s="180">
        <f t="shared" si="40"/>
        <v>1488.8400000000001</v>
      </c>
      <c r="AR246" s="180">
        <f t="shared" si="40"/>
        <v>1535.64</v>
      </c>
      <c r="AS246" s="180">
        <f t="shared" si="40"/>
        <v>1481.39</v>
      </c>
      <c r="AT246" s="180">
        <f t="shared" si="40"/>
        <v>1453.49</v>
      </c>
      <c r="AU246" s="180">
        <f t="shared" si="40"/>
        <v>1161.8899999999999</v>
      </c>
      <c r="AV246" s="180">
        <f t="shared" si="40"/>
        <v>1145.29</v>
      </c>
      <c r="AW246" s="180">
        <f t="shared" si="40"/>
        <v>1080.74</v>
      </c>
      <c r="AX246" s="180">
        <f t="shared" si="40"/>
        <v>1049.6400000000001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41">C231</f>
        <v>0.64</v>
      </c>
      <c r="C267" s="183">
        <f t="shared" si="41"/>
        <v>0.64</v>
      </c>
      <c r="D267" s="183">
        <f t="shared" si="41"/>
        <v>0.64</v>
      </c>
      <c r="E267" s="183">
        <f t="shared" si="41"/>
        <v>0.64</v>
      </c>
      <c r="F267" s="183">
        <f t="shared" si="41"/>
        <v>0.64</v>
      </c>
      <c r="G267" s="183">
        <f t="shared" si="41"/>
        <v>0.64</v>
      </c>
      <c r="H267" s="183">
        <f t="shared" si="41"/>
        <v>0.64</v>
      </c>
      <c r="I267" s="183">
        <f t="shared" si="41"/>
        <v>0.64</v>
      </c>
      <c r="J267" s="183">
        <f t="shared" si="41"/>
        <v>0.64</v>
      </c>
      <c r="K267" s="183">
        <f t="shared" si="41"/>
        <v>0.64</v>
      </c>
      <c r="L267" s="183">
        <f t="shared" si="41"/>
        <v>0.64</v>
      </c>
      <c r="M267" s="183">
        <f t="shared" si="41"/>
        <v>0.64</v>
      </c>
      <c r="N267" s="183">
        <f t="shared" si="41"/>
        <v>0.64</v>
      </c>
      <c r="O267" s="183">
        <f t="shared" si="41"/>
        <v>0.64</v>
      </c>
      <c r="P267" s="183">
        <f t="shared" si="41"/>
        <v>0</v>
      </c>
      <c r="Q267" s="183">
        <f t="shared" si="41"/>
        <v>0</v>
      </c>
      <c r="R267" s="183">
        <f t="shared" si="41"/>
        <v>0</v>
      </c>
      <c r="S267" s="183">
        <f t="shared" si="41"/>
        <v>0</v>
      </c>
      <c r="T267" s="183">
        <f t="shared" si="41"/>
        <v>0</v>
      </c>
      <c r="U267" s="183">
        <f t="shared" si="41"/>
        <v>0</v>
      </c>
      <c r="V267" s="183">
        <f t="shared" si="41"/>
        <v>0</v>
      </c>
      <c r="W267" s="183">
        <f t="shared" si="41"/>
        <v>0</v>
      </c>
      <c r="X267" s="183">
        <f t="shared" si="41"/>
        <v>0</v>
      </c>
      <c r="Y267" s="183">
        <f t="shared" si="41"/>
        <v>0</v>
      </c>
      <c r="Z267" s="183">
        <f t="shared" si="41"/>
        <v>0</v>
      </c>
      <c r="AA267" s="183">
        <f t="shared" si="41"/>
        <v>0</v>
      </c>
      <c r="AB267" s="183">
        <f t="shared" si="41"/>
        <v>0</v>
      </c>
      <c r="AC267" s="183">
        <f t="shared" si="41"/>
        <v>0</v>
      </c>
      <c r="AD267" s="183">
        <f t="shared" si="41"/>
        <v>0</v>
      </c>
      <c r="AE267" s="183">
        <f t="shared" si="41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2">IF(B235&lt;100,"",B235-520)</f>
        <v/>
      </c>
      <c r="C268" s="184" t="str">
        <f t="shared" si="42"/>
        <v/>
      </c>
      <c r="D268" s="184" t="str">
        <f t="shared" si="42"/>
        <v/>
      </c>
      <c r="E268" s="184" t="str">
        <f t="shared" si="42"/>
        <v/>
      </c>
      <c r="F268" s="184" t="str">
        <f t="shared" si="42"/>
        <v/>
      </c>
      <c r="G268" s="184" t="str">
        <f t="shared" si="42"/>
        <v/>
      </c>
      <c r="H268" s="184" t="str">
        <f t="shared" si="42"/>
        <v/>
      </c>
      <c r="I268" s="184" t="str">
        <f t="shared" si="42"/>
        <v/>
      </c>
      <c r="J268" s="184" t="str">
        <f t="shared" si="42"/>
        <v/>
      </c>
      <c r="K268" s="184" t="str">
        <f t="shared" si="42"/>
        <v/>
      </c>
      <c r="L268" s="184" t="str">
        <f t="shared" si="42"/>
        <v/>
      </c>
      <c r="M268" s="184" t="str">
        <f t="shared" si="42"/>
        <v/>
      </c>
      <c r="N268" s="184" t="str">
        <f t="shared" si="42"/>
        <v/>
      </c>
      <c r="O268" s="184" t="str">
        <f t="shared" si="42"/>
        <v/>
      </c>
      <c r="P268" s="184" t="str">
        <f t="shared" si="42"/>
        <v/>
      </c>
      <c r="Q268" s="184" t="str">
        <f t="shared" si="42"/>
        <v/>
      </c>
      <c r="R268" s="184" t="str">
        <f t="shared" si="42"/>
        <v/>
      </c>
      <c r="S268" s="184" t="str">
        <f t="shared" si="42"/>
        <v/>
      </c>
      <c r="T268" s="184" t="str">
        <f t="shared" si="42"/>
        <v/>
      </c>
      <c r="U268" s="184" t="str">
        <f t="shared" si="42"/>
        <v/>
      </c>
      <c r="V268" s="184" t="str">
        <f t="shared" si="42"/>
        <v/>
      </c>
      <c r="W268" s="184" t="str">
        <f t="shared" si="42"/>
        <v/>
      </c>
      <c r="X268" s="184" t="str">
        <f t="shared" si="42"/>
        <v/>
      </c>
      <c r="Y268" s="184" t="str">
        <f t="shared" si="42"/>
        <v/>
      </c>
      <c r="Z268" s="184" t="str">
        <f t="shared" si="42"/>
        <v/>
      </c>
      <c r="AA268" s="184" t="str">
        <f t="shared" si="42"/>
        <v/>
      </c>
      <c r="AB268" s="184" t="str">
        <f t="shared" si="42"/>
        <v/>
      </c>
      <c r="AC268" s="184" t="str">
        <f t="shared" si="42"/>
        <v/>
      </c>
      <c r="AD268" s="184" t="str">
        <f t="shared" si="42"/>
        <v/>
      </c>
      <c r="AE268" s="184" t="str">
        <f t="shared" si="42"/>
        <v/>
      </c>
      <c r="AF268" s="184" t="str">
        <f t="shared" si="42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3">IF(B236&lt;100,"",B236-620)</f>
        <v/>
      </c>
      <c r="C269" s="184" t="str">
        <f t="shared" si="43"/>
        <v/>
      </c>
      <c r="D269" s="184" t="str">
        <f t="shared" si="43"/>
        <v/>
      </c>
      <c r="E269" s="184" t="str">
        <f t="shared" si="43"/>
        <v/>
      </c>
      <c r="F269" s="184" t="str">
        <f t="shared" si="43"/>
        <v/>
      </c>
      <c r="G269" s="184" t="str">
        <f t="shared" si="43"/>
        <v/>
      </c>
      <c r="H269" s="184" t="str">
        <f t="shared" si="43"/>
        <v/>
      </c>
      <c r="I269" s="184" t="str">
        <f t="shared" si="43"/>
        <v/>
      </c>
      <c r="J269" s="184" t="str">
        <f t="shared" si="43"/>
        <v/>
      </c>
      <c r="K269" s="184" t="str">
        <f t="shared" si="43"/>
        <v/>
      </c>
      <c r="L269" s="184" t="str">
        <f t="shared" si="43"/>
        <v/>
      </c>
      <c r="M269" s="184" t="str">
        <f t="shared" si="43"/>
        <v/>
      </c>
      <c r="N269" s="184" t="str">
        <f t="shared" si="43"/>
        <v/>
      </c>
      <c r="O269" s="184" t="str">
        <f t="shared" si="43"/>
        <v/>
      </c>
      <c r="P269" s="184" t="str">
        <f t="shared" si="43"/>
        <v/>
      </c>
      <c r="Q269" s="184" t="str">
        <f t="shared" si="43"/>
        <v/>
      </c>
      <c r="R269" s="184" t="str">
        <f t="shared" si="43"/>
        <v/>
      </c>
      <c r="S269" s="184" t="str">
        <f t="shared" si="43"/>
        <v/>
      </c>
      <c r="T269" s="184" t="str">
        <f t="shared" si="43"/>
        <v/>
      </c>
      <c r="U269" s="184" t="str">
        <f t="shared" si="43"/>
        <v/>
      </c>
      <c r="V269" s="184" t="str">
        <f t="shared" si="43"/>
        <v/>
      </c>
      <c r="W269" s="184" t="str">
        <f t="shared" si="43"/>
        <v/>
      </c>
      <c r="X269" s="184" t="str">
        <f t="shared" si="43"/>
        <v/>
      </c>
      <c r="Y269" s="184" t="str">
        <f t="shared" si="43"/>
        <v/>
      </c>
      <c r="Z269" s="184" t="str">
        <f t="shared" si="43"/>
        <v/>
      </c>
      <c r="AA269" s="184" t="str">
        <f t="shared" si="43"/>
        <v/>
      </c>
      <c r="AB269" s="184" t="str">
        <f t="shared" si="43"/>
        <v/>
      </c>
      <c r="AC269" s="184" t="str">
        <f t="shared" si="43"/>
        <v/>
      </c>
      <c r="AD269" s="184" t="str">
        <f t="shared" si="43"/>
        <v/>
      </c>
      <c r="AE269" s="184" t="str">
        <f t="shared" si="43"/>
        <v/>
      </c>
      <c r="AF269" s="184" t="str">
        <f t="shared" si="43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4">IF(B237&lt;100,"",B237-330)</f>
        <v/>
      </c>
      <c r="C270" s="184" t="str">
        <f t="shared" si="44"/>
        <v/>
      </c>
      <c r="D270" s="184" t="str">
        <f t="shared" si="44"/>
        <v/>
      </c>
      <c r="E270" s="184" t="str">
        <f t="shared" si="44"/>
        <v/>
      </c>
      <c r="F270" s="184" t="str">
        <f t="shared" si="44"/>
        <v/>
      </c>
      <c r="G270" s="184" t="str">
        <f t="shared" si="44"/>
        <v/>
      </c>
      <c r="H270" s="184" t="str">
        <f t="shared" si="44"/>
        <v/>
      </c>
      <c r="I270" s="184" t="str">
        <f t="shared" si="44"/>
        <v/>
      </c>
      <c r="J270" s="184" t="str">
        <f t="shared" si="44"/>
        <v/>
      </c>
      <c r="K270" s="184" t="str">
        <f t="shared" si="44"/>
        <v/>
      </c>
      <c r="L270" s="184" t="str">
        <f t="shared" si="44"/>
        <v/>
      </c>
      <c r="M270" s="184" t="str">
        <f t="shared" si="44"/>
        <v/>
      </c>
      <c r="N270" s="184" t="str">
        <f t="shared" si="44"/>
        <v/>
      </c>
      <c r="O270" s="184" t="str">
        <f t="shared" si="44"/>
        <v/>
      </c>
      <c r="P270" s="184" t="str">
        <f t="shared" si="44"/>
        <v/>
      </c>
      <c r="Q270" s="184" t="str">
        <f t="shared" si="44"/>
        <v/>
      </c>
      <c r="R270" s="184" t="str">
        <f t="shared" si="44"/>
        <v/>
      </c>
      <c r="S270" s="184" t="str">
        <f t="shared" si="44"/>
        <v/>
      </c>
      <c r="T270" s="184" t="str">
        <f t="shared" si="44"/>
        <v/>
      </c>
      <c r="U270" s="184" t="str">
        <f t="shared" si="44"/>
        <v/>
      </c>
      <c r="V270" s="184" t="str">
        <f t="shared" si="44"/>
        <v/>
      </c>
      <c r="W270" s="184" t="str">
        <f t="shared" si="44"/>
        <v/>
      </c>
      <c r="X270" s="184" t="str">
        <f t="shared" si="44"/>
        <v/>
      </c>
      <c r="Y270" s="184" t="str">
        <f t="shared" si="44"/>
        <v/>
      </c>
      <c r="Z270" s="184" t="str">
        <f t="shared" si="44"/>
        <v/>
      </c>
      <c r="AA270" s="184" t="str">
        <f t="shared" si="44"/>
        <v/>
      </c>
      <c r="AB270" s="184" t="str">
        <f t="shared" si="44"/>
        <v/>
      </c>
      <c r="AC270" s="184" t="str">
        <f t="shared" si="44"/>
        <v/>
      </c>
      <c r="AD270" s="184" t="str">
        <f t="shared" si="44"/>
        <v/>
      </c>
      <c r="AE270" s="184" t="str">
        <f t="shared" si="44"/>
        <v/>
      </c>
      <c r="AF270" s="184" t="str">
        <f t="shared" si="44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5">IF(B238&lt;100,"",B238-1500)</f>
        <v/>
      </c>
      <c r="C271" s="184" t="str">
        <f t="shared" si="45"/>
        <v/>
      </c>
      <c r="D271" s="184" t="str">
        <f t="shared" si="45"/>
        <v/>
      </c>
      <c r="E271" s="184" t="str">
        <f t="shared" si="45"/>
        <v/>
      </c>
      <c r="F271" s="184" t="str">
        <f t="shared" si="45"/>
        <v/>
      </c>
      <c r="G271" s="184" t="str">
        <f t="shared" si="45"/>
        <v/>
      </c>
      <c r="H271" s="184" t="str">
        <f t="shared" si="45"/>
        <v/>
      </c>
      <c r="I271" s="184" t="str">
        <f t="shared" si="45"/>
        <v/>
      </c>
      <c r="J271" s="184" t="str">
        <f t="shared" si="45"/>
        <v/>
      </c>
      <c r="K271" s="184" t="str">
        <f t="shared" si="45"/>
        <v/>
      </c>
      <c r="L271" s="184" t="str">
        <f t="shared" si="45"/>
        <v/>
      </c>
      <c r="M271" s="184" t="str">
        <f t="shared" si="45"/>
        <v/>
      </c>
      <c r="N271" s="184" t="str">
        <f t="shared" si="45"/>
        <v/>
      </c>
      <c r="O271" s="184" t="str">
        <f t="shared" si="45"/>
        <v/>
      </c>
      <c r="P271" s="184" t="str">
        <f t="shared" si="45"/>
        <v/>
      </c>
      <c r="Q271" s="184" t="str">
        <f t="shared" si="45"/>
        <v/>
      </c>
      <c r="R271" s="184" t="str">
        <f t="shared" si="45"/>
        <v/>
      </c>
      <c r="S271" s="184" t="str">
        <f t="shared" si="45"/>
        <v/>
      </c>
      <c r="T271" s="184" t="str">
        <f t="shared" si="45"/>
        <v/>
      </c>
      <c r="U271" s="184" t="str">
        <f t="shared" si="45"/>
        <v/>
      </c>
      <c r="V271" s="184" t="str">
        <f t="shared" si="45"/>
        <v/>
      </c>
      <c r="W271" s="184" t="str">
        <f t="shared" si="45"/>
        <v/>
      </c>
      <c r="X271" s="184" t="str">
        <f t="shared" si="45"/>
        <v/>
      </c>
      <c r="Y271" s="184" t="str">
        <f t="shared" si="45"/>
        <v/>
      </c>
      <c r="Z271" s="184" t="str">
        <f t="shared" si="45"/>
        <v/>
      </c>
      <c r="AA271" s="184" t="str">
        <f t="shared" si="45"/>
        <v/>
      </c>
      <c r="AB271" s="184" t="str">
        <f t="shared" si="45"/>
        <v/>
      </c>
      <c r="AC271" s="184" t="str">
        <f t="shared" si="45"/>
        <v/>
      </c>
      <c r="AD271" s="184" t="str">
        <f t="shared" si="45"/>
        <v/>
      </c>
      <c r="AE271" s="184" t="str">
        <f t="shared" si="45"/>
        <v/>
      </c>
      <c r="AF271" s="184" t="str">
        <f t="shared" si="45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50">
    <mergeCell ref="AN82:AN83"/>
    <mergeCell ref="A243:B243"/>
    <mergeCell ref="B13:K1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S9:S10"/>
    <mergeCell ref="T9:T10"/>
    <mergeCell ref="AA9:AA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Z9:Z10"/>
    <mergeCell ref="N9:N10"/>
    <mergeCell ref="B4:D4"/>
    <mergeCell ref="E4:G4"/>
    <mergeCell ref="H4:I4"/>
    <mergeCell ref="B8:L8"/>
    <mergeCell ref="M8:R8"/>
    <mergeCell ref="P9:P10"/>
    <mergeCell ref="Q9:Q10"/>
    <mergeCell ref="R9:R10"/>
    <mergeCell ref="O9:O10"/>
    <mergeCell ref="U9:U10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7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76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E109:AF109 E111:AF116">
    <cfRule type="expression" dxfId="8648" priority="472">
      <formula>B$9&gt;=20/24</formula>
    </cfRule>
    <cfRule type="expression" dxfId="8647" priority="473">
      <formula>AND(B$9&gt;=14/24,B$9&lt;20/24)</formula>
    </cfRule>
    <cfRule type="expression" dxfId="8646" priority="474">
      <formula>AND(B$9&gt;=8/24,B$9&lt;14/24)</formula>
    </cfRule>
    <cfRule type="expression" dxfId="8645" priority="475">
      <formula>B$9&lt;8/24</formula>
    </cfRule>
  </conditionalFormatting>
  <conditionalFormatting sqref="AL4:AL6">
    <cfRule type="iconSet" priority="471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8644" priority="470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8643" priority="469">
      <formula>$AH12=0</formula>
    </cfRule>
  </conditionalFormatting>
  <conditionalFormatting sqref="A114">
    <cfRule type="expression" dxfId="8642" priority="468">
      <formula>$AH114=0</formula>
    </cfRule>
  </conditionalFormatting>
  <conditionalFormatting sqref="AL42">
    <cfRule type="iconSet" priority="467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8641" priority="466">
      <formula>$AH45=0</formula>
    </cfRule>
  </conditionalFormatting>
  <conditionalFormatting sqref="A98">
    <cfRule type="expression" dxfId="8640" priority="465">
      <formula>$AH98=0</formula>
    </cfRule>
  </conditionalFormatting>
  <conditionalFormatting sqref="A18">
    <cfRule type="expression" dxfId="8639" priority="464">
      <formula>$AH18=0</formula>
    </cfRule>
  </conditionalFormatting>
  <conditionalFormatting sqref="A196:A201">
    <cfRule type="expression" dxfId="8638" priority="463">
      <formula>$AH196=0</formula>
    </cfRule>
  </conditionalFormatting>
  <conditionalFormatting sqref="A190:A195">
    <cfRule type="expression" dxfId="8637" priority="462">
      <formula>$AH190=0</formula>
    </cfRule>
  </conditionalFormatting>
  <conditionalFormatting sqref="A58">
    <cfRule type="expression" dxfId="8636" priority="461">
      <formula>$AH58=0</formula>
    </cfRule>
  </conditionalFormatting>
  <conditionalFormatting sqref="A94">
    <cfRule type="expression" dxfId="8635" priority="460">
      <formula>$AH94=0</formula>
    </cfRule>
  </conditionalFormatting>
  <conditionalFormatting sqref="F99:X99 AE99:AF99">
    <cfRule type="expression" dxfId="8634" priority="456">
      <formula>F$9&gt;=20/24</formula>
    </cfRule>
    <cfRule type="expression" dxfId="8633" priority="457">
      <formula>AND(F$9&gt;=14/24,F$9&lt;20/24)</formula>
    </cfRule>
    <cfRule type="expression" dxfId="8632" priority="458">
      <formula>AND(F$9&gt;=8/24,F$9&lt;14/24)</formula>
    </cfRule>
    <cfRule type="expression" dxfId="8631" priority="459">
      <formula>F$9&lt;8/24</formula>
    </cfRule>
  </conditionalFormatting>
  <conditionalFormatting sqref="AL43">
    <cfRule type="iconSet" priority="45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630" priority="478">
      <formula>C$9&gt;=20/24</formula>
    </cfRule>
    <cfRule type="expression" dxfId="8629" priority="479">
      <formula>AND(C$9&gt;=14/24,C$9&lt;20/24)</formula>
    </cfRule>
    <cfRule type="expression" dxfId="8628" priority="480">
      <formula>AND(C$9&gt;=8/24,C$9&lt;14/24)</formula>
    </cfRule>
    <cfRule type="expression" dxfId="8627" priority="481">
      <formula>C$9&lt;8/24</formula>
    </cfRule>
  </conditionalFormatting>
  <conditionalFormatting sqref="A233">
    <cfRule type="expression" dxfId="8626" priority="482">
      <formula>$AH233=0</formula>
    </cfRule>
  </conditionalFormatting>
  <conditionalFormatting sqref="AG245">
    <cfRule type="expression" dxfId="8625" priority="483">
      <formula>B$9&gt;=20/24</formula>
    </cfRule>
    <cfRule type="expression" dxfId="8624" priority="484">
      <formula>AND(B$9&gt;=14/24,B$9&lt;20/24)</formula>
    </cfRule>
    <cfRule type="expression" dxfId="8623" priority="485">
      <formula>AND(B$9&gt;=8/24,B$9&lt;14/24)</formula>
    </cfRule>
    <cfRule type="expression" dxfId="8622" priority="486">
      <formula>B$9&lt;8/24</formula>
    </cfRule>
  </conditionalFormatting>
  <conditionalFormatting sqref="S8">
    <cfRule type="expression" dxfId="8621" priority="451">
      <formula>U$9&gt;=20/24</formula>
    </cfRule>
    <cfRule type="expression" dxfId="8620" priority="452">
      <formula>AND(U$9&gt;=14/24,U$9&lt;20/24)</formula>
    </cfRule>
    <cfRule type="expression" dxfId="8619" priority="453">
      <formula>AND(U$9&gt;=8/24,U$9&lt;14/24)</formula>
    </cfRule>
    <cfRule type="expression" dxfId="8618" priority="454">
      <formula>U$9&lt;8/24</formula>
    </cfRule>
  </conditionalFormatting>
  <conditionalFormatting sqref="AB8">
    <cfRule type="expression" dxfId="8617" priority="447">
      <formula>AD$9&gt;=20/24</formula>
    </cfRule>
    <cfRule type="expression" dxfId="8616" priority="448">
      <formula>AND(AD$9&gt;=14/24,AD$9&lt;20/24)</formula>
    </cfRule>
    <cfRule type="expression" dxfId="8615" priority="449">
      <formula>AND(AD$9&gt;=8/24,AD$9&lt;14/24)</formula>
    </cfRule>
    <cfRule type="expression" dxfId="8614" priority="450">
      <formula>AD$9&lt;8/24</formula>
    </cfRule>
  </conditionalFormatting>
  <conditionalFormatting sqref="AH245:AX245">
    <cfRule type="expression" dxfId="8613" priority="487">
      <formula>AG$9&gt;=20/24</formula>
    </cfRule>
    <cfRule type="expression" dxfId="8612" priority="488">
      <formula>AND(AG$9&gt;=14/24,AG$9&lt;20/24)</formula>
    </cfRule>
    <cfRule type="expression" dxfId="8611" priority="489">
      <formula>AND(AG$9&gt;=8/24,AG$9&lt;14/24)</formula>
    </cfRule>
    <cfRule type="expression" dxfId="8610" priority="490">
      <formula>AG$9&lt;8/24</formula>
    </cfRule>
  </conditionalFormatting>
  <conditionalFormatting sqref="T245">
    <cfRule type="expression" dxfId="8609" priority="491">
      <formula>AX$9&gt;=20/24</formula>
    </cfRule>
    <cfRule type="expression" dxfId="8608" priority="492">
      <formula>AND(AX$9&gt;=14/24,AX$9&lt;20/24)</formula>
    </cfRule>
    <cfRule type="expression" dxfId="8607" priority="493">
      <formula>AND(AX$9&gt;=8/24,AX$9&lt;14/24)</formula>
    </cfRule>
    <cfRule type="expression" dxfId="8606" priority="494">
      <formula>AX$9&lt;8/24</formula>
    </cfRule>
  </conditionalFormatting>
  <conditionalFormatting sqref="A115:A116">
    <cfRule type="expression" dxfId="8605" priority="446">
      <formula>$AH115=0</formula>
    </cfRule>
  </conditionalFormatting>
  <conditionalFormatting sqref="N54:R58 S58:X58 AB54:AF56 E71:AF71">
    <cfRule type="expression" dxfId="8604" priority="442">
      <formula>E$9&gt;=20/24</formula>
    </cfRule>
    <cfRule type="expression" dxfId="8603" priority="443">
      <formula>AND(E$9&gt;=14/24,E$9&lt;20/24)</formula>
    </cfRule>
    <cfRule type="expression" dxfId="8602" priority="444">
      <formula>AND(E$9&gt;=8/24,E$9&lt;14/24)</formula>
    </cfRule>
    <cfRule type="expression" dxfId="8601" priority="445">
      <formula>E$9&lt;8/24</formula>
    </cfRule>
  </conditionalFormatting>
  <conditionalFormatting sqref="N53:R53 AB53:AF53">
    <cfRule type="expression" dxfId="8600" priority="438">
      <formula>N$9&gt;=20/24</formula>
    </cfRule>
    <cfRule type="expression" dxfId="8599" priority="439">
      <formula>AND(N$9&gt;=14/24,N$9&lt;20/24)</formula>
    </cfRule>
    <cfRule type="expression" dxfId="8598" priority="440">
      <formula>AND(N$9&gt;=8/24,N$9&lt;14/24)</formula>
    </cfRule>
    <cfRule type="expression" dxfId="8597" priority="441">
      <formula>N$9&lt;8/24</formula>
    </cfRule>
  </conditionalFormatting>
  <conditionalFormatting sqref="N53:R58 S58:X58 AB53:AF56">
    <cfRule type="expression" dxfId="8596" priority="437">
      <formula>N53&gt;$AG53</formula>
    </cfRule>
  </conditionalFormatting>
  <conditionalFormatting sqref="M100:X106 X96:AF96 AE100:AF106 Y47:AF47 D86:AF86 E72:AC73 Z74:AC74 X67:AF69 AD72:AF74">
    <cfRule type="expression" dxfId="8595" priority="433">
      <formula>D$9&gt;=20/24</formula>
    </cfRule>
    <cfRule type="expression" dxfId="8594" priority="434">
      <formula>AND(D$9&gt;=14/24,D$9&lt;20/24)</formula>
    </cfRule>
    <cfRule type="expression" dxfId="8593" priority="435">
      <formula>AND(D$9&gt;=8/24,D$9&lt;14/24)</formula>
    </cfRule>
    <cfRule type="expression" dxfId="8592" priority="436">
      <formula>D$9&lt;8/24</formula>
    </cfRule>
  </conditionalFormatting>
  <conditionalFormatting sqref="Y47:AF47 X67:AF69">
    <cfRule type="expression" dxfId="8591" priority="432">
      <formula>X47&gt;$AG47</formula>
    </cfRule>
  </conditionalFormatting>
  <conditionalFormatting sqref="Y53:AA58 S53:X57 AB57:AF58">
    <cfRule type="expression" dxfId="8590" priority="428">
      <formula>S$9&gt;=20/24</formula>
    </cfRule>
    <cfRule type="expression" dxfId="8589" priority="429">
      <formula>AND(S$9&gt;=14/24,S$9&lt;20/24)</formula>
    </cfRule>
    <cfRule type="expression" dxfId="8588" priority="430">
      <formula>AND(S$9&gt;=8/24,S$9&lt;14/24)</formula>
    </cfRule>
    <cfRule type="expression" dxfId="8587" priority="431">
      <formula>S$9&lt;8/24</formula>
    </cfRule>
  </conditionalFormatting>
  <conditionalFormatting sqref="Y53:AA58 S53:X57 AB57:AF58">
    <cfRule type="expression" dxfId="8586" priority="427">
      <formula>S53&gt;$AG53</formula>
    </cfRule>
  </conditionalFormatting>
  <conditionalFormatting sqref="C97:AF97 D88:AF88">
    <cfRule type="expression" dxfId="8585" priority="423">
      <formula>C$9&gt;=20/24</formula>
    </cfRule>
    <cfRule type="expression" dxfId="8584" priority="424">
      <formula>AND(C$9&gt;=14/24,C$9&lt;20/24)</formula>
    </cfRule>
    <cfRule type="expression" dxfId="8583" priority="425">
      <formula>AND(C$9&gt;=8/24,C$9&lt;14/24)</formula>
    </cfRule>
    <cfRule type="expression" dxfId="8582" priority="426">
      <formula>C$9&lt;8/24</formula>
    </cfRule>
  </conditionalFormatting>
  <conditionalFormatting sqref="T47:X47">
    <cfRule type="expression" dxfId="8581" priority="419">
      <formula>T$9&gt;=20/24</formula>
    </cfRule>
    <cfRule type="expression" dxfId="8580" priority="420">
      <formula>AND(T$9&gt;=14/24,T$9&lt;20/24)</formula>
    </cfRule>
    <cfRule type="expression" dxfId="8579" priority="421">
      <formula>AND(T$9&gt;=8/24,T$9&lt;14/24)</formula>
    </cfRule>
    <cfRule type="expression" dxfId="8578" priority="422">
      <formula>T$9&lt;8/24</formula>
    </cfRule>
  </conditionalFormatting>
  <conditionalFormatting sqref="T47:X47">
    <cfRule type="expression" dxfId="8577" priority="418">
      <formula>T47&gt;$AG47</formula>
    </cfRule>
  </conditionalFormatting>
  <conditionalFormatting sqref="F54:M55">
    <cfRule type="expression" dxfId="8576" priority="414">
      <formula>F$9&gt;=20/24</formula>
    </cfRule>
    <cfRule type="expression" dxfId="8575" priority="415">
      <formula>AND(F$9&gt;=14/24,F$9&lt;20/24)</formula>
    </cfRule>
    <cfRule type="expression" dxfId="8574" priority="416">
      <formula>AND(F$9&gt;=8/24,F$9&lt;14/24)</formula>
    </cfRule>
    <cfRule type="expression" dxfId="8573" priority="417">
      <formula>F$9&lt;8/24</formula>
    </cfRule>
  </conditionalFormatting>
  <conditionalFormatting sqref="F53:M53">
    <cfRule type="expression" dxfId="8572" priority="410">
      <formula>F$9&gt;=20/24</formula>
    </cfRule>
    <cfRule type="expression" dxfId="8571" priority="411">
      <formula>AND(F$9&gt;=14/24,F$9&lt;20/24)</formula>
    </cfRule>
    <cfRule type="expression" dxfId="8570" priority="412">
      <formula>AND(F$9&gt;=8/24,F$9&lt;14/24)</formula>
    </cfRule>
    <cfRule type="expression" dxfId="8569" priority="413">
      <formula>F$9&lt;8/24</formula>
    </cfRule>
  </conditionalFormatting>
  <conditionalFormatting sqref="F53:M55">
    <cfRule type="expression" dxfId="8568" priority="409">
      <formula>F53&gt;$AG53</formula>
    </cfRule>
  </conditionalFormatting>
  <conditionalFormatting sqref="AG70 AG87 F100:L106 Q67:W69">
    <cfRule type="expression" dxfId="8567" priority="405">
      <formula>F$9&gt;=20/24</formula>
    </cfRule>
    <cfRule type="expression" dxfId="8566" priority="406">
      <formula>AND(F$9&gt;=14/24,F$9&lt;20/24)</formula>
    </cfRule>
    <cfRule type="expression" dxfId="8565" priority="407">
      <formula>AND(F$9&gt;=8/24,F$9&lt;14/24)</formula>
    </cfRule>
    <cfRule type="expression" dxfId="8564" priority="408">
      <formula>F$9&lt;8/24</formula>
    </cfRule>
  </conditionalFormatting>
  <conditionalFormatting sqref="AG48 AG66 AG70 Q67:W69">
    <cfRule type="expression" dxfId="8563" priority="404">
      <formula>Q48&gt;$AG48</formula>
    </cfRule>
  </conditionalFormatting>
  <conditionalFormatting sqref="A43">
    <cfRule type="expression" dxfId="8562" priority="398">
      <formula>$AH43=0</formula>
    </cfRule>
  </conditionalFormatting>
  <conditionalFormatting sqref="X91:AF95">
    <cfRule type="expression" dxfId="8561" priority="394">
      <formula>X$9&gt;=20/24</formula>
    </cfRule>
    <cfRule type="expression" dxfId="8560" priority="395">
      <formula>AND(X$9&gt;=14/24,X$9&lt;20/24)</formula>
    </cfRule>
    <cfRule type="expression" dxfId="8559" priority="396">
      <formula>AND(X$9&gt;=8/24,X$9&lt;14/24)</formula>
    </cfRule>
    <cfRule type="expression" dxfId="8558" priority="397">
      <formula>X$9&lt;8/24</formula>
    </cfRule>
  </conditionalFormatting>
  <conditionalFormatting sqref="AL45 AL41 AL22:AL32 AL38:AL39 AL7:AL15 AL17:AL20 AL34:AL36">
    <cfRule type="iconSet" priority="495">
      <iconSet iconSet="3TrafficLights2" reverse="1">
        <cfvo type="percent" val="0"/>
        <cfvo type="num" val="1"/>
        <cfvo type="num" val="1"/>
      </iconSet>
    </cfRule>
  </conditionalFormatting>
  <conditionalFormatting sqref="F49:AF51">
    <cfRule type="expression" dxfId="8557" priority="390">
      <formula>F$9&gt;=20/24</formula>
    </cfRule>
    <cfRule type="expression" dxfId="8556" priority="391">
      <formula>AND(F$9&gt;=14/24,F$9&lt;20/24)</formula>
    </cfRule>
    <cfRule type="expression" dxfId="8555" priority="392">
      <formula>AND(F$9&gt;=8/24,F$9&lt;14/24)</formula>
    </cfRule>
    <cfRule type="expression" dxfId="8554" priority="393">
      <formula>F$9&lt;8/24</formula>
    </cfRule>
  </conditionalFormatting>
  <conditionalFormatting sqref="F49:AF51">
    <cfRule type="expression" dxfId="8553" priority="389">
      <formula>F49&gt;$AG49</formula>
    </cfRule>
  </conditionalFormatting>
  <conditionalFormatting sqref="AG52">
    <cfRule type="expression" dxfId="8552" priority="385">
      <formula>AG$9&gt;=20/24</formula>
    </cfRule>
    <cfRule type="expression" dxfId="8551" priority="386">
      <formula>AND(AG$9&gt;=14/24,AG$9&lt;20/24)</formula>
    </cfRule>
    <cfRule type="expression" dxfId="8550" priority="387">
      <formula>AND(AG$9&gt;=8/24,AG$9&lt;14/24)</formula>
    </cfRule>
    <cfRule type="expression" dxfId="8549" priority="388">
      <formula>AG$9&lt;8/24</formula>
    </cfRule>
  </conditionalFormatting>
  <conditionalFormatting sqref="AG52">
    <cfRule type="expression" dxfId="8548" priority="384">
      <formula>AG52&gt;$AG52</formula>
    </cfRule>
  </conditionalFormatting>
  <conditionalFormatting sqref="C107:AF107">
    <cfRule type="expression" dxfId="8547" priority="380">
      <formula>C$9&gt;=20/24</formula>
    </cfRule>
    <cfRule type="expression" dxfId="8546" priority="381">
      <formula>AND(C$9&gt;=14/24,C$9&lt;20/24)</formula>
    </cfRule>
    <cfRule type="expression" dxfId="8545" priority="382">
      <formula>AND(C$9&gt;=8/24,C$9&lt;14/24)</formula>
    </cfRule>
    <cfRule type="expression" dxfId="8544" priority="383">
      <formula>C$9&lt;8/24</formula>
    </cfRule>
  </conditionalFormatting>
  <conditionalFormatting sqref="AL40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8543" priority="378">
      <formula>$AH40=0</formula>
    </cfRule>
  </conditionalFormatting>
  <conditionalFormatting sqref="A90">
    <cfRule type="expression" dxfId="8542" priority="376">
      <formula>$AH90=0</formula>
    </cfRule>
  </conditionalFormatting>
  <conditionalFormatting sqref="A87">
    <cfRule type="expression" dxfId="8541" priority="377">
      <formula>$AH87=0</formula>
    </cfRule>
  </conditionalFormatting>
  <conditionalFormatting sqref="E110:AF110">
    <cfRule type="expression" dxfId="8540" priority="372">
      <formula>E$9&gt;=20/24</formula>
    </cfRule>
    <cfRule type="expression" dxfId="8539" priority="373">
      <formula>AND(E$9&gt;=14/24,E$9&lt;20/24)</formula>
    </cfRule>
    <cfRule type="expression" dxfId="8538" priority="374">
      <formula>AND(E$9&gt;=8/24,E$9&lt;14/24)</formula>
    </cfRule>
    <cfRule type="expression" dxfId="8537" priority="375">
      <formula>E$9&lt;8/24</formula>
    </cfRule>
  </conditionalFormatting>
  <conditionalFormatting sqref="A110">
    <cfRule type="expression" dxfId="8536" priority="371">
      <formula>$AH110=0</formula>
    </cfRule>
  </conditionalFormatting>
  <conditionalFormatting sqref="A21">
    <cfRule type="expression" dxfId="8535" priority="369">
      <formula>$AH21=0</formula>
    </cfRule>
  </conditionalFormatting>
  <conditionalFormatting sqref="AL21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534" priority="367">
      <formula>$AH37=0</formula>
    </cfRule>
  </conditionalFormatting>
  <conditionalFormatting sqref="AL37">
    <cfRule type="iconSet" priority="368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8533" priority="363">
      <formula>Y$9&gt;=20/24</formula>
    </cfRule>
    <cfRule type="expression" dxfId="8532" priority="364">
      <formula>AND(Y$9&gt;=14/24,Y$9&lt;20/24)</formula>
    </cfRule>
    <cfRule type="expression" dxfId="8531" priority="365">
      <formula>AND(Y$9&gt;=8/24,Y$9&lt;14/24)</formula>
    </cfRule>
    <cfRule type="expression" dxfId="8530" priority="366">
      <formula>Y$9&lt;8/24</formula>
    </cfRule>
  </conditionalFormatting>
  <conditionalFormatting sqref="Y100:AD106">
    <cfRule type="expression" dxfId="8529" priority="359">
      <formula>Y$9&gt;=20/24</formula>
    </cfRule>
    <cfRule type="expression" dxfId="8528" priority="360">
      <formula>AND(Y$9&gt;=14/24,Y$9&lt;20/24)</formula>
    </cfRule>
    <cfRule type="expression" dxfId="8527" priority="361">
      <formula>AND(Y$9&gt;=8/24,Y$9&lt;14/24)</formula>
    </cfRule>
    <cfRule type="expression" dxfId="8526" priority="362">
      <formula>Y$9&lt;8/24</formula>
    </cfRule>
  </conditionalFormatting>
  <conditionalFormatting sqref="C109:D109 C111:D116 I17:Z18 Z19:Z32 Z34:AF43 AA17:AF32">
    <cfRule type="expression" dxfId="8525" priority="355">
      <formula>C$9&gt;=20/24</formula>
    </cfRule>
    <cfRule type="expression" dxfId="8524" priority="356">
      <formula>AND(C$9&gt;=14/24,C$9&lt;20/24)</formula>
    </cfRule>
    <cfRule type="expression" dxfId="8523" priority="357">
      <formula>AND(C$9&gt;=8/24,C$9&lt;14/24)</formula>
    </cfRule>
    <cfRule type="expression" dxfId="8522" priority="358">
      <formula>C$9&lt;8/24</formula>
    </cfRule>
  </conditionalFormatting>
  <conditionalFormatting sqref="C47:S47">
    <cfRule type="expression" dxfId="8521" priority="351">
      <formula>C$9&gt;=20/24</formula>
    </cfRule>
    <cfRule type="expression" dxfId="8520" priority="352">
      <formula>AND(C$9&gt;=14/24,C$9&lt;20/24)</formula>
    </cfRule>
    <cfRule type="expression" dxfId="8519" priority="353">
      <formula>AND(C$9&gt;=8/24,C$9&lt;14/24)</formula>
    </cfRule>
    <cfRule type="expression" dxfId="8518" priority="354">
      <formula>C$9&lt;8/24</formula>
    </cfRule>
  </conditionalFormatting>
  <conditionalFormatting sqref="C47:S47 I17:Z18 Z19:Z32 Z34:AF43 AA17:AF32">
    <cfRule type="expression" dxfId="8517" priority="350">
      <formula>C17&gt;$AG17</formula>
    </cfRule>
  </conditionalFormatting>
  <conditionalFormatting sqref="C99:E99">
    <cfRule type="expression" dxfId="8516" priority="346">
      <formula>C$9&gt;=20/24</formula>
    </cfRule>
    <cfRule type="expression" dxfId="8515" priority="347">
      <formula>AND(C$9&gt;=14/24,C$9&lt;20/24)</formula>
    </cfRule>
    <cfRule type="expression" dxfId="8514" priority="348">
      <formula>AND(C$9&gt;=8/24,C$9&lt;14/24)</formula>
    </cfRule>
    <cfRule type="expression" dxfId="8513" priority="349">
      <formula>C$9&lt;8/24</formula>
    </cfRule>
  </conditionalFormatting>
  <conditionalFormatting sqref="C86 C100:E106 E67:P69 C96:W96 C83:AF85 E74:Y76 Z75:AF76">
    <cfRule type="expression" dxfId="8512" priority="342">
      <formula>C$9&gt;=20/24</formula>
    </cfRule>
    <cfRule type="expression" dxfId="8511" priority="343">
      <formula>AND(C$9&gt;=14/24,C$9&lt;20/24)</formula>
    </cfRule>
    <cfRule type="expression" dxfId="8510" priority="344">
      <formula>AND(C$9&gt;=8/24,C$9&lt;14/24)</formula>
    </cfRule>
    <cfRule type="expression" dxfId="8509" priority="345">
      <formula>C$9&lt;8/24</formula>
    </cfRule>
  </conditionalFormatting>
  <conditionalFormatting sqref="F56:M57 E67:P69">
    <cfRule type="expression" dxfId="8508" priority="341">
      <formula>E56&gt;$AG56</formula>
    </cfRule>
  </conditionalFormatting>
  <conditionalFormatting sqref="F58:M58">
    <cfRule type="expression" dxfId="8507" priority="337">
      <formula>F$9&gt;=20/24</formula>
    </cfRule>
    <cfRule type="expression" dxfId="8506" priority="338">
      <formula>AND(F$9&gt;=14/24,F$9&lt;20/24)</formula>
    </cfRule>
    <cfRule type="expression" dxfId="8505" priority="339">
      <formula>AND(F$9&gt;=8/24,F$9&lt;14/24)</formula>
    </cfRule>
    <cfRule type="expression" dxfId="8504" priority="340">
      <formula>F$9&lt;8/24</formula>
    </cfRule>
  </conditionalFormatting>
  <conditionalFormatting sqref="F58:M58">
    <cfRule type="expression" dxfId="8503" priority="336">
      <formula>F58&gt;$AG58</formula>
    </cfRule>
  </conditionalFormatting>
  <conditionalFormatting sqref="C71:D71 C54:E55 C57:E57">
    <cfRule type="expression" dxfId="8502" priority="260">
      <formula>C$9&gt;=20/24</formula>
    </cfRule>
    <cfRule type="expression" dxfId="8501" priority="261">
      <formula>AND(C$9&gt;=14/24,C$9&lt;20/24)</formula>
    </cfRule>
    <cfRule type="expression" dxfId="8500" priority="262">
      <formula>AND(C$9&gt;=8/24,C$9&lt;14/24)</formula>
    </cfRule>
    <cfRule type="expression" dxfId="8499" priority="263">
      <formula>C$9&lt;8/24</formula>
    </cfRule>
  </conditionalFormatting>
  <conditionalFormatting sqref="P46:AF46">
    <cfRule type="expression" dxfId="8498" priority="332">
      <formula>P$9&gt;=20/24</formula>
    </cfRule>
    <cfRule type="expression" dxfId="8497" priority="333">
      <formula>AND(P$9&gt;=14/24,P$9&lt;20/24)</formula>
    </cfRule>
    <cfRule type="expression" dxfId="8496" priority="334">
      <formula>AND(P$9&gt;=8/24,P$9&lt;14/24)</formula>
    </cfRule>
    <cfRule type="expression" dxfId="8495" priority="335">
      <formula>P$9&lt;8/24</formula>
    </cfRule>
  </conditionalFormatting>
  <conditionalFormatting sqref="P46:AF46">
    <cfRule type="expression" dxfId="8494" priority="331">
      <formula>P46&gt;$AG46</formula>
    </cfRule>
  </conditionalFormatting>
  <conditionalFormatting sqref="C98:AF98 C87:AF87 C89:AF89 C70:AF70">
    <cfRule type="expression" dxfId="8493" priority="327">
      <formula>C$9&gt;=20/24</formula>
    </cfRule>
    <cfRule type="expression" dxfId="8492" priority="328">
      <formula>AND(C$9&gt;=14/24,C$9&lt;20/24)</formula>
    </cfRule>
    <cfRule type="expression" dxfId="8491" priority="329">
      <formula>AND(C$9&gt;=8/24,C$9&lt;14/24)</formula>
    </cfRule>
    <cfRule type="expression" dxfId="8490" priority="330">
      <formula>C$9&lt;8/24</formula>
    </cfRule>
  </conditionalFormatting>
  <conditionalFormatting sqref="C70:AF70 C48:AF48 C65:AF66">
    <cfRule type="expression" dxfId="8489" priority="326">
      <formula>C48&gt;$AG48</formula>
    </cfRule>
  </conditionalFormatting>
  <conditionalFormatting sqref="C82:AF82">
    <cfRule type="expression" dxfId="8488" priority="322">
      <formula>C$9&gt;=20/24</formula>
    </cfRule>
    <cfRule type="expression" dxfId="8487" priority="323">
      <formula>AND(C$9&gt;=14/24,C$9&lt;20/24)</formula>
    </cfRule>
    <cfRule type="expression" dxfId="8486" priority="324">
      <formula>AND(C$9&gt;=8/24,C$9&lt;14/24)</formula>
    </cfRule>
    <cfRule type="expression" dxfId="8485" priority="325">
      <formula>C$9&lt;8/24</formula>
    </cfRule>
  </conditionalFormatting>
  <conditionalFormatting sqref="C91:W95">
    <cfRule type="expression" dxfId="8484" priority="318">
      <formula>C$9&gt;=20/24</formula>
    </cfRule>
    <cfRule type="expression" dxfId="8483" priority="319">
      <formula>AND(C$9&gt;=14/24,C$9&lt;20/24)</formula>
    </cfRule>
    <cfRule type="expression" dxfId="8482" priority="320">
      <formula>AND(C$9&gt;=8/24,C$9&lt;14/24)</formula>
    </cfRule>
    <cfRule type="expression" dxfId="8481" priority="321">
      <formula>C$9&lt;8/24</formula>
    </cfRule>
  </conditionalFormatting>
  <conditionalFormatting sqref="C52:AF52">
    <cfRule type="expression" dxfId="8480" priority="314">
      <formula>C$9&gt;=20/24</formula>
    </cfRule>
    <cfRule type="expression" dxfId="8479" priority="315">
      <formula>AND(C$9&gt;=14/24,C$9&lt;20/24)</formula>
    </cfRule>
    <cfRule type="expression" dxfId="8478" priority="316">
      <formula>AND(C$9&gt;=8/24,C$9&lt;14/24)</formula>
    </cfRule>
    <cfRule type="expression" dxfId="8477" priority="317">
      <formula>C$9&lt;8/24</formula>
    </cfRule>
  </conditionalFormatting>
  <conditionalFormatting sqref="C52:AF52">
    <cfRule type="expression" dxfId="8476" priority="313">
      <formula>C52&gt;$AG52</formula>
    </cfRule>
  </conditionalFormatting>
  <conditionalFormatting sqref="C49:E49">
    <cfRule type="expression" dxfId="8475" priority="228">
      <formula>C$9&gt;=20/24</formula>
    </cfRule>
    <cfRule type="expression" dxfId="8474" priority="229">
      <formula>AND(C$9&gt;=14/24,C$9&lt;20/24)</formula>
    </cfRule>
    <cfRule type="expression" dxfId="8473" priority="230">
      <formula>AND(C$9&gt;=8/24,C$9&lt;14/24)</formula>
    </cfRule>
    <cfRule type="expression" dxfId="8472" priority="231">
      <formula>C$9&lt;8/24</formula>
    </cfRule>
  </conditionalFormatting>
  <conditionalFormatting sqref="C110:D110">
    <cfRule type="expression" dxfId="8471" priority="305">
      <formula>C$9&gt;=20/24</formula>
    </cfRule>
    <cfRule type="expression" dxfId="8470" priority="306">
      <formula>AND(C$9&gt;=14/24,C$9&lt;20/24)</formula>
    </cfRule>
    <cfRule type="expression" dxfId="8469" priority="307">
      <formula>AND(C$9&gt;=8/24,C$9&lt;14/24)</formula>
    </cfRule>
    <cfRule type="expression" dxfId="8468" priority="308">
      <formula>C$9&lt;8/24</formula>
    </cfRule>
  </conditionalFormatting>
  <conditionalFormatting sqref="J60:L60 F59:L59 K61:L64 M59:AF64">
    <cfRule type="expression" dxfId="8467" priority="301">
      <formula>F$9&gt;=20/24</formula>
    </cfRule>
    <cfRule type="expression" dxfId="8466" priority="302">
      <formula>AND(F$9&gt;=14/24,F$9&lt;20/24)</formula>
    </cfRule>
    <cfRule type="expression" dxfId="8465" priority="303">
      <formula>AND(F$9&gt;=8/24,F$9&lt;14/24)</formula>
    </cfRule>
    <cfRule type="expression" dxfId="8464" priority="304">
      <formula>F$9&lt;8/24</formula>
    </cfRule>
  </conditionalFormatting>
  <conditionalFormatting sqref="J60:L60 F59:L59 K61:L64 M59:AF64">
    <cfRule type="expression" dxfId="8463" priority="300">
      <formula>F59&gt;$AG59</formula>
    </cfRule>
  </conditionalFormatting>
  <conditionalFormatting sqref="I14:L15 L13 Z45:AF45 M13:AF15">
    <cfRule type="expression" dxfId="8462" priority="299">
      <formula>I13&gt;$AG13</formula>
    </cfRule>
  </conditionalFormatting>
  <conditionalFormatting sqref="I12:AF12">
    <cfRule type="expression" dxfId="8461" priority="295">
      <formula>I$9&gt;=20/24</formula>
    </cfRule>
    <cfRule type="expression" dxfId="8460" priority="296">
      <formula>AND(I$9&gt;=14/24,I$9&lt;20/24)</formula>
    </cfRule>
    <cfRule type="expression" dxfId="8459" priority="297">
      <formula>AND(I$9&gt;=8/24,I$9&lt;14/24)</formula>
    </cfRule>
    <cfRule type="expression" dxfId="8458" priority="298">
      <formula>I$9&lt;8/24</formula>
    </cfRule>
  </conditionalFormatting>
  <conditionalFormatting sqref="I12:AF12">
    <cfRule type="expression" dxfId="8457" priority="294">
      <formula>I12&gt;$AG12</formula>
    </cfRule>
  </conditionalFormatting>
  <conditionalFormatting sqref="I14:L15 L13 M13:AF15">
    <cfRule type="expression" dxfId="8456" priority="290">
      <formula>I$9&gt;=20/24</formula>
    </cfRule>
    <cfRule type="expression" dxfId="8455" priority="291">
      <formula>AND(I$9&gt;=14/24,I$9&lt;20/24)</formula>
    </cfRule>
    <cfRule type="expression" dxfId="8454" priority="292">
      <formula>AND(I$9&gt;=8/24,I$9&lt;14/24)</formula>
    </cfRule>
    <cfRule type="expression" dxfId="8453" priority="293">
      <formula>I$9&lt;8/24</formula>
    </cfRule>
  </conditionalFormatting>
  <conditionalFormatting sqref="Z45:AF45">
    <cfRule type="expression" dxfId="8452" priority="286">
      <formula>Z$9&gt;=20/24</formula>
    </cfRule>
    <cfRule type="expression" dxfId="8451" priority="287">
      <formula>AND(Z$9&gt;=14/24,Z$9&lt;20/24)</formula>
    </cfRule>
    <cfRule type="expression" dxfId="8450" priority="288">
      <formula>AND(Z$9&gt;=8/24,Z$9&lt;14/24)</formula>
    </cfRule>
    <cfRule type="expression" dxfId="8449" priority="289">
      <formula>Z$9&lt;8/24</formula>
    </cfRule>
  </conditionalFormatting>
  <conditionalFormatting sqref="E77:AF81">
    <cfRule type="expression" dxfId="8448" priority="282">
      <formula>E$9&gt;=20/24</formula>
    </cfRule>
    <cfRule type="expression" dxfId="8447" priority="283">
      <formula>AND(E$9&gt;=14/24,E$9&lt;20/24)</formula>
    </cfRule>
    <cfRule type="expression" dxfId="8446" priority="284">
      <formula>AND(E$9&gt;=8/24,E$9&lt;14/24)</formula>
    </cfRule>
    <cfRule type="expression" dxfId="8445" priority="285">
      <formula>E$9&lt;8/24</formula>
    </cfRule>
  </conditionalFormatting>
  <conditionalFormatting sqref="AL78:AN78 AL84:AN84 AN79:AN80">
    <cfRule type="expression" dxfId="8444" priority="278">
      <formula>AL$9&gt;=20/24</formula>
    </cfRule>
    <cfRule type="expression" dxfId="8443" priority="279">
      <formula>AND(AL$9&gt;=14/24,AL$9&lt;20/24)</formula>
    </cfRule>
    <cfRule type="expression" dxfId="8442" priority="280">
      <formula>AND(AL$9&gt;=8/24,AL$9&lt;14/24)</formula>
    </cfRule>
    <cfRule type="expression" dxfId="8441" priority="281">
      <formula>AL$9&lt;8/24</formula>
    </cfRule>
  </conditionalFormatting>
  <conditionalFormatting sqref="AN81:AN82">
    <cfRule type="expression" dxfId="8440" priority="274">
      <formula>AN$9&gt;=20/24</formula>
    </cfRule>
    <cfRule type="expression" dxfId="8439" priority="275">
      <formula>AND(AN$9&gt;=14/24,AN$9&lt;20/24)</formula>
    </cfRule>
    <cfRule type="expression" dxfId="8438" priority="276">
      <formula>AND(AN$9&gt;=8/24,AN$9&lt;14/24)</formula>
    </cfRule>
    <cfRule type="expression" dxfId="8437" priority="277">
      <formula>AN$9&lt;8/24</formula>
    </cfRule>
  </conditionalFormatting>
  <conditionalFormatting sqref="AL79:AM83">
    <cfRule type="expression" dxfId="8436" priority="496">
      <formula>AJ$9&gt;=20/24</formula>
    </cfRule>
    <cfRule type="expression" dxfId="8435" priority="497">
      <formula>AND(AJ$9&gt;=14/24,AJ$9&lt;20/24)</formula>
    </cfRule>
    <cfRule type="expression" dxfId="8434" priority="498">
      <formula>AND(AJ$9&gt;=8/24,AJ$9&lt;14/24)</formula>
    </cfRule>
    <cfRule type="expression" dxfId="8433" priority="499">
      <formula>AJ$9&lt;8/24</formula>
    </cfRule>
  </conditionalFormatting>
  <conditionalFormatting sqref="A117">
    <cfRule type="expression" dxfId="8432" priority="273">
      <formula>$AH117=0</formula>
    </cfRule>
  </conditionalFormatting>
  <conditionalFormatting sqref="I34:Y43 I45:Y45 I19:Y32">
    <cfRule type="expression" dxfId="8431" priority="269">
      <formula>I$9&gt;=20/24</formula>
    </cfRule>
    <cfRule type="expression" dxfId="8430" priority="270">
      <formula>AND(I$9&gt;=14/24,I$9&lt;20/24)</formula>
    </cfRule>
    <cfRule type="expression" dxfId="8429" priority="271">
      <formula>AND(I$9&gt;=8/24,I$9&lt;14/24)</formula>
    </cfRule>
    <cfRule type="expression" dxfId="8428" priority="272">
      <formula>I$9&lt;8/24</formula>
    </cfRule>
  </conditionalFormatting>
  <conditionalFormatting sqref="I34:Y43 I45:Y45 I19:Y32">
    <cfRule type="expression" dxfId="8427" priority="268">
      <formula>I19&gt;$AG19</formula>
    </cfRule>
  </conditionalFormatting>
  <conditionalFormatting sqref="C53:E53">
    <cfRule type="expression" dxfId="8426" priority="256">
      <formula>C$9&gt;=20/24</formula>
    </cfRule>
    <cfRule type="expression" dxfId="8425" priority="257">
      <formula>AND(C$9&gt;=14/24,C$9&lt;20/24)</formula>
    </cfRule>
    <cfRule type="expression" dxfId="8424" priority="258">
      <formula>AND(C$9&gt;=8/24,C$9&lt;14/24)</formula>
    </cfRule>
    <cfRule type="expression" dxfId="8423" priority="259">
      <formula>C$9&lt;8/24</formula>
    </cfRule>
  </conditionalFormatting>
  <conditionalFormatting sqref="C53:E55 C57:E57">
    <cfRule type="expression" dxfId="8422" priority="255">
      <formula>C53&gt;$AG53</formula>
    </cfRule>
  </conditionalFormatting>
  <conditionalFormatting sqref="C67:D69 C72:D74">
    <cfRule type="expression" dxfId="8421" priority="251">
      <formula>C$9&gt;=20/24</formula>
    </cfRule>
    <cfRule type="expression" dxfId="8420" priority="252">
      <formula>AND(C$9&gt;=14/24,C$9&lt;20/24)</formula>
    </cfRule>
    <cfRule type="expression" dxfId="8419" priority="253">
      <formula>AND(C$9&gt;=8/24,C$9&lt;14/24)</formula>
    </cfRule>
    <cfRule type="expression" dxfId="8418" priority="254">
      <formula>C$9&lt;8/24</formula>
    </cfRule>
  </conditionalFormatting>
  <conditionalFormatting sqref="C67:D69">
    <cfRule type="expression" dxfId="8417" priority="250">
      <formula>C67&gt;$AG67</formula>
    </cfRule>
  </conditionalFormatting>
  <conditionalFormatting sqref="C88">
    <cfRule type="expression" dxfId="8416" priority="246">
      <formula>C$9&gt;=20/24</formula>
    </cfRule>
    <cfRule type="expression" dxfId="8415" priority="247">
      <formula>AND(C$9&gt;=14/24,C$9&lt;20/24)</formula>
    </cfRule>
    <cfRule type="expression" dxfId="8414" priority="248">
      <formula>AND(C$9&gt;=8/24,C$9&lt;14/24)</formula>
    </cfRule>
    <cfRule type="expression" dxfId="8413" priority="249">
      <formula>C$9&lt;8/24</formula>
    </cfRule>
  </conditionalFormatting>
  <conditionalFormatting sqref="C46:O46">
    <cfRule type="expression" dxfId="8412" priority="242">
      <formula>C$9&gt;=20/24</formula>
    </cfRule>
    <cfRule type="expression" dxfId="8411" priority="243">
      <formula>AND(C$9&gt;=14/24,C$9&lt;20/24)</formula>
    </cfRule>
    <cfRule type="expression" dxfId="8410" priority="244">
      <formula>AND(C$9&gt;=8/24,C$9&lt;14/24)</formula>
    </cfRule>
    <cfRule type="expression" dxfId="8409" priority="245">
      <formula>C$9&lt;8/24</formula>
    </cfRule>
  </conditionalFormatting>
  <conditionalFormatting sqref="C46:O46">
    <cfRule type="expression" dxfId="8408" priority="241">
      <formula>C46&gt;$AG46</formula>
    </cfRule>
  </conditionalFormatting>
  <conditionalFormatting sqref="C49:E49">
    <cfRule type="expression" dxfId="8407" priority="227">
      <formula>C49&gt;$AG49</formula>
    </cfRule>
  </conditionalFormatting>
  <conditionalFormatting sqref="C75:D75">
    <cfRule type="expression" dxfId="8406" priority="215">
      <formula>C$9&gt;=20/24</formula>
    </cfRule>
    <cfRule type="expression" dxfId="8405" priority="216">
      <formula>AND(C$9&gt;=14/24,C$9&lt;20/24)</formula>
    </cfRule>
    <cfRule type="expression" dxfId="8404" priority="217">
      <formula>AND(C$9&gt;=8/24,C$9&lt;14/24)</formula>
    </cfRule>
    <cfRule type="expression" dxfId="8403" priority="218">
      <formula>C$9&lt;8/24</formula>
    </cfRule>
  </conditionalFormatting>
  <conditionalFormatting sqref="A11">
    <cfRule type="expression" dxfId="8402" priority="187">
      <formula>$AH11=0</formula>
    </cfRule>
  </conditionalFormatting>
  <conditionalFormatting sqref="I11:AF11">
    <cfRule type="expression" dxfId="8401" priority="183">
      <formula>I$9&gt;=20/24</formula>
    </cfRule>
    <cfRule type="expression" dxfId="8400" priority="184">
      <formula>AND(I$9&gt;=14/24,I$9&lt;20/24)</formula>
    </cfRule>
    <cfRule type="expression" dxfId="8399" priority="185">
      <formula>AND(I$9&gt;=8/24,I$9&lt;14/24)</formula>
    </cfRule>
    <cfRule type="expression" dxfId="8398" priority="186">
      <formula>I$9&lt;8/24</formula>
    </cfRule>
  </conditionalFormatting>
  <conditionalFormatting sqref="I11:AF11">
    <cfRule type="expression" dxfId="8397" priority="182">
      <formula>I11&gt;$AG11</formula>
    </cfRule>
  </conditionalFormatting>
  <conditionalFormatting sqref="A16">
    <cfRule type="expression" dxfId="8396" priority="175">
      <formula>$AH16=0</formula>
    </cfRule>
  </conditionalFormatting>
  <conditionalFormatting sqref="AL1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I16:AF16">
    <cfRule type="expression" dxfId="8395" priority="171">
      <formula>I$9&gt;=20/24</formula>
    </cfRule>
    <cfRule type="expression" dxfId="8394" priority="172">
      <formula>AND(I$9&gt;=14/24,I$9&lt;20/24)</formula>
    </cfRule>
    <cfRule type="expression" dxfId="8393" priority="173">
      <formula>AND(I$9&gt;=8/24,I$9&lt;14/24)</formula>
    </cfRule>
    <cfRule type="expression" dxfId="8392" priority="174">
      <formula>I$9&lt;8/24</formula>
    </cfRule>
  </conditionalFormatting>
  <conditionalFormatting sqref="I16:AF16">
    <cfRule type="expression" dxfId="8391" priority="170">
      <formula>I16&gt;$AG16</formula>
    </cfRule>
  </conditionalFormatting>
  <conditionalFormatting sqref="A33">
    <cfRule type="expression" dxfId="8390" priority="163">
      <formula>$AH33=0</formula>
    </cfRule>
  </conditionalFormatting>
  <conditionalFormatting sqref="AL33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8389" priority="159">
      <formula>Z$9&gt;=20/24</formula>
    </cfRule>
    <cfRule type="expression" dxfId="8388" priority="160">
      <formula>AND(Z$9&gt;=14/24,Z$9&lt;20/24)</formula>
    </cfRule>
    <cfRule type="expression" dxfId="8387" priority="161">
      <formula>AND(Z$9&gt;=8/24,Z$9&lt;14/24)</formula>
    </cfRule>
    <cfRule type="expression" dxfId="8386" priority="162">
      <formula>Z$9&lt;8/24</formula>
    </cfRule>
  </conditionalFormatting>
  <conditionalFormatting sqref="Z33:AF33">
    <cfRule type="expression" dxfId="8385" priority="158">
      <formula>Z33&gt;$AG33</formula>
    </cfRule>
  </conditionalFormatting>
  <conditionalFormatting sqref="I33:Y33">
    <cfRule type="expression" dxfId="8384" priority="154">
      <formula>I$9&gt;=20/24</formula>
    </cfRule>
    <cfRule type="expression" dxfId="8383" priority="155">
      <formula>AND(I$9&gt;=14/24,I$9&lt;20/24)</formula>
    </cfRule>
    <cfRule type="expression" dxfId="8382" priority="156">
      <formula>AND(I$9&gt;=8/24,I$9&lt;14/24)</formula>
    </cfRule>
    <cfRule type="expression" dxfId="8381" priority="157">
      <formula>I$9&lt;8/24</formula>
    </cfRule>
  </conditionalFormatting>
  <conditionalFormatting sqref="I33:Y33">
    <cfRule type="expression" dxfId="8380" priority="153">
      <formula>I33&gt;$AG33</formula>
    </cfRule>
  </conditionalFormatting>
  <conditionalFormatting sqref="A44">
    <cfRule type="expression" dxfId="8379" priority="151">
      <formula>$AH44=0</formula>
    </cfRule>
  </conditionalFormatting>
  <conditionalFormatting sqref="AL44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8378" priority="150">
      <formula>Z44&gt;$AG44</formula>
    </cfRule>
  </conditionalFormatting>
  <conditionalFormatting sqref="Z44:AF44">
    <cfRule type="expression" dxfId="8377" priority="146">
      <formula>Z$9&gt;=20/24</formula>
    </cfRule>
    <cfRule type="expression" dxfId="8376" priority="147">
      <formula>AND(Z$9&gt;=14/24,Z$9&lt;20/24)</formula>
    </cfRule>
    <cfRule type="expression" dxfId="8375" priority="148">
      <formula>AND(Z$9&gt;=8/24,Z$9&lt;14/24)</formula>
    </cfRule>
    <cfRule type="expression" dxfId="8374" priority="149">
      <formula>Z$9&lt;8/24</formula>
    </cfRule>
  </conditionalFormatting>
  <conditionalFormatting sqref="I44:Y44">
    <cfRule type="expression" dxfId="8373" priority="142">
      <formula>I$9&gt;=20/24</formula>
    </cfRule>
    <cfRule type="expression" dxfId="8372" priority="143">
      <formula>AND(I$9&gt;=14/24,I$9&lt;20/24)</formula>
    </cfRule>
    <cfRule type="expression" dxfId="8371" priority="144">
      <formula>AND(I$9&gt;=8/24,I$9&lt;14/24)</formula>
    </cfRule>
    <cfRule type="expression" dxfId="8370" priority="145">
      <formula>I$9&lt;8/24</formula>
    </cfRule>
  </conditionalFormatting>
  <conditionalFormatting sqref="I44:Y44">
    <cfRule type="expression" dxfId="8369" priority="141">
      <formula>I44&gt;$AG44</formula>
    </cfRule>
  </conditionalFormatting>
  <conditionalFormatting sqref="E117:AF117">
    <cfRule type="expression" dxfId="8368" priority="137">
      <formula>E$9&gt;=20/24</formula>
    </cfRule>
    <cfRule type="expression" dxfId="8367" priority="138">
      <formula>AND(E$9&gt;=14/24,E$9&lt;20/24)</formula>
    </cfRule>
    <cfRule type="expression" dxfId="8366" priority="139">
      <formula>AND(E$9&gt;=8/24,E$9&lt;14/24)</formula>
    </cfRule>
    <cfRule type="expression" dxfId="8365" priority="140">
      <formula>E$9&lt;8/24</formula>
    </cfRule>
  </conditionalFormatting>
  <conditionalFormatting sqref="C117:D117">
    <cfRule type="expression" dxfId="8364" priority="133">
      <formula>C$9&gt;=20/24</formula>
    </cfRule>
    <cfRule type="expression" dxfId="8363" priority="134">
      <formula>AND(C$9&gt;=14/24,C$9&lt;20/24)</formula>
    </cfRule>
    <cfRule type="expression" dxfId="8362" priority="135">
      <formula>AND(C$9&gt;=8/24,C$9&lt;14/24)</formula>
    </cfRule>
    <cfRule type="expression" dxfId="8361" priority="136">
      <formula>C$9&lt;8/24</formula>
    </cfRule>
  </conditionalFormatting>
  <conditionalFormatting sqref="B109 B111:B116">
    <cfRule type="expression" dxfId="8360" priority="125">
      <formula>B$9&gt;=20/24</formula>
    </cfRule>
    <cfRule type="expression" dxfId="8359" priority="126">
      <formula>AND(B$9&gt;=14/24,B$9&lt;20/24)</formula>
    </cfRule>
    <cfRule type="expression" dxfId="8358" priority="127">
      <formula>AND(B$9&gt;=8/24,B$9&lt;14/24)</formula>
    </cfRule>
    <cfRule type="expression" dxfId="8357" priority="128">
      <formula>B$9&lt;8/24</formula>
    </cfRule>
  </conditionalFormatting>
  <conditionalFormatting sqref="B99">
    <cfRule type="expression" dxfId="8356" priority="121">
      <formula>B$9&gt;=20/24</formula>
    </cfRule>
    <cfRule type="expression" dxfId="8355" priority="122">
      <formula>AND(B$9&gt;=14/24,B$9&lt;20/24)</formula>
    </cfRule>
    <cfRule type="expression" dxfId="8354" priority="123">
      <formula>AND(B$9&gt;=8/24,B$9&lt;14/24)</formula>
    </cfRule>
    <cfRule type="expression" dxfId="8353" priority="124">
      <formula>B$9&lt;8/24</formula>
    </cfRule>
  </conditionalFormatting>
  <conditionalFormatting sqref="B71 B54:B57 C56:E56">
    <cfRule type="expression" dxfId="8352" priority="117">
      <formula>B$9&gt;=20/24</formula>
    </cfRule>
    <cfRule type="expression" dxfId="8351" priority="118">
      <formula>AND(B$9&gt;=14/24,B$9&lt;20/24)</formula>
    </cfRule>
    <cfRule type="expression" dxfId="8350" priority="119">
      <formula>AND(B$9&gt;=8/24,B$9&lt;14/24)</formula>
    </cfRule>
    <cfRule type="expression" dxfId="8349" priority="120">
      <formula>B$9&lt;8/24</formula>
    </cfRule>
  </conditionalFormatting>
  <conditionalFormatting sqref="B53">
    <cfRule type="expression" dxfId="8348" priority="113">
      <formula>B$9&gt;=20/24</formula>
    </cfRule>
    <cfRule type="expression" dxfId="8347" priority="114">
      <formula>AND(B$9&gt;=14/24,B$9&lt;20/24)</formula>
    </cfRule>
    <cfRule type="expression" dxfId="8346" priority="115">
      <formula>AND(B$9&gt;=8/24,B$9&lt;14/24)</formula>
    </cfRule>
    <cfRule type="expression" dxfId="8345" priority="116">
      <formula>B$9&lt;8/24</formula>
    </cfRule>
  </conditionalFormatting>
  <conditionalFormatting sqref="B53:B57 C56:E56">
    <cfRule type="expression" dxfId="8344" priority="112">
      <formula>B53&gt;$AG53</formula>
    </cfRule>
  </conditionalFormatting>
  <conditionalFormatting sqref="B96 B67:B69 B86 B72:B74 B47 B100:B106">
    <cfRule type="expression" dxfId="8343" priority="108">
      <formula>B$9&gt;=20/24</formula>
    </cfRule>
    <cfRule type="expression" dxfId="8342" priority="109">
      <formula>AND(B$9&gt;=14/24,B$9&lt;20/24)</formula>
    </cfRule>
    <cfRule type="expression" dxfId="8341" priority="110">
      <formula>AND(B$9&gt;=8/24,B$9&lt;14/24)</formula>
    </cfRule>
    <cfRule type="expression" dxfId="8340" priority="111">
      <formula>B$9&lt;8/24</formula>
    </cfRule>
  </conditionalFormatting>
  <conditionalFormatting sqref="B67:B69 B47">
    <cfRule type="expression" dxfId="8339" priority="107">
      <formula>B47&gt;$AG47</formula>
    </cfRule>
  </conditionalFormatting>
  <conditionalFormatting sqref="B97 B88">
    <cfRule type="expression" dxfId="8338" priority="103">
      <formula>B$9&gt;=20/24</formula>
    </cfRule>
    <cfRule type="expression" dxfId="8337" priority="104">
      <formula>AND(B$9&gt;=14/24,B$9&lt;20/24)</formula>
    </cfRule>
    <cfRule type="expression" dxfId="8336" priority="105">
      <formula>AND(B$9&gt;=8/24,B$9&lt;14/24)</formula>
    </cfRule>
    <cfRule type="expression" dxfId="8335" priority="106">
      <formula>B$9&lt;8/24</formula>
    </cfRule>
  </conditionalFormatting>
  <conditionalFormatting sqref="B58:E58">
    <cfRule type="expression" dxfId="8334" priority="99">
      <formula>B$9&gt;=20/24</formula>
    </cfRule>
    <cfRule type="expression" dxfId="8333" priority="100">
      <formula>AND(B$9&gt;=14/24,B$9&lt;20/24)</formula>
    </cfRule>
    <cfRule type="expression" dxfId="8332" priority="101">
      <formula>AND(B$9&gt;=8/24,B$9&lt;14/24)</formula>
    </cfRule>
    <cfRule type="expression" dxfId="8331" priority="102">
      <formula>B$9&lt;8/24</formula>
    </cfRule>
  </conditionalFormatting>
  <conditionalFormatting sqref="B58:E58">
    <cfRule type="expression" dxfId="8330" priority="98">
      <formula>B58&gt;$AG58</formula>
    </cfRule>
  </conditionalFormatting>
  <conditionalFormatting sqref="B91:B95">
    <cfRule type="expression" dxfId="8329" priority="94">
      <formula>B$9&gt;=20/24</formula>
    </cfRule>
    <cfRule type="expression" dxfId="8328" priority="95">
      <formula>AND(B$9&gt;=14/24,B$9&lt;20/24)</formula>
    </cfRule>
    <cfRule type="expression" dxfId="8327" priority="96">
      <formula>AND(B$9&gt;=8/24,B$9&lt;14/24)</formula>
    </cfRule>
    <cfRule type="expression" dxfId="8326" priority="97">
      <formula>B$9&lt;8/24</formula>
    </cfRule>
  </conditionalFormatting>
  <conditionalFormatting sqref="B49:B51 C50:E51">
    <cfRule type="expression" dxfId="8325" priority="90">
      <formula>B$9&gt;=20/24</formula>
    </cfRule>
    <cfRule type="expression" dxfId="8324" priority="91">
      <formula>AND(B$9&gt;=14/24,B$9&lt;20/24)</formula>
    </cfRule>
    <cfRule type="expression" dxfId="8323" priority="92">
      <formula>AND(B$9&gt;=8/24,B$9&lt;14/24)</formula>
    </cfRule>
    <cfRule type="expression" dxfId="8322" priority="93">
      <formula>B$9&lt;8/24</formula>
    </cfRule>
  </conditionalFormatting>
  <conditionalFormatting sqref="B49:B51 C50:E51">
    <cfRule type="expression" dxfId="8321" priority="89">
      <formula>B49&gt;$AG49</formula>
    </cfRule>
  </conditionalFormatting>
  <conditionalFormatting sqref="B107">
    <cfRule type="expression" dxfId="8320" priority="85">
      <formula>B$9&gt;=20/24</formula>
    </cfRule>
    <cfRule type="expression" dxfId="8319" priority="86">
      <formula>AND(B$9&gt;=14/24,B$9&lt;20/24)</formula>
    </cfRule>
    <cfRule type="expression" dxfId="8318" priority="87">
      <formula>AND(B$9&gt;=8/24,B$9&lt;14/24)</formula>
    </cfRule>
    <cfRule type="expression" dxfId="8317" priority="88">
      <formula>B$9&lt;8/24</formula>
    </cfRule>
  </conditionalFormatting>
  <conditionalFormatting sqref="B110">
    <cfRule type="expression" dxfId="8316" priority="81">
      <formula>B$9&gt;=20/24</formula>
    </cfRule>
    <cfRule type="expression" dxfId="8315" priority="82">
      <formula>AND(B$9&gt;=14/24,B$9&lt;20/24)</formula>
    </cfRule>
    <cfRule type="expression" dxfId="8314" priority="83">
      <formula>AND(B$9&gt;=8/24,B$9&lt;14/24)</formula>
    </cfRule>
    <cfRule type="expression" dxfId="8313" priority="84">
      <formula>B$9&lt;8/24</formula>
    </cfRule>
  </conditionalFormatting>
  <conditionalFormatting sqref="B17:H18">
    <cfRule type="expression" dxfId="8312" priority="77">
      <formula>B$9&gt;=20/24</formula>
    </cfRule>
    <cfRule type="expression" dxfId="8311" priority="78">
      <formula>AND(B$9&gt;=14/24,B$9&lt;20/24)</formula>
    </cfRule>
    <cfRule type="expression" dxfId="8310" priority="79">
      <formula>AND(B$9&gt;=8/24,B$9&lt;14/24)</formula>
    </cfRule>
    <cfRule type="expression" dxfId="8309" priority="80">
      <formula>B$9&lt;8/24</formula>
    </cfRule>
  </conditionalFormatting>
  <conditionalFormatting sqref="B17:H18">
    <cfRule type="expression" dxfId="8308" priority="76">
      <formula>B17&gt;$AG17</formula>
    </cfRule>
  </conditionalFormatting>
  <conditionalFormatting sqref="B83:B85 B75:B76 C76:D76">
    <cfRule type="expression" dxfId="8307" priority="72">
      <formula>B$9&gt;=20/24</formula>
    </cfRule>
    <cfRule type="expression" dxfId="8306" priority="73">
      <formula>AND(B$9&gt;=14/24,B$9&lt;20/24)</formula>
    </cfRule>
    <cfRule type="expression" dxfId="8305" priority="74">
      <formula>AND(B$9&gt;=8/24,B$9&lt;14/24)</formula>
    </cfRule>
    <cfRule type="expression" dxfId="8304" priority="75">
      <formula>B$9&lt;8/24</formula>
    </cfRule>
  </conditionalFormatting>
  <conditionalFormatting sqref="B46">
    <cfRule type="expression" dxfId="8303" priority="68">
      <formula>B$9&gt;=20/24</formula>
    </cfRule>
    <cfRule type="expression" dxfId="8302" priority="69">
      <formula>AND(B$9&gt;=14/24,B$9&lt;20/24)</formula>
    </cfRule>
    <cfRule type="expression" dxfId="8301" priority="70">
      <formula>AND(B$9&gt;=8/24,B$9&lt;14/24)</formula>
    </cfRule>
    <cfRule type="expression" dxfId="8300" priority="71">
      <formula>B$9&lt;8/24</formula>
    </cfRule>
  </conditionalFormatting>
  <conditionalFormatting sqref="B46">
    <cfRule type="expression" dxfId="8299" priority="67">
      <formula>B46&gt;$AG46</formula>
    </cfRule>
  </conditionalFormatting>
  <conditionalFormatting sqref="B98 B87 B89 B70">
    <cfRule type="expression" dxfId="8298" priority="63">
      <formula>B$9&gt;=20/24</formula>
    </cfRule>
    <cfRule type="expression" dxfId="8297" priority="64">
      <formula>AND(B$9&gt;=14/24,B$9&lt;20/24)</formula>
    </cfRule>
    <cfRule type="expression" dxfId="8296" priority="65">
      <formula>AND(B$9&gt;=8/24,B$9&lt;14/24)</formula>
    </cfRule>
    <cfRule type="expression" dxfId="8295" priority="66">
      <formula>B$9&lt;8/24</formula>
    </cfRule>
  </conditionalFormatting>
  <conditionalFormatting sqref="B70 B65:B66 B48">
    <cfRule type="expression" dxfId="8294" priority="62">
      <formula>B48&gt;$AG48</formula>
    </cfRule>
  </conditionalFormatting>
  <conditionalFormatting sqref="B82">
    <cfRule type="expression" dxfId="8293" priority="58">
      <formula>B$9&gt;=20/24</formula>
    </cfRule>
    <cfRule type="expression" dxfId="8292" priority="59">
      <formula>AND(B$9&gt;=14/24,B$9&lt;20/24)</formula>
    </cfRule>
    <cfRule type="expression" dxfId="8291" priority="60">
      <formula>AND(B$9&gt;=8/24,B$9&lt;14/24)</formula>
    </cfRule>
    <cfRule type="expression" dxfId="8290" priority="61">
      <formula>B$9&lt;8/24</formula>
    </cfRule>
  </conditionalFormatting>
  <conditionalFormatting sqref="B52">
    <cfRule type="expression" dxfId="8289" priority="54">
      <formula>B$9&gt;=20/24</formula>
    </cfRule>
    <cfRule type="expression" dxfId="8288" priority="55">
      <formula>AND(B$9&gt;=14/24,B$9&lt;20/24)</formula>
    </cfRule>
    <cfRule type="expression" dxfId="8287" priority="56">
      <formula>AND(B$9&gt;=8/24,B$9&lt;14/24)</formula>
    </cfRule>
    <cfRule type="expression" dxfId="8286" priority="57">
      <formula>B$9&lt;8/24</formula>
    </cfRule>
  </conditionalFormatting>
  <conditionalFormatting sqref="B52">
    <cfRule type="expression" dxfId="8285" priority="53">
      <formula>B52&gt;$AG52</formula>
    </cfRule>
  </conditionalFormatting>
  <conditionalFormatting sqref="B59:E64 F60:I64 J61:J64">
    <cfRule type="expression" dxfId="8284" priority="45">
      <formula>B$9&gt;=20/24</formula>
    </cfRule>
    <cfRule type="expression" dxfId="8283" priority="46">
      <formula>AND(B$9&gt;=14/24,B$9&lt;20/24)</formula>
    </cfRule>
    <cfRule type="expression" dxfId="8282" priority="47">
      <formula>AND(B$9&gt;=8/24,B$9&lt;14/24)</formula>
    </cfRule>
    <cfRule type="expression" dxfId="8281" priority="48">
      <formula>B$9&lt;8/24</formula>
    </cfRule>
  </conditionalFormatting>
  <conditionalFormatting sqref="B59:E64 F60:I64 J61:J64">
    <cfRule type="expression" dxfId="8280" priority="44">
      <formula>B59&gt;$AG59</formula>
    </cfRule>
  </conditionalFormatting>
  <conditionalFormatting sqref="B14:H15 B13">
    <cfRule type="expression" dxfId="8279" priority="43">
      <formula>B13&gt;$AG13</formula>
    </cfRule>
  </conditionalFormatting>
  <conditionalFormatting sqref="B12:H12">
    <cfRule type="expression" dxfId="8278" priority="39">
      <formula>B$9&gt;=20/24</formula>
    </cfRule>
    <cfRule type="expression" dxfId="8277" priority="40">
      <formula>AND(B$9&gt;=14/24,B$9&lt;20/24)</formula>
    </cfRule>
    <cfRule type="expression" dxfId="8276" priority="41">
      <formula>AND(B$9&gt;=8/24,B$9&lt;14/24)</formula>
    </cfRule>
    <cfRule type="expression" dxfId="8275" priority="42">
      <formula>B$9&lt;8/24</formula>
    </cfRule>
  </conditionalFormatting>
  <conditionalFormatting sqref="B12:H12">
    <cfRule type="expression" dxfId="8274" priority="38">
      <formula>B12&gt;$AG12</formula>
    </cfRule>
  </conditionalFormatting>
  <conditionalFormatting sqref="B14:H15 B13">
    <cfRule type="expression" dxfId="8273" priority="34">
      <formula>B$9&gt;=20/24</formula>
    </cfRule>
    <cfRule type="expression" dxfId="8272" priority="35">
      <formula>AND(B$9&gt;=14/24,B$9&lt;20/24)</formula>
    </cfRule>
    <cfRule type="expression" dxfId="8271" priority="36">
      <formula>AND(B$9&gt;=8/24,B$9&lt;14/24)</formula>
    </cfRule>
    <cfRule type="expression" dxfId="8270" priority="37">
      <formula>B$9&lt;8/24</formula>
    </cfRule>
  </conditionalFormatting>
  <conditionalFormatting sqref="B77:D81">
    <cfRule type="expression" dxfId="8269" priority="30">
      <formula>B$9&gt;=20/24</formula>
    </cfRule>
    <cfRule type="expression" dxfId="8268" priority="31">
      <formula>AND(B$9&gt;=14/24,B$9&lt;20/24)</formula>
    </cfRule>
    <cfRule type="expression" dxfId="8267" priority="32">
      <formula>AND(B$9&gt;=8/24,B$9&lt;14/24)</formula>
    </cfRule>
    <cfRule type="expression" dxfId="8266" priority="33">
      <formula>B$9&lt;8/24</formula>
    </cfRule>
  </conditionalFormatting>
  <conditionalFormatting sqref="B34:H43 B45:H45 B19:H32">
    <cfRule type="expression" dxfId="8265" priority="26">
      <formula>B$9&gt;=20/24</formula>
    </cfRule>
    <cfRule type="expression" dxfId="8264" priority="27">
      <formula>AND(B$9&gt;=14/24,B$9&lt;20/24)</formula>
    </cfRule>
    <cfRule type="expression" dxfId="8263" priority="28">
      <formula>AND(B$9&gt;=8/24,B$9&lt;14/24)</formula>
    </cfRule>
    <cfRule type="expression" dxfId="8262" priority="29">
      <formula>B$9&lt;8/24</formula>
    </cfRule>
  </conditionalFormatting>
  <conditionalFormatting sqref="B34:H43 B45:H45 B19:H32">
    <cfRule type="expression" dxfId="8261" priority="25">
      <formula>B19&gt;$AG19</formula>
    </cfRule>
  </conditionalFormatting>
  <conditionalFormatting sqref="B11:H11">
    <cfRule type="expression" dxfId="8260" priority="21">
      <formula>B$9&gt;=20/24</formula>
    </cfRule>
    <cfRule type="expression" dxfId="8259" priority="22">
      <formula>AND(B$9&gt;=14/24,B$9&lt;20/24)</formula>
    </cfRule>
    <cfRule type="expression" dxfId="8258" priority="23">
      <formula>AND(B$9&gt;=8/24,B$9&lt;14/24)</formula>
    </cfRule>
    <cfRule type="expression" dxfId="8257" priority="24">
      <formula>B$9&lt;8/24</formula>
    </cfRule>
  </conditionalFormatting>
  <conditionalFormatting sqref="B11:H11">
    <cfRule type="expression" dxfId="8256" priority="20">
      <formula>B11&gt;$AG11</formula>
    </cfRule>
  </conditionalFormatting>
  <conditionalFormatting sqref="B16:H16">
    <cfRule type="expression" dxfId="8255" priority="16">
      <formula>B$9&gt;=20/24</formula>
    </cfRule>
    <cfRule type="expression" dxfId="8254" priority="17">
      <formula>AND(B$9&gt;=14/24,B$9&lt;20/24)</formula>
    </cfRule>
    <cfRule type="expression" dxfId="8253" priority="18">
      <formula>AND(B$9&gt;=8/24,B$9&lt;14/24)</formula>
    </cfRule>
    <cfRule type="expression" dxfId="8252" priority="19">
      <formula>B$9&lt;8/24</formula>
    </cfRule>
  </conditionalFormatting>
  <conditionalFormatting sqref="B16:H16">
    <cfRule type="expression" dxfId="8251" priority="15">
      <formula>B16&gt;$AG16</formula>
    </cfRule>
  </conditionalFormatting>
  <conditionalFormatting sqref="B33:H33">
    <cfRule type="expression" dxfId="8250" priority="11">
      <formula>B$9&gt;=20/24</formula>
    </cfRule>
    <cfRule type="expression" dxfId="8249" priority="12">
      <formula>AND(B$9&gt;=14/24,B$9&lt;20/24)</formula>
    </cfRule>
    <cfRule type="expression" dxfId="8248" priority="13">
      <formula>AND(B$9&gt;=8/24,B$9&lt;14/24)</formula>
    </cfRule>
    <cfRule type="expression" dxfId="8247" priority="14">
      <formula>B$9&lt;8/24</formula>
    </cfRule>
  </conditionalFormatting>
  <conditionalFormatting sqref="B33:H33">
    <cfRule type="expression" dxfId="8246" priority="10">
      <formula>B33&gt;$AG33</formula>
    </cfRule>
  </conditionalFormatting>
  <conditionalFormatting sqref="B44:H44">
    <cfRule type="expression" dxfId="8245" priority="6">
      <formula>B$9&gt;=20/24</formula>
    </cfRule>
    <cfRule type="expression" dxfId="8244" priority="7">
      <formula>AND(B$9&gt;=14/24,B$9&lt;20/24)</formula>
    </cfRule>
    <cfRule type="expression" dxfId="8243" priority="8">
      <formula>AND(B$9&gt;=8/24,B$9&lt;14/24)</formula>
    </cfRule>
    <cfRule type="expression" dxfId="8242" priority="9">
      <formula>B$9&lt;8/24</formula>
    </cfRule>
  </conditionalFormatting>
  <conditionalFormatting sqref="B44:H44">
    <cfRule type="expression" dxfId="8241" priority="5">
      <formula>B44&gt;$AG44</formula>
    </cfRule>
  </conditionalFormatting>
  <conditionalFormatting sqref="B117">
    <cfRule type="expression" dxfId="8240" priority="1">
      <formula>B$9&gt;=20/24</formula>
    </cfRule>
    <cfRule type="expression" dxfId="8239" priority="2">
      <formula>AND(B$9&gt;=14/24,B$9&lt;20/24)</formula>
    </cfRule>
    <cfRule type="expression" dxfId="8238" priority="3">
      <formula>AND(B$9&gt;=8/24,B$9&lt;14/24)</formula>
    </cfRule>
    <cfRule type="expression" dxfId="8237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9" id="{484874D0-958A-45C9-A4DE-AB8DD4EB442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10" id="{15DD3F38-E337-4086-A044-CE39118C375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1" id="{010FF53B-B1F1-4E19-912D-952B1B1B8C7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12" id="{CF90AEEC-E3B4-4945-980C-043135364A4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49" id="{9A14994F-F8F0-486F-B013-580FF979BCD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C1881370-3A65-4821-A4D5-9CDCFFDD9D2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0E840664-035F-4CA7-9FD3-C00243A7DBC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D13A5AD8-C6ED-48B1-A5D3-83D1495D984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49" activePane="bottomLeft" state="frozen"/>
      <selection activeCell="Z85" sqref="Z85"/>
      <selection pane="bottomLeft" activeCell="AH11" sqref="AH11:AI11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2079/12/11</v>
      </c>
      <c r="C4" s="196"/>
      <c r="D4" s="196"/>
      <c r="E4" s="197" t="str">
        <f ca="1">"2079/"&amp;"12/"&amp;INT(MID(CELL("filename",G6),FIND("]",CELL("filename",G6))+1,200))</f>
        <v>2079/12/11</v>
      </c>
      <c r="F4" s="197"/>
      <c r="G4" s="197"/>
      <c r="H4" s="197" t="str">
        <f ca="1">TEXT(E4,"dddd")</f>
        <v>Monday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407.6</v>
      </c>
      <c r="C5" s="33">
        <f t="shared" si="0"/>
        <v>471.5</v>
      </c>
      <c r="D5" s="33">
        <f t="shared" si="0"/>
        <v>475.6</v>
      </c>
      <c r="E5" s="33">
        <f t="shared" si="0"/>
        <v>496.70000000000005</v>
      </c>
      <c r="F5" s="33">
        <f t="shared" si="0"/>
        <v>416</v>
      </c>
      <c r="G5" s="33">
        <f t="shared" si="0"/>
        <v>494.9</v>
      </c>
      <c r="H5" s="33">
        <f t="shared" si="0"/>
        <v>446.1</v>
      </c>
      <c r="I5" s="33">
        <f t="shared" si="0"/>
        <v>445.4</v>
      </c>
      <c r="J5" s="33">
        <f t="shared" si="0"/>
        <v>392.09999999999997</v>
      </c>
      <c r="K5" s="33">
        <f t="shared" si="0"/>
        <v>385</v>
      </c>
      <c r="L5" s="33">
        <f t="shared" si="0"/>
        <v>441.90000000000003</v>
      </c>
      <c r="M5" s="33">
        <f t="shared" si="0"/>
        <v>430.3</v>
      </c>
      <c r="N5" s="33">
        <f t="shared" si="0"/>
        <v>416.7</v>
      </c>
      <c r="O5" s="33">
        <f t="shared" si="0"/>
        <v>383</v>
      </c>
      <c r="P5" s="33">
        <f t="shared" si="0"/>
        <v>317</v>
      </c>
      <c r="Q5" s="33">
        <f t="shared" si="0"/>
        <v>332.4</v>
      </c>
      <c r="R5" s="33">
        <f t="shared" si="0"/>
        <v>418</v>
      </c>
      <c r="S5" s="33">
        <f t="shared" si="0"/>
        <v>426.6</v>
      </c>
      <c r="T5" s="33">
        <f t="shared" si="0"/>
        <v>416</v>
      </c>
      <c r="U5" s="33">
        <f t="shared" si="0"/>
        <v>414.7</v>
      </c>
      <c r="V5" s="33">
        <f t="shared" si="0"/>
        <v>401.7</v>
      </c>
      <c r="W5" s="33">
        <f t="shared" si="0"/>
        <v>388</v>
      </c>
      <c r="X5" s="33">
        <f t="shared" si="0"/>
        <v>382</v>
      </c>
      <c r="Y5" s="33">
        <f t="shared" si="0"/>
        <v>350</v>
      </c>
      <c r="Z5" s="33">
        <f t="shared" si="0"/>
        <v>327</v>
      </c>
      <c r="AA5" s="33">
        <f t="shared" si="0"/>
        <v>327</v>
      </c>
      <c r="AB5" s="33">
        <f t="shared" si="0"/>
        <v>333</v>
      </c>
      <c r="AC5" s="33">
        <f t="shared" si="0"/>
        <v>329.1</v>
      </c>
      <c r="AD5" s="33">
        <f t="shared" si="0"/>
        <v>347</v>
      </c>
      <c r="AE5" s="33">
        <f t="shared" si="0"/>
        <v>384.4</v>
      </c>
      <c r="AF5" s="33">
        <f>B82</f>
        <v>407.6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1271MW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Load=924</v>
      </c>
      <c r="B7" s="38">
        <f t="shared" ref="B7:AF7" si="1">B89</f>
        <v>1036.04</v>
      </c>
      <c r="C7" s="38">
        <f t="shared" si="1"/>
        <v>924.04000000000008</v>
      </c>
      <c r="D7" s="38">
        <f t="shared" si="1"/>
        <v>986.94</v>
      </c>
      <c r="E7" s="38">
        <f t="shared" si="1"/>
        <v>997.04000000000008</v>
      </c>
      <c r="F7" s="38">
        <f t="shared" si="1"/>
        <v>994.6400000000001</v>
      </c>
      <c r="G7" s="38">
        <f t="shared" si="1"/>
        <v>987.6400000000001</v>
      </c>
      <c r="H7" s="38">
        <f t="shared" si="1"/>
        <v>1107.8400000000001</v>
      </c>
      <c r="I7" s="38">
        <f t="shared" si="1"/>
        <v>1132.3400000000001</v>
      </c>
      <c r="J7" s="38">
        <f t="shared" si="1"/>
        <v>1190.3400000000001</v>
      </c>
      <c r="K7" s="38">
        <f t="shared" si="1"/>
        <v>1258.8399999999999</v>
      </c>
      <c r="L7" s="38">
        <f t="shared" si="1"/>
        <v>1271.44</v>
      </c>
      <c r="M7" s="38">
        <f t="shared" si="1"/>
        <v>1268.74</v>
      </c>
      <c r="N7" s="38">
        <f>N89</f>
        <v>1164.1400000000001</v>
      </c>
      <c r="O7" s="38">
        <f t="shared" si="1"/>
        <v>1134.74</v>
      </c>
      <c r="P7" s="38">
        <f t="shared" si="1"/>
        <v>1094.6400000000001</v>
      </c>
      <c r="Q7" s="38">
        <f t="shared" si="1"/>
        <v>1030.54</v>
      </c>
      <c r="R7" s="38">
        <f t="shared" si="1"/>
        <v>1034.04</v>
      </c>
      <c r="S7" s="38">
        <f t="shared" si="1"/>
        <v>1019.94</v>
      </c>
      <c r="T7" s="38">
        <f t="shared" si="1"/>
        <v>1036.04</v>
      </c>
      <c r="U7" s="38">
        <f t="shared" si="1"/>
        <v>1079.3400000000001</v>
      </c>
      <c r="V7" s="38">
        <f t="shared" si="1"/>
        <v>1077.04</v>
      </c>
      <c r="W7" s="38">
        <f t="shared" si="1"/>
        <v>1088.04</v>
      </c>
      <c r="X7" s="38">
        <f t="shared" si="1"/>
        <v>1174.74</v>
      </c>
      <c r="Y7" s="38">
        <f t="shared" si="1"/>
        <v>1289.1400000000001</v>
      </c>
      <c r="Z7" s="38">
        <f t="shared" si="1"/>
        <v>1455.0400000000002</v>
      </c>
      <c r="AA7" s="38">
        <f t="shared" si="1"/>
        <v>1441.94</v>
      </c>
      <c r="AB7" s="38">
        <f t="shared" si="1"/>
        <v>1442.94</v>
      </c>
      <c r="AC7" s="38">
        <f t="shared" si="1"/>
        <v>1369.94</v>
      </c>
      <c r="AD7" s="38">
        <f t="shared" si="1"/>
        <v>1274.44</v>
      </c>
      <c r="AE7" s="38">
        <f t="shared" si="1"/>
        <v>1118.3400000000001</v>
      </c>
      <c r="AF7" s="38">
        <f t="shared" si="1"/>
        <v>1080.74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28</v>
      </c>
      <c r="C11" s="50">
        <v>28</v>
      </c>
      <c r="D11" s="50">
        <v>28</v>
      </c>
      <c r="E11" s="50">
        <v>28</v>
      </c>
      <c r="F11" s="50">
        <v>28</v>
      </c>
      <c r="G11" s="50">
        <v>28</v>
      </c>
      <c r="H11" s="50">
        <v>28</v>
      </c>
      <c r="I11" s="50">
        <v>28</v>
      </c>
      <c r="J11" s="50">
        <v>28</v>
      </c>
      <c r="K11" s="50">
        <v>28</v>
      </c>
      <c r="L11" s="50">
        <v>28</v>
      </c>
      <c r="M11" s="50">
        <v>28</v>
      </c>
      <c r="N11" s="50">
        <v>28</v>
      </c>
      <c r="O11" s="50">
        <v>28</v>
      </c>
      <c r="P11" s="50">
        <v>28</v>
      </c>
      <c r="Q11" s="50">
        <v>28</v>
      </c>
      <c r="R11" s="50">
        <v>28</v>
      </c>
      <c r="S11" s="50">
        <v>28</v>
      </c>
      <c r="T11" s="50">
        <v>28</v>
      </c>
      <c r="U11" s="50">
        <v>28</v>
      </c>
      <c r="V11" s="50">
        <v>28</v>
      </c>
      <c r="W11" s="50">
        <v>28</v>
      </c>
      <c r="X11" s="50">
        <v>28</v>
      </c>
      <c r="Y11" s="50">
        <v>28</v>
      </c>
      <c r="Z11" s="50">
        <v>28</v>
      </c>
      <c r="AA11" s="50">
        <v>28</v>
      </c>
      <c r="AB11" s="50">
        <v>28</v>
      </c>
      <c r="AC11" s="50">
        <v>28</v>
      </c>
      <c r="AD11" s="50">
        <v>28</v>
      </c>
      <c r="AE11" s="50">
        <v>28</v>
      </c>
      <c r="AF11" s="50">
        <v>28</v>
      </c>
      <c r="AG11" s="51">
        <v>86</v>
      </c>
      <c r="AH11" s="52">
        <f t="shared" ref="AH11:AH74" si="2">MAX(B11:AF11)</f>
        <v>28</v>
      </c>
      <c r="AI11" s="53">
        <f t="shared" ref="AI11:AI74" si="3">MIN(B11:AF11)</f>
        <v>28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14.1</v>
      </c>
      <c r="C12" s="50">
        <v>14.1</v>
      </c>
      <c r="D12" s="50">
        <v>14.1</v>
      </c>
      <c r="E12" s="50">
        <v>14.1</v>
      </c>
      <c r="F12" s="50">
        <v>14.1</v>
      </c>
      <c r="G12" s="50">
        <v>14.1</v>
      </c>
      <c r="H12" s="50">
        <v>14.1</v>
      </c>
      <c r="I12" s="50">
        <v>14.1</v>
      </c>
      <c r="J12" s="50">
        <v>17.7</v>
      </c>
      <c r="K12" s="50">
        <v>17.7</v>
      </c>
      <c r="L12" s="50">
        <v>17.8</v>
      </c>
      <c r="M12" s="50">
        <v>17.8</v>
      </c>
      <c r="N12" s="50">
        <v>8.4</v>
      </c>
      <c r="O12" s="50">
        <v>8.4</v>
      </c>
      <c r="P12" s="50">
        <v>8.4</v>
      </c>
      <c r="Q12" s="50">
        <v>8.4</v>
      </c>
      <c r="R12" s="50">
        <v>0</v>
      </c>
      <c r="S12" s="50">
        <v>0</v>
      </c>
      <c r="T12" s="50">
        <v>13.6</v>
      </c>
      <c r="U12" s="50">
        <v>13.6</v>
      </c>
      <c r="V12" s="50">
        <v>13.6</v>
      </c>
      <c r="W12" s="50">
        <v>13.6</v>
      </c>
      <c r="X12" s="50">
        <v>13.6</v>
      </c>
      <c r="Y12" s="50">
        <v>13.6</v>
      </c>
      <c r="Z12" s="50">
        <v>19</v>
      </c>
      <c r="AA12" s="50">
        <v>19</v>
      </c>
      <c r="AB12" s="50">
        <v>19</v>
      </c>
      <c r="AC12" s="50">
        <v>19</v>
      </c>
      <c r="AD12" s="50">
        <v>19</v>
      </c>
      <c r="AE12" s="50">
        <v>19</v>
      </c>
      <c r="AF12" s="50">
        <v>19</v>
      </c>
      <c r="AG12" s="51">
        <v>52.4</v>
      </c>
      <c r="AH12" s="52">
        <f t="shared" si="2"/>
        <v>19</v>
      </c>
      <c r="AI12" s="53">
        <f t="shared" si="3"/>
        <v>0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18.399999999999999</v>
      </c>
      <c r="C14" s="50">
        <v>18.399999999999999</v>
      </c>
      <c r="D14" s="50">
        <v>18.399999999999999</v>
      </c>
      <c r="E14" s="50">
        <v>18.399999999999999</v>
      </c>
      <c r="F14" s="50">
        <v>18.399999999999999</v>
      </c>
      <c r="G14" s="50">
        <v>18.399999999999999</v>
      </c>
      <c r="H14" s="50">
        <v>18.399999999999999</v>
      </c>
      <c r="I14" s="50">
        <v>18.399999999999999</v>
      </c>
      <c r="J14" s="50">
        <v>18.399999999999999</v>
      </c>
      <c r="K14" s="50">
        <v>18.399999999999999</v>
      </c>
      <c r="L14" s="50">
        <v>18.399999999999999</v>
      </c>
      <c r="M14" s="50">
        <v>18.399999999999999</v>
      </c>
      <c r="N14" s="50">
        <v>18.399999999999999</v>
      </c>
      <c r="O14" s="50">
        <v>18.399999999999999</v>
      </c>
      <c r="P14" s="50">
        <v>18.399999999999999</v>
      </c>
      <c r="Q14" s="50">
        <v>16.2</v>
      </c>
      <c r="R14" s="50">
        <v>16.2</v>
      </c>
      <c r="S14" s="50">
        <v>16.2</v>
      </c>
      <c r="T14" s="50">
        <v>15.6</v>
      </c>
      <c r="U14" s="50">
        <v>15.6</v>
      </c>
      <c r="V14" s="50">
        <v>15.6</v>
      </c>
      <c r="W14" s="50">
        <v>15.6</v>
      </c>
      <c r="X14" s="50">
        <v>15.6</v>
      </c>
      <c r="Y14" s="50">
        <v>15.6</v>
      </c>
      <c r="Z14" s="50">
        <v>15.6</v>
      </c>
      <c r="AA14" s="50">
        <v>15.6</v>
      </c>
      <c r="AB14" s="50">
        <v>15.6</v>
      </c>
      <c r="AC14" s="50">
        <v>15.6</v>
      </c>
      <c r="AD14" s="50">
        <v>15.6</v>
      </c>
      <c r="AE14" s="50">
        <v>15.6</v>
      </c>
      <c r="AF14" s="50">
        <v>15.6</v>
      </c>
      <c r="AG14" s="55">
        <v>45</v>
      </c>
      <c r="AH14" s="52">
        <f t="shared" si="2"/>
        <v>18.399999999999999</v>
      </c>
      <c r="AI14" s="53">
        <f t="shared" si="3"/>
        <v>15.6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8</v>
      </c>
      <c r="C15" s="50">
        <v>8</v>
      </c>
      <c r="D15" s="50">
        <v>8</v>
      </c>
      <c r="E15" s="50">
        <v>8</v>
      </c>
      <c r="F15" s="50">
        <v>8</v>
      </c>
      <c r="G15" s="50">
        <v>8</v>
      </c>
      <c r="H15" s="50">
        <v>8</v>
      </c>
      <c r="I15" s="50">
        <v>8</v>
      </c>
      <c r="J15" s="50">
        <v>9.5</v>
      </c>
      <c r="K15" s="50">
        <v>9.5</v>
      </c>
      <c r="L15" s="50">
        <v>9.5</v>
      </c>
      <c r="M15" s="50">
        <v>9.5</v>
      </c>
      <c r="N15" s="50">
        <v>9.5</v>
      </c>
      <c r="O15" s="50">
        <v>9.5</v>
      </c>
      <c r="P15" s="50">
        <v>9.5</v>
      </c>
      <c r="Q15" s="50">
        <v>9.5</v>
      </c>
      <c r="R15" s="50">
        <v>9.5</v>
      </c>
      <c r="S15" s="50">
        <v>9.5</v>
      </c>
      <c r="T15" s="50">
        <v>9.5</v>
      </c>
      <c r="U15" s="50">
        <v>9.5</v>
      </c>
      <c r="V15" s="50">
        <v>9.5</v>
      </c>
      <c r="W15" s="50">
        <v>9.5</v>
      </c>
      <c r="X15" s="50">
        <v>9.5</v>
      </c>
      <c r="Y15" s="50">
        <v>9.5</v>
      </c>
      <c r="Z15" s="50">
        <v>9.5</v>
      </c>
      <c r="AA15" s="50">
        <v>9.5</v>
      </c>
      <c r="AB15" s="50">
        <v>9.5</v>
      </c>
      <c r="AC15" s="50">
        <v>9.5</v>
      </c>
      <c r="AD15" s="50">
        <v>9.5</v>
      </c>
      <c r="AE15" s="50">
        <v>9.5</v>
      </c>
      <c r="AF15" s="50">
        <v>9.5</v>
      </c>
      <c r="AG15" s="55">
        <v>42</v>
      </c>
      <c r="AH15" s="52">
        <f t="shared" si="2"/>
        <v>9.5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8.1999999999999993</v>
      </c>
      <c r="C18" s="50">
        <v>8.1999999999999993</v>
      </c>
      <c r="D18" s="50">
        <v>8.1999999999999993</v>
      </c>
      <c r="E18" s="50">
        <v>8.1999999999999993</v>
      </c>
      <c r="F18" s="50">
        <v>8.1999999999999993</v>
      </c>
      <c r="G18" s="50">
        <v>8.1999999999999993</v>
      </c>
      <c r="H18" s="50">
        <v>8.1999999999999993</v>
      </c>
      <c r="I18" s="50">
        <v>8.1999999999999993</v>
      </c>
      <c r="J18" s="50">
        <v>7.6</v>
      </c>
      <c r="K18" s="50">
        <v>7.6</v>
      </c>
      <c r="L18" s="50">
        <v>7.6</v>
      </c>
      <c r="M18" s="50">
        <v>7.6</v>
      </c>
      <c r="N18" s="50">
        <v>7.6</v>
      </c>
      <c r="O18" s="50">
        <v>7.6</v>
      </c>
      <c r="P18" s="50">
        <v>7.6</v>
      </c>
      <c r="Q18" s="50">
        <v>7.6</v>
      </c>
      <c r="R18" s="50">
        <v>7.6</v>
      </c>
      <c r="S18" s="50">
        <v>7.6</v>
      </c>
      <c r="T18" s="50">
        <v>7.6</v>
      </c>
      <c r="U18" s="50">
        <v>7.6</v>
      </c>
      <c r="V18" s="50">
        <v>7.6</v>
      </c>
      <c r="W18" s="50">
        <v>7.6</v>
      </c>
      <c r="X18" s="50">
        <v>7.6</v>
      </c>
      <c r="Y18" s="50">
        <v>7.6</v>
      </c>
      <c r="Z18" s="50">
        <v>7.6</v>
      </c>
      <c r="AA18" s="50">
        <v>7.6</v>
      </c>
      <c r="AB18" s="50">
        <v>7.6</v>
      </c>
      <c r="AC18" s="50">
        <v>7.6</v>
      </c>
      <c r="AD18" s="50">
        <v>7.6</v>
      </c>
      <c r="AE18" s="50">
        <v>7.6</v>
      </c>
      <c r="AF18" s="50">
        <v>7.6</v>
      </c>
      <c r="AG18" s="56">
        <v>30</v>
      </c>
      <c r="AH18" s="52">
        <f t="shared" si="2"/>
        <v>8.1999999999999993</v>
      </c>
      <c r="AI18" s="53">
        <f t="shared" si="3"/>
        <v>7.6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15</v>
      </c>
      <c r="AA19" s="50">
        <v>15</v>
      </c>
      <c r="AB19" s="50">
        <v>15</v>
      </c>
      <c r="AC19" s="50">
        <v>15</v>
      </c>
      <c r="AD19" s="50">
        <v>15</v>
      </c>
      <c r="AE19" s="50">
        <v>15</v>
      </c>
      <c r="AF19" s="50">
        <v>15</v>
      </c>
      <c r="AG19" s="55">
        <v>24.2</v>
      </c>
      <c r="AH19" s="52">
        <f t="shared" si="2"/>
        <v>15</v>
      </c>
      <c r="AI19" s="53">
        <f t="shared" si="3"/>
        <v>0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8</v>
      </c>
      <c r="C20" s="50">
        <v>8</v>
      </c>
      <c r="D20" s="50">
        <v>8</v>
      </c>
      <c r="E20" s="50">
        <v>8</v>
      </c>
      <c r="F20" s="50">
        <v>8</v>
      </c>
      <c r="G20" s="50">
        <v>8</v>
      </c>
      <c r="H20" s="50">
        <v>8</v>
      </c>
      <c r="I20" s="50">
        <v>8</v>
      </c>
      <c r="J20" s="50">
        <v>8</v>
      </c>
      <c r="K20" s="50">
        <v>8</v>
      </c>
      <c r="L20" s="50">
        <v>8</v>
      </c>
      <c r="M20" s="50">
        <v>8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12</v>
      </c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12.4</v>
      </c>
      <c r="C22" s="50">
        <v>12.4</v>
      </c>
      <c r="D22" s="50">
        <v>12.4</v>
      </c>
      <c r="E22" s="50">
        <v>12.4</v>
      </c>
      <c r="F22" s="50">
        <v>12.4</v>
      </c>
      <c r="G22" s="50">
        <v>12.4</v>
      </c>
      <c r="H22" s="50">
        <v>12.4</v>
      </c>
      <c r="I22" s="50">
        <v>12.4</v>
      </c>
      <c r="J22" s="50">
        <v>12.4</v>
      </c>
      <c r="K22" s="50">
        <v>12.4</v>
      </c>
      <c r="L22" s="50">
        <v>12.4</v>
      </c>
      <c r="M22" s="50">
        <v>12.4</v>
      </c>
      <c r="N22" s="50">
        <v>12.4</v>
      </c>
      <c r="O22" s="50">
        <v>12.4</v>
      </c>
      <c r="P22" s="50">
        <v>12.4</v>
      </c>
      <c r="Q22" s="50">
        <v>12.4</v>
      </c>
      <c r="R22" s="50">
        <v>12.4</v>
      </c>
      <c r="S22" s="50">
        <v>12.4</v>
      </c>
      <c r="T22" s="50">
        <v>12.4</v>
      </c>
      <c r="U22" s="50">
        <v>12.4</v>
      </c>
      <c r="V22" s="50">
        <v>12.4</v>
      </c>
      <c r="W22" s="50">
        <v>12.4</v>
      </c>
      <c r="X22" s="50">
        <v>12.4</v>
      </c>
      <c r="Y22" s="50">
        <v>12.4</v>
      </c>
      <c r="Z22" s="50">
        <v>12.4</v>
      </c>
      <c r="AA22" s="50">
        <v>12.4</v>
      </c>
      <c r="AB22" s="50">
        <v>12.4</v>
      </c>
      <c r="AC22" s="50">
        <v>12.4</v>
      </c>
      <c r="AD22" s="50">
        <v>12.4</v>
      </c>
      <c r="AE22" s="50">
        <v>12.4</v>
      </c>
      <c r="AF22" s="50">
        <v>12.4</v>
      </c>
      <c r="AG22" s="55">
        <v>25</v>
      </c>
      <c r="AH22" s="52">
        <f t="shared" si="2"/>
        <v>12.4</v>
      </c>
      <c r="AI22" s="53">
        <f t="shared" si="3"/>
        <v>12.4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8.1999999999999993</v>
      </c>
      <c r="C26" s="50">
        <v>8.1999999999999993</v>
      </c>
      <c r="D26" s="50">
        <v>8.1999999999999993</v>
      </c>
      <c r="E26" s="50">
        <v>8.1999999999999993</v>
      </c>
      <c r="F26" s="50">
        <v>8.1999999999999993</v>
      </c>
      <c r="G26" s="50">
        <v>8.1999999999999993</v>
      </c>
      <c r="H26" s="50">
        <v>8.1999999999999993</v>
      </c>
      <c r="I26" s="50">
        <v>8.1999999999999993</v>
      </c>
      <c r="J26" s="50">
        <v>8.1999999999999993</v>
      </c>
      <c r="K26" s="50">
        <v>8.1999999999999993</v>
      </c>
      <c r="L26" s="50">
        <v>8.1999999999999993</v>
      </c>
      <c r="M26" s="50">
        <v>8.1999999999999993</v>
      </c>
      <c r="N26" s="50">
        <v>8.1999999999999993</v>
      </c>
      <c r="O26" s="50">
        <v>8.1999999999999993</v>
      </c>
      <c r="P26" s="50">
        <v>8.1999999999999993</v>
      </c>
      <c r="Q26" s="50">
        <v>8.1999999999999993</v>
      </c>
      <c r="R26" s="50">
        <v>8.1999999999999993</v>
      </c>
      <c r="S26" s="50">
        <v>8.1999999999999993</v>
      </c>
      <c r="T26" s="50">
        <v>8.1999999999999993</v>
      </c>
      <c r="U26" s="50">
        <v>8.1999999999999993</v>
      </c>
      <c r="V26" s="50">
        <v>8.1999999999999993</v>
      </c>
      <c r="W26" s="50">
        <v>8.1999999999999993</v>
      </c>
      <c r="X26" s="50">
        <v>8.1999999999999993</v>
      </c>
      <c r="Y26" s="50">
        <v>8.1999999999999993</v>
      </c>
      <c r="Z26" s="50">
        <v>8.1999999999999993</v>
      </c>
      <c r="AA26" s="50">
        <v>8.1999999999999993</v>
      </c>
      <c r="AB26" s="50">
        <v>8.1999999999999993</v>
      </c>
      <c r="AC26" s="50">
        <v>8.1999999999999993</v>
      </c>
      <c r="AD26" s="50">
        <v>8.1999999999999993</v>
      </c>
      <c r="AE26" s="50">
        <v>8.1999999999999993</v>
      </c>
      <c r="AF26" s="50">
        <v>8.1999999999999993</v>
      </c>
      <c r="AG26" s="55">
        <v>23.5</v>
      </c>
      <c r="AH26" s="52">
        <f t="shared" si="2"/>
        <v>8.1999999999999993</v>
      </c>
      <c r="AI26" s="53">
        <f t="shared" si="3"/>
        <v>8.1999999999999993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11.5</v>
      </c>
      <c r="C30" s="50">
        <v>11.5</v>
      </c>
      <c r="D30" s="50">
        <v>11.5</v>
      </c>
      <c r="E30" s="50">
        <v>11.5</v>
      </c>
      <c r="F30" s="50">
        <v>11.5</v>
      </c>
      <c r="G30" s="50">
        <v>11.5</v>
      </c>
      <c r="H30" s="50">
        <v>11.5</v>
      </c>
      <c r="I30" s="50">
        <v>11.5</v>
      </c>
      <c r="J30" s="50">
        <v>11.5</v>
      </c>
      <c r="K30" s="50">
        <v>11.5</v>
      </c>
      <c r="L30" s="50">
        <v>11.5</v>
      </c>
      <c r="M30" s="50">
        <v>11.5</v>
      </c>
      <c r="N30" s="50">
        <v>11.5</v>
      </c>
      <c r="O30" s="50">
        <v>11.5</v>
      </c>
      <c r="P30" s="50">
        <v>11.5</v>
      </c>
      <c r="Q30" s="50">
        <v>11.5</v>
      </c>
      <c r="R30" s="50">
        <v>11.5</v>
      </c>
      <c r="S30" s="50">
        <v>11.5</v>
      </c>
      <c r="T30" s="50">
        <v>11.5</v>
      </c>
      <c r="U30" s="50">
        <v>11.5</v>
      </c>
      <c r="V30" s="50">
        <v>11.5</v>
      </c>
      <c r="W30" s="50">
        <v>11.5</v>
      </c>
      <c r="X30" s="50">
        <v>11.5</v>
      </c>
      <c r="Y30" s="50">
        <v>11.5</v>
      </c>
      <c r="Z30" s="50">
        <v>11.5</v>
      </c>
      <c r="AA30" s="50">
        <v>11.5</v>
      </c>
      <c r="AB30" s="50">
        <v>11.5</v>
      </c>
      <c r="AC30" s="50">
        <v>11.5</v>
      </c>
      <c r="AD30" s="50">
        <v>11.5</v>
      </c>
      <c r="AE30" s="50">
        <v>11.5</v>
      </c>
      <c r="AF30" s="50">
        <v>20</v>
      </c>
      <c r="AG30" s="55">
        <v>22</v>
      </c>
      <c r="AH30" s="52">
        <f t="shared" si="2"/>
        <v>20</v>
      </c>
      <c r="AI30" s="53">
        <f t="shared" si="3"/>
        <v>11.5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12</v>
      </c>
      <c r="C38" s="50">
        <v>12</v>
      </c>
      <c r="D38" s="50">
        <v>12</v>
      </c>
      <c r="E38" s="50">
        <v>12</v>
      </c>
      <c r="F38" s="50">
        <v>12</v>
      </c>
      <c r="G38" s="50">
        <v>12</v>
      </c>
      <c r="H38" s="50">
        <v>12</v>
      </c>
      <c r="I38" s="50">
        <v>12</v>
      </c>
      <c r="J38" s="50">
        <v>12</v>
      </c>
      <c r="K38" s="50">
        <v>12</v>
      </c>
      <c r="L38" s="50">
        <v>12</v>
      </c>
      <c r="M38" s="50">
        <v>12</v>
      </c>
      <c r="N38" s="50">
        <v>12</v>
      </c>
      <c r="O38" s="50">
        <v>12</v>
      </c>
      <c r="P38" s="50">
        <v>12</v>
      </c>
      <c r="Q38" s="50">
        <v>12</v>
      </c>
      <c r="R38" s="50">
        <v>12</v>
      </c>
      <c r="S38" s="50">
        <v>12</v>
      </c>
      <c r="T38" s="50">
        <v>12</v>
      </c>
      <c r="U38" s="50">
        <v>12</v>
      </c>
      <c r="V38" s="50">
        <v>12</v>
      </c>
      <c r="W38" s="50">
        <v>12</v>
      </c>
      <c r="X38" s="50">
        <v>12</v>
      </c>
      <c r="Y38" s="50">
        <v>12</v>
      </c>
      <c r="Z38" s="50">
        <v>12</v>
      </c>
      <c r="AA38" s="50">
        <v>12</v>
      </c>
      <c r="AB38" s="50">
        <v>12</v>
      </c>
      <c r="AC38" s="50">
        <v>12</v>
      </c>
      <c r="AD38" s="50">
        <v>12</v>
      </c>
      <c r="AE38" s="50">
        <v>12</v>
      </c>
      <c r="AF38" s="50">
        <v>12</v>
      </c>
      <c r="AG38" s="55">
        <v>12</v>
      </c>
      <c r="AH38" s="52">
        <f t="shared" si="2"/>
        <v>12</v>
      </c>
      <c r="AI38" s="53">
        <f t="shared" si="3"/>
        <v>12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4.9000000000000004</v>
      </c>
      <c r="C41" s="50">
        <v>4.9000000000000004</v>
      </c>
      <c r="D41" s="50">
        <v>4.9000000000000004</v>
      </c>
      <c r="E41" s="50">
        <v>4.9000000000000004</v>
      </c>
      <c r="F41" s="50">
        <v>4.9000000000000004</v>
      </c>
      <c r="G41" s="50">
        <v>4.9000000000000004</v>
      </c>
      <c r="H41" s="50">
        <v>4.9000000000000004</v>
      </c>
      <c r="I41" s="50">
        <v>4.9000000000000004</v>
      </c>
      <c r="J41" s="50">
        <v>4.9000000000000004</v>
      </c>
      <c r="K41" s="50">
        <v>4.9000000000000004</v>
      </c>
      <c r="L41" s="50">
        <v>4.9000000000000004</v>
      </c>
      <c r="M41" s="50">
        <v>4.9000000000000004</v>
      </c>
      <c r="N41" s="50">
        <v>4.9000000000000004</v>
      </c>
      <c r="O41" s="50">
        <v>4.9000000000000004</v>
      </c>
      <c r="P41" s="50">
        <v>4.9000000000000004</v>
      </c>
      <c r="Q41" s="50">
        <v>4.9000000000000004</v>
      </c>
      <c r="R41" s="50">
        <v>4.9000000000000004</v>
      </c>
      <c r="S41" s="50">
        <v>4.9000000000000004</v>
      </c>
      <c r="T41" s="50">
        <v>4.9000000000000004</v>
      </c>
      <c r="U41" s="50">
        <v>4.9000000000000004</v>
      </c>
      <c r="V41" s="50">
        <v>4.9000000000000004</v>
      </c>
      <c r="W41" s="50">
        <v>4.9000000000000004</v>
      </c>
      <c r="X41" s="50">
        <v>4.9000000000000004</v>
      </c>
      <c r="Y41" s="50">
        <v>4.9000000000000004</v>
      </c>
      <c r="Z41" s="50">
        <v>4.9000000000000004</v>
      </c>
      <c r="AA41" s="50">
        <v>4.9000000000000004</v>
      </c>
      <c r="AB41" s="50">
        <v>4.9000000000000004</v>
      </c>
      <c r="AC41" s="50">
        <v>4.9000000000000004</v>
      </c>
      <c r="AD41" s="50">
        <v>4.9000000000000004</v>
      </c>
      <c r="AE41" s="50">
        <v>4.9000000000000004</v>
      </c>
      <c r="AF41" s="50">
        <v>4.9000000000000004</v>
      </c>
      <c r="AG41" s="56">
        <v>11.88</v>
      </c>
      <c r="AH41" s="52">
        <f t="shared" si="2"/>
        <v>4.9000000000000004</v>
      </c>
      <c r="AI41" s="53">
        <f t="shared" si="3"/>
        <v>4.9000000000000004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342.6</v>
      </c>
      <c r="C48" s="67">
        <f t="shared" si="4"/>
        <v>342.6</v>
      </c>
      <c r="D48" s="67">
        <f t="shared" si="4"/>
        <v>342.6</v>
      </c>
      <c r="E48" s="67">
        <f t="shared" si="4"/>
        <v>342.6</v>
      </c>
      <c r="F48" s="67">
        <f t="shared" si="4"/>
        <v>342.6</v>
      </c>
      <c r="G48" s="67">
        <f t="shared" si="4"/>
        <v>342.6</v>
      </c>
      <c r="H48" s="67">
        <f t="shared" si="4"/>
        <v>342.6</v>
      </c>
      <c r="I48" s="67">
        <f t="shared" si="4"/>
        <v>342.6</v>
      </c>
      <c r="J48" s="67">
        <f>SUM(J12:J46)</f>
        <v>347.1</v>
      </c>
      <c r="K48" s="67">
        <f t="shared" si="4"/>
        <v>347.1</v>
      </c>
      <c r="L48" s="67">
        <f t="shared" si="4"/>
        <v>347.2</v>
      </c>
      <c r="M48" s="67">
        <f t="shared" si="4"/>
        <v>347.2</v>
      </c>
      <c r="N48" s="67">
        <f t="shared" si="4"/>
        <v>323.20000000000005</v>
      </c>
      <c r="O48" s="67">
        <f t="shared" si="4"/>
        <v>323.20000000000005</v>
      </c>
      <c r="P48" s="67">
        <f t="shared" si="4"/>
        <v>323.20000000000005</v>
      </c>
      <c r="Q48" s="67">
        <f t="shared" si="4"/>
        <v>321</v>
      </c>
      <c r="R48" s="67">
        <f t="shared" si="4"/>
        <v>312.60000000000002</v>
      </c>
      <c r="S48" s="67">
        <f t="shared" si="4"/>
        <v>312.60000000000002</v>
      </c>
      <c r="T48" s="67">
        <f t="shared" si="4"/>
        <v>325.60000000000002</v>
      </c>
      <c r="U48" s="67">
        <f t="shared" si="4"/>
        <v>325.60000000000002</v>
      </c>
      <c r="V48" s="67">
        <f t="shared" si="4"/>
        <v>325.60000000000002</v>
      </c>
      <c r="W48" s="67">
        <f t="shared" si="4"/>
        <v>325.60000000000002</v>
      </c>
      <c r="X48" s="67">
        <f t="shared" si="4"/>
        <v>325.60000000000002</v>
      </c>
      <c r="Y48" s="67">
        <f t="shared" si="4"/>
        <v>325.60000000000002</v>
      </c>
      <c r="Z48" s="67">
        <f t="shared" si="4"/>
        <v>358</v>
      </c>
      <c r="AA48" s="67">
        <f t="shared" si="4"/>
        <v>358</v>
      </c>
      <c r="AB48" s="67">
        <f t="shared" ref="AB48" si="5">SUM(AB12:AB46)</f>
        <v>358</v>
      </c>
      <c r="AC48" s="67">
        <f t="shared" si="4"/>
        <v>358</v>
      </c>
      <c r="AD48" s="67">
        <f t="shared" si="4"/>
        <v>358</v>
      </c>
      <c r="AE48" s="67">
        <f t="shared" si="4"/>
        <v>358</v>
      </c>
      <c r="AF48" s="67">
        <f t="shared" si="4"/>
        <v>366.5</v>
      </c>
      <c r="AG48" s="68">
        <f t="shared" si="4"/>
        <v>875.68</v>
      </c>
      <c r="AH48" s="52">
        <f t="shared" si="2"/>
        <v>366.5</v>
      </c>
      <c r="AI48" s="53">
        <f t="shared" si="3"/>
        <v>312.60000000000002</v>
      </c>
      <c r="AK48" s="54"/>
    </row>
    <row r="49" spans="1:41" x14ac:dyDescent="0.25">
      <c r="A49" s="69" t="s">
        <v>53</v>
      </c>
      <c r="B49" s="50">
        <v>90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15</v>
      </c>
      <c r="I49" s="50">
        <v>45</v>
      </c>
      <c r="J49" s="50">
        <v>80</v>
      </c>
      <c r="K49" s="50">
        <v>130</v>
      </c>
      <c r="L49" s="50">
        <v>110</v>
      </c>
      <c r="M49" s="70">
        <v>60</v>
      </c>
      <c r="N49" s="70">
        <v>70</v>
      </c>
      <c r="O49" s="50">
        <v>80</v>
      </c>
      <c r="P49" s="50">
        <v>70</v>
      </c>
      <c r="Q49" s="50">
        <v>70</v>
      </c>
      <c r="R49" s="50">
        <v>70</v>
      </c>
      <c r="S49" s="50">
        <v>20</v>
      </c>
      <c r="T49" s="50">
        <v>20</v>
      </c>
      <c r="U49" s="50">
        <v>45</v>
      </c>
      <c r="V49" s="50">
        <v>20</v>
      </c>
      <c r="W49" s="50">
        <v>60</v>
      </c>
      <c r="X49" s="50">
        <v>70</v>
      </c>
      <c r="Y49" s="50">
        <v>100</v>
      </c>
      <c r="Z49" s="50">
        <v>178</v>
      </c>
      <c r="AA49" s="50">
        <v>195</v>
      </c>
      <c r="AB49" s="50">
        <v>195</v>
      </c>
      <c r="AC49" s="50">
        <v>190</v>
      </c>
      <c r="AD49" s="50">
        <v>177</v>
      </c>
      <c r="AE49" s="50">
        <v>85</v>
      </c>
      <c r="AF49" s="50">
        <v>60</v>
      </c>
      <c r="AG49" s="56">
        <v>456</v>
      </c>
      <c r="AH49" s="52">
        <f t="shared" si="2"/>
        <v>195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33</v>
      </c>
      <c r="C50" s="72">
        <v>33</v>
      </c>
      <c r="D50" s="72">
        <v>33</v>
      </c>
      <c r="E50" s="72">
        <v>33</v>
      </c>
      <c r="F50" s="72">
        <v>33</v>
      </c>
      <c r="G50" s="72">
        <v>33</v>
      </c>
      <c r="H50" s="72">
        <v>33</v>
      </c>
      <c r="I50" s="72">
        <v>33</v>
      </c>
      <c r="J50" s="72">
        <v>33</v>
      </c>
      <c r="K50" s="72">
        <v>33</v>
      </c>
      <c r="L50" s="72">
        <v>33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30</v>
      </c>
      <c r="T50" s="72">
        <v>30</v>
      </c>
      <c r="U50" s="72">
        <v>30</v>
      </c>
      <c r="V50" s="72">
        <v>30</v>
      </c>
      <c r="W50" s="72">
        <v>30</v>
      </c>
      <c r="X50" s="72">
        <v>30</v>
      </c>
      <c r="Y50" s="72">
        <v>30</v>
      </c>
      <c r="Z50" s="72">
        <v>30</v>
      </c>
      <c r="AA50" s="72">
        <v>30</v>
      </c>
      <c r="AB50" s="72">
        <v>30</v>
      </c>
      <c r="AC50" s="72">
        <v>30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33</v>
      </c>
      <c r="AI50" s="53">
        <f t="shared" si="3"/>
        <v>30</v>
      </c>
      <c r="AK50" s="54"/>
    </row>
    <row r="51" spans="1:41" ht="15.75" thickBot="1" x14ac:dyDescent="0.3">
      <c r="A51" s="73" t="s">
        <v>55</v>
      </c>
      <c r="B51" s="74">
        <v>9.6</v>
      </c>
      <c r="C51" s="74">
        <v>9.6</v>
      </c>
      <c r="D51" s="74">
        <v>9.6</v>
      </c>
      <c r="E51" s="74">
        <v>9.6</v>
      </c>
      <c r="F51" s="74">
        <v>9.6</v>
      </c>
      <c r="G51" s="74">
        <v>9.6</v>
      </c>
      <c r="H51" s="74">
        <v>10.1</v>
      </c>
      <c r="I51" s="74">
        <v>9.6</v>
      </c>
      <c r="J51" s="74">
        <v>10.199999999999999</v>
      </c>
      <c r="K51" s="74">
        <v>10.199999999999999</v>
      </c>
      <c r="L51" s="74">
        <v>10.1</v>
      </c>
      <c r="M51" s="74">
        <v>10.1</v>
      </c>
      <c r="N51" s="74">
        <v>10.1</v>
      </c>
      <c r="O51" s="74">
        <v>10.1</v>
      </c>
      <c r="P51" s="74">
        <v>10.1</v>
      </c>
      <c r="Q51" s="74">
        <v>10.1</v>
      </c>
      <c r="R51" s="74">
        <v>10.1</v>
      </c>
      <c r="S51" s="74">
        <v>10.1</v>
      </c>
      <c r="T51" s="74">
        <v>10.1</v>
      </c>
      <c r="U51" s="74">
        <v>10.1</v>
      </c>
      <c r="V51" s="74">
        <v>10.1</v>
      </c>
      <c r="W51" s="74">
        <v>10.1</v>
      </c>
      <c r="X51" s="74">
        <v>10.1</v>
      </c>
      <c r="Y51" s="74">
        <v>10.1</v>
      </c>
      <c r="Z51" s="74">
        <v>10.1</v>
      </c>
      <c r="AA51" s="74">
        <v>10.1</v>
      </c>
      <c r="AB51" s="74">
        <v>10.1</v>
      </c>
      <c r="AC51" s="74">
        <v>10.1</v>
      </c>
      <c r="AD51" s="74">
        <v>10.1</v>
      </c>
      <c r="AE51" s="74">
        <v>10.1</v>
      </c>
      <c r="AF51" s="74">
        <v>10.1</v>
      </c>
      <c r="AG51" s="75">
        <v>22.1</v>
      </c>
      <c r="AH51" s="52">
        <f t="shared" si="2"/>
        <v>10.199999999999999</v>
      </c>
      <c r="AI51" s="53">
        <f t="shared" si="3"/>
        <v>9.6</v>
      </c>
      <c r="AK51" s="54"/>
    </row>
    <row r="52" spans="1:41" ht="15.75" thickBot="1" x14ac:dyDescent="0.3">
      <c r="A52" s="76" t="s">
        <v>56</v>
      </c>
      <c r="B52" s="67">
        <f t="shared" ref="B52:AG52" si="6">SUM(B49:B51)</f>
        <v>132.6</v>
      </c>
      <c r="C52" s="67">
        <f t="shared" si="6"/>
        <v>42.6</v>
      </c>
      <c r="D52" s="67">
        <f t="shared" si="6"/>
        <v>42.6</v>
      </c>
      <c r="E52" s="67">
        <f t="shared" si="6"/>
        <v>42.6</v>
      </c>
      <c r="F52" s="67">
        <f t="shared" si="6"/>
        <v>42.6</v>
      </c>
      <c r="G52" s="67">
        <f t="shared" si="6"/>
        <v>42.6</v>
      </c>
      <c r="H52" s="67">
        <f t="shared" si="6"/>
        <v>58.1</v>
      </c>
      <c r="I52" s="67">
        <f t="shared" si="6"/>
        <v>87.6</v>
      </c>
      <c r="J52" s="67">
        <f>SUM(J49:J51)</f>
        <v>123.2</v>
      </c>
      <c r="K52" s="67">
        <f t="shared" si="6"/>
        <v>173.2</v>
      </c>
      <c r="L52" s="67">
        <f t="shared" si="6"/>
        <v>153.1</v>
      </c>
      <c r="M52" s="67">
        <f t="shared" si="6"/>
        <v>100.1</v>
      </c>
      <c r="N52" s="67">
        <f t="shared" si="6"/>
        <v>110.1</v>
      </c>
      <c r="O52" s="67">
        <f t="shared" si="6"/>
        <v>120.1</v>
      </c>
      <c r="P52" s="67">
        <f t="shared" si="6"/>
        <v>110.1</v>
      </c>
      <c r="Q52" s="67">
        <f t="shared" si="6"/>
        <v>110.1</v>
      </c>
      <c r="R52" s="67">
        <f t="shared" si="6"/>
        <v>110.1</v>
      </c>
      <c r="S52" s="67">
        <f t="shared" si="6"/>
        <v>60.1</v>
      </c>
      <c r="T52" s="67">
        <f t="shared" si="6"/>
        <v>60.1</v>
      </c>
      <c r="U52" s="67">
        <f t="shared" si="6"/>
        <v>85.1</v>
      </c>
      <c r="V52" s="67">
        <f t="shared" si="6"/>
        <v>60.1</v>
      </c>
      <c r="W52" s="67">
        <f t="shared" si="6"/>
        <v>100.1</v>
      </c>
      <c r="X52" s="67">
        <f t="shared" si="6"/>
        <v>110.1</v>
      </c>
      <c r="Y52" s="67">
        <f t="shared" si="6"/>
        <v>140.1</v>
      </c>
      <c r="Z52" s="67">
        <f t="shared" si="6"/>
        <v>218.1</v>
      </c>
      <c r="AA52" s="67">
        <f t="shared" si="6"/>
        <v>235.1</v>
      </c>
      <c r="AB52" s="67">
        <f t="shared" ref="AB52" si="7">SUM(AB49:AB51)</f>
        <v>235.1</v>
      </c>
      <c r="AC52" s="67">
        <f t="shared" si="6"/>
        <v>230.1</v>
      </c>
      <c r="AD52" s="67">
        <f t="shared" si="6"/>
        <v>217.1</v>
      </c>
      <c r="AE52" s="67">
        <f t="shared" si="6"/>
        <v>125.1</v>
      </c>
      <c r="AF52" s="67">
        <f t="shared" si="6"/>
        <v>100.1</v>
      </c>
      <c r="AG52" s="68">
        <f t="shared" si="6"/>
        <v>538.1</v>
      </c>
      <c r="AH52" s="52">
        <f t="shared" si="2"/>
        <v>235.1</v>
      </c>
      <c r="AI52" s="53">
        <f t="shared" si="3"/>
        <v>42.6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22.5</v>
      </c>
      <c r="H53" s="50">
        <v>28.1</v>
      </c>
      <c r="I53" s="50">
        <v>63.4</v>
      </c>
      <c r="J53" s="50">
        <v>72.900000000000006</v>
      </c>
      <c r="K53" s="50">
        <v>73.3</v>
      </c>
      <c r="L53" s="50">
        <v>91.4</v>
      </c>
      <c r="M53" s="50">
        <v>91.1</v>
      </c>
      <c r="N53" s="50">
        <v>91.1</v>
      </c>
      <c r="O53" s="50">
        <v>73.2</v>
      </c>
      <c r="P53" s="50">
        <v>87.6</v>
      </c>
      <c r="Q53" s="50">
        <v>90</v>
      </c>
      <c r="R53" s="50">
        <v>81</v>
      </c>
      <c r="S53" s="50">
        <v>71</v>
      </c>
      <c r="T53" s="50">
        <v>61</v>
      </c>
      <c r="U53" s="50">
        <v>85</v>
      </c>
      <c r="V53" s="50">
        <v>71</v>
      </c>
      <c r="W53" s="50">
        <v>71</v>
      </c>
      <c r="X53" s="50">
        <v>71</v>
      </c>
      <c r="Y53" s="50">
        <v>114</v>
      </c>
      <c r="Z53" s="50">
        <v>140</v>
      </c>
      <c r="AA53" s="50">
        <v>140</v>
      </c>
      <c r="AB53" s="50">
        <v>140</v>
      </c>
      <c r="AC53" s="50">
        <v>100</v>
      </c>
      <c r="AD53" s="50">
        <v>91.2</v>
      </c>
      <c r="AE53" s="50">
        <v>59</v>
      </c>
      <c r="AF53" s="50">
        <v>0</v>
      </c>
      <c r="AG53" s="56">
        <v>144</v>
      </c>
      <c r="AH53" s="52">
        <f t="shared" si="2"/>
        <v>140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25</v>
      </c>
      <c r="C54" s="72">
        <v>25</v>
      </c>
      <c r="D54" s="72">
        <v>25</v>
      </c>
      <c r="E54" s="72">
        <v>24.8</v>
      </c>
      <c r="F54" s="72">
        <v>24.8</v>
      </c>
      <c r="G54" s="72">
        <v>24.8</v>
      </c>
      <c r="H54" s="72">
        <v>30.1</v>
      </c>
      <c r="I54" s="72">
        <v>24.8</v>
      </c>
      <c r="J54" s="72">
        <v>24.8</v>
      </c>
      <c r="K54" s="72">
        <v>25</v>
      </c>
      <c r="L54" s="72">
        <v>25</v>
      </c>
      <c r="M54" s="72">
        <v>24.9</v>
      </c>
      <c r="N54" s="72">
        <v>24.9</v>
      </c>
      <c r="O54" s="72">
        <v>24.9</v>
      </c>
      <c r="P54" s="72">
        <v>24.8</v>
      </c>
      <c r="Q54" s="72">
        <v>25</v>
      </c>
      <c r="R54" s="50">
        <v>24.9</v>
      </c>
      <c r="S54" s="50">
        <v>24.8</v>
      </c>
      <c r="T54" s="50">
        <v>24.7</v>
      </c>
      <c r="U54" s="50">
        <v>34.299999999999997</v>
      </c>
      <c r="V54" s="50">
        <v>34.299999999999997</v>
      </c>
      <c r="W54" s="50">
        <v>34.299999999999997</v>
      </c>
      <c r="X54" s="50">
        <v>34.299999999999997</v>
      </c>
      <c r="Y54" s="50">
        <v>34.299999999999997</v>
      </c>
      <c r="Z54" s="50">
        <v>34.299999999999997</v>
      </c>
      <c r="AA54" s="50">
        <v>34.299999999999997</v>
      </c>
      <c r="AB54" s="50">
        <v>34.299999999999997</v>
      </c>
      <c r="AC54" s="72">
        <v>35</v>
      </c>
      <c r="AD54" s="72">
        <v>35</v>
      </c>
      <c r="AE54" s="72">
        <v>35</v>
      </c>
      <c r="AF54" s="72">
        <v>35</v>
      </c>
      <c r="AG54" s="61">
        <v>70</v>
      </c>
      <c r="AH54" s="52">
        <f t="shared" si="2"/>
        <v>35</v>
      </c>
      <c r="AI54" s="53">
        <f t="shared" si="3"/>
        <v>24.7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23.2</v>
      </c>
      <c r="H55" s="72">
        <v>16.899999999999999</v>
      </c>
      <c r="I55" s="72">
        <v>33.299999999999997</v>
      </c>
      <c r="J55" s="72">
        <v>45.7</v>
      </c>
      <c r="K55" s="72">
        <v>32.299999999999997</v>
      </c>
      <c r="L55" s="72">
        <v>55.8</v>
      </c>
      <c r="M55" s="72">
        <v>65.599999999999994</v>
      </c>
      <c r="N55" s="72">
        <v>65.599999999999994</v>
      </c>
      <c r="O55" s="72">
        <v>61.2</v>
      </c>
      <c r="P55" s="72">
        <v>54</v>
      </c>
      <c r="Q55" s="72">
        <v>50</v>
      </c>
      <c r="R55" s="50">
        <v>36.5</v>
      </c>
      <c r="S55" s="50">
        <v>36.5</v>
      </c>
      <c r="T55" s="50">
        <v>36.4</v>
      </c>
      <c r="U55" s="50">
        <v>36.4</v>
      </c>
      <c r="V55" s="50">
        <v>36.4</v>
      </c>
      <c r="W55" s="50">
        <v>34</v>
      </c>
      <c r="X55" s="50">
        <v>34</v>
      </c>
      <c r="Y55" s="50">
        <v>34</v>
      </c>
      <c r="Z55" s="50">
        <v>68</v>
      </c>
      <c r="AA55" s="50">
        <v>50</v>
      </c>
      <c r="AB55" s="50">
        <v>50</v>
      </c>
      <c r="AC55" s="72">
        <v>45.9</v>
      </c>
      <c r="AD55" s="72">
        <v>31.8</v>
      </c>
      <c r="AE55" s="72">
        <v>15.2</v>
      </c>
      <c r="AF55" s="72">
        <v>16</v>
      </c>
      <c r="AG55" s="61">
        <v>69</v>
      </c>
      <c r="AH55" s="52">
        <f t="shared" si="2"/>
        <v>68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36.299999999999997</v>
      </c>
      <c r="C56" s="72">
        <v>36.299999999999997</v>
      </c>
      <c r="D56" s="72">
        <v>36.299999999999997</v>
      </c>
      <c r="E56" s="72">
        <v>36.299999999999997</v>
      </c>
      <c r="F56" s="72">
        <v>36.299999999999997</v>
      </c>
      <c r="G56" s="72">
        <v>36.299999999999997</v>
      </c>
      <c r="H56" s="63">
        <v>37</v>
      </c>
      <c r="I56" s="63">
        <v>37</v>
      </c>
      <c r="J56" s="63">
        <v>37</v>
      </c>
      <c r="K56" s="63">
        <v>37</v>
      </c>
      <c r="L56" s="63">
        <v>37</v>
      </c>
      <c r="M56" s="72">
        <v>37</v>
      </c>
      <c r="N56" s="72">
        <v>37</v>
      </c>
      <c r="O56" s="72">
        <v>37</v>
      </c>
      <c r="P56" s="72">
        <v>37</v>
      </c>
      <c r="Q56" s="72">
        <v>37</v>
      </c>
      <c r="R56" s="50">
        <v>37</v>
      </c>
      <c r="S56" s="50">
        <v>37</v>
      </c>
      <c r="T56" s="50">
        <v>37</v>
      </c>
      <c r="U56" s="50">
        <v>37</v>
      </c>
      <c r="V56" s="50">
        <v>37</v>
      </c>
      <c r="W56" s="50">
        <v>37</v>
      </c>
      <c r="X56" s="50">
        <v>37</v>
      </c>
      <c r="Y56" s="50">
        <v>37</v>
      </c>
      <c r="Z56" s="50">
        <v>37</v>
      </c>
      <c r="AA56" s="50">
        <v>37</v>
      </c>
      <c r="AB56" s="50">
        <v>37</v>
      </c>
      <c r="AC56" s="72">
        <v>37</v>
      </c>
      <c r="AD56" s="72">
        <v>36.299999999999997</v>
      </c>
      <c r="AE56" s="72">
        <v>36.6</v>
      </c>
      <c r="AF56" s="72">
        <v>36.299999999999997</v>
      </c>
      <c r="AG56" s="61">
        <v>60</v>
      </c>
      <c r="AH56" s="52">
        <f t="shared" si="2"/>
        <v>37</v>
      </c>
      <c r="AI56" s="53">
        <f t="shared" si="3"/>
        <v>36.299999999999997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63">
        <v>13.6</v>
      </c>
      <c r="I57" s="63">
        <v>13.2</v>
      </c>
      <c r="J57" s="63">
        <v>15</v>
      </c>
      <c r="K57" s="63">
        <v>15</v>
      </c>
      <c r="L57" s="63">
        <v>15</v>
      </c>
      <c r="M57" s="72">
        <v>15</v>
      </c>
      <c r="N57" s="72">
        <v>13</v>
      </c>
      <c r="O57" s="72">
        <v>10</v>
      </c>
      <c r="P57" s="72">
        <v>15</v>
      </c>
      <c r="Q57" s="72">
        <v>10</v>
      </c>
      <c r="R57" s="50">
        <v>10</v>
      </c>
      <c r="S57" s="50">
        <v>10</v>
      </c>
      <c r="T57" s="50">
        <v>14.7</v>
      </c>
      <c r="U57" s="50">
        <v>10</v>
      </c>
      <c r="V57" s="50">
        <v>10</v>
      </c>
      <c r="W57" s="50">
        <v>15</v>
      </c>
      <c r="X57" s="50">
        <v>15</v>
      </c>
      <c r="Y57" s="50">
        <v>25</v>
      </c>
      <c r="Z57" s="50">
        <v>30</v>
      </c>
      <c r="AA57" s="50">
        <v>30</v>
      </c>
      <c r="AB57" s="50">
        <v>30</v>
      </c>
      <c r="AC57" s="72">
        <v>15</v>
      </c>
      <c r="AD57" s="72">
        <v>10</v>
      </c>
      <c r="AE57" s="72">
        <v>0</v>
      </c>
      <c r="AF57" s="72">
        <v>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4</v>
      </c>
      <c r="N58" s="50">
        <v>6</v>
      </c>
      <c r="O58" s="72">
        <v>8</v>
      </c>
      <c r="P58" s="72">
        <v>8</v>
      </c>
      <c r="Q58" s="72">
        <v>8</v>
      </c>
      <c r="R58" s="50">
        <v>8</v>
      </c>
      <c r="S58" s="50">
        <v>8</v>
      </c>
      <c r="T58" s="50">
        <v>8</v>
      </c>
      <c r="U58" s="50">
        <v>8</v>
      </c>
      <c r="V58" s="50">
        <v>8</v>
      </c>
      <c r="W58" s="50">
        <v>8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8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15</v>
      </c>
      <c r="C59" s="72">
        <v>12</v>
      </c>
      <c r="D59" s="72">
        <v>11</v>
      </c>
      <c r="E59" s="72">
        <v>11</v>
      </c>
      <c r="F59" s="72">
        <v>11</v>
      </c>
      <c r="G59" s="72">
        <v>11</v>
      </c>
      <c r="H59" s="72">
        <v>10</v>
      </c>
      <c r="I59" s="72">
        <v>10</v>
      </c>
      <c r="J59" s="72">
        <v>10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10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9.6</v>
      </c>
      <c r="C61" s="72">
        <v>9.6</v>
      </c>
      <c r="D61" s="72">
        <v>9.6</v>
      </c>
      <c r="E61" s="72">
        <v>9.6</v>
      </c>
      <c r="F61" s="72">
        <v>9.6</v>
      </c>
      <c r="G61" s="72">
        <v>9.6</v>
      </c>
      <c r="H61" s="72">
        <v>9.6</v>
      </c>
      <c r="I61" s="72">
        <v>9.6</v>
      </c>
      <c r="J61" s="72">
        <v>9.6</v>
      </c>
      <c r="K61" s="72">
        <v>9.6</v>
      </c>
      <c r="L61" s="72">
        <v>9.6</v>
      </c>
      <c r="M61" s="72">
        <v>9.6</v>
      </c>
      <c r="N61" s="72">
        <v>9.6</v>
      </c>
      <c r="O61" s="72">
        <v>9.6</v>
      </c>
      <c r="P61" s="72">
        <v>9.6</v>
      </c>
      <c r="Q61" s="72">
        <v>9.6</v>
      </c>
      <c r="R61" s="72">
        <v>9.6</v>
      </c>
      <c r="S61" s="72">
        <v>9.6</v>
      </c>
      <c r="T61" s="72">
        <v>9.6</v>
      </c>
      <c r="U61" s="72">
        <v>9.6</v>
      </c>
      <c r="V61" s="72">
        <v>9.6</v>
      </c>
      <c r="W61" s="72">
        <v>9.6</v>
      </c>
      <c r="X61" s="72">
        <v>9.6</v>
      </c>
      <c r="Y61" s="72">
        <v>9.6</v>
      </c>
      <c r="Z61" s="72">
        <v>9.6</v>
      </c>
      <c r="AA61" s="72">
        <v>9.6</v>
      </c>
      <c r="AB61" s="72">
        <v>9.6</v>
      </c>
      <c r="AC61" s="72">
        <v>9.6</v>
      </c>
      <c r="AD61" s="72">
        <v>9.6</v>
      </c>
      <c r="AE61" s="72">
        <v>9.6</v>
      </c>
      <c r="AF61" s="72">
        <v>9.6</v>
      </c>
      <c r="AG61" s="61">
        <v>14.1</v>
      </c>
      <c r="AH61" s="52">
        <f t="shared" si="2"/>
        <v>9.6</v>
      </c>
      <c r="AI61" s="53">
        <f t="shared" si="3"/>
        <v>9.6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4.8</v>
      </c>
      <c r="C62" s="72">
        <v>4.8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4.8</v>
      </c>
      <c r="N62" s="72">
        <v>4.8</v>
      </c>
      <c r="O62" s="72">
        <v>4.8</v>
      </c>
      <c r="P62" s="72">
        <v>4.8</v>
      </c>
      <c r="Q62" s="72">
        <v>4.8</v>
      </c>
      <c r="R62" s="72">
        <v>4.8</v>
      </c>
      <c r="S62" s="72">
        <v>4.8</v>
      </c>
      <c r="T62" s="72">
        <v>4.8</v>
      </c>
      <c r="U62" s="72">
        <v>4.8</v>
      </c>
      <c r="V62" s="72">
        <v>4.8</v>
      </c>
      <c r="W62" s="72">
        <v>4.8</v>
      </c>
      <c r="X62" s="72">
        <v>4.8</v>
      </c>
      <c r="Y62" s="72">
        <v>4.8</v>
      </c>
      <c r="Z62" s="72">
        <v>4.8</v>
      </c>
      <c r="AA62" s="72">
        <v>4.8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4.8</v>
      </c>
      <c r="AI62" s="53">
        <f t="shared" si="3"/>
        <v>4.8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8">SUM(B53:B65)</f>
        <v>103.24</v>
      </c>
      <c r="C66" s="67">
        <f t="shared" si="8"/>
        <v>100.24</v>
      </c>
      <c r="D66" s="67">
        <f t="shared" si="8"/>
        <v>99.24</v>
      </c>
      <c r="E66" s="67">
        <f t="shared" si="8"/>
        <v>99.039999999999992</v>
      </c>
      <c r="F66" s="67">
        <f t="shared" si="8"/>
        <v>99.039999999999992</v>
      </c>
      <c r="G66" s="67">
        <f t="shared" si="8"/>
        <v>144.74</v>
      </c>
      <c r="H66" s="67">
        <f t="shared" si="8"/>
        <v>162.63999999999999</v>
      </c>
      <c r="I66" s="67">
        <f t="shared" si="8"/>
        <v>208.64</v>
      </c>
      <c r="J66" s="67">
        <f>SUM(J53:J65)</f>
        <v>232.34</v>
      </c>
      <c r="K66" s="67">
        <f t="shared" si="8"/>
        <v>224.54</v>
      </c>
      <c r="L66" s="67">
        <f t="shared" si="8"/>
        <v>266.14000000000004</v>
      </c>
      <c r="M66" s="67">
        <f t="shared" si="8"/>
        <v>279.54000000000008</v>
      </c>
      <c r="N66" s="67">
        <f t="shared" si="8"/>
        <v>279.54000000000008</v>
      </c>
      <c r="O66" s="67">
        <f t="shared" si="8"/>
        <v>256.24</v>
      </c>
      <c r="P66" s="67">
        <f t="shared" si="8"/>
        <v>268.34000000000003</v>
      </c>
      <c r="Q66" s="67">
        <f t="shared" si="8"/>
        <v>261.94000000000005</v>
      </c>
      <c r="R66" s="67">
        <f t="shared" si="8"/>
        <v>239.34</v>
      </c>
      <c r="S66" s="67">
        <f t="shared" si="8"/>
        <v>229.24</v>
      </c>
      <c r="T66" s="67">
        <f t="shared" si="8"/>
        <v>223.73999999999998</v>
      </c>
      <c r="U66" s="67">
        <f t="shared" si="8"/>
        <v>252.64</v>
      </c>
      <c r="V66" s="67">
        <f t="shared" si="8"/>
        <v>238.64</v>
      </c>
      <c r="W66" s="67">
        <f t="shared" si="8"/>
        <v>241.24</v>
      </c>
      <c r="X66" s="67">
        <f t="shared" si="8"/>
        <v>233.24</v>
      </c>
      <c r="Y66" s="67">
        <f t="shared" si="8"/>
        <v>286.24000000000007</v>
      </c>
      <c r="Z66" s="67">
        <f t="shared" si="8"/>
        <v>351.24000000000007</v>
      </c>
      <c r="AA66" s="67">
        <f t="shared" si="8"/>
        <v>333.24000000000007</v>
      </c>
      <c r="AB66" s="67">
        <f t="shared" ref="AB66" si="9">SUM(AB53:AB65)</f>
        <v>333.24000000000007</v>
      </c>
      <c r="AC66" s="67">
        <f t="shared" si="8"/>
        <v>274.84000000000009</v>
      </c>
      <c r="AD66" s="67">
        <f t="shared" si="8"/>
        <v>246.24</v>
      </c>
      <c r="AE66" s="67">
        <f t="shared" si="8"/>
        <v>187.74</v>
      </c>
      <c r="AF66" s="67">
        <f t="shared" si="8"/>
        <v>129.23999999999998</v>
      </c>
      <c r="AG66" s="68">
        <f t="shared" si="8"/>
        <v>489.91</v>
      </c>
      <c r="AH66" s="52">
        <f t="shared" si="2"/>
        <v>351.24000000000007</v>
      </c>
      <c r="AI66" s="53">
        <f t="shared" si="3"/>
        <v>99.039999999999992</v>
      </c>
      <c r="AK66" s="54"/>
    </row>
    <row r="67" spans="1:40" x14ac:dyDescent="0.25">
      <c r="A67" s="49" t="s">
        <v>71</v>
      </c>
      <c r="B67" s="50">
        <v>30</v>
      </c>
      <c r="C67" s="50">
        <v>20</v>
      </c>
      <c r="D67" s="50">
        <v>20</v>
      </c>
      <c r="E67" s="50">
        <v>25</v>
      </c>
      <c r="F67" s="50">
        <v>10</v>
      </c>
      <c r="G67" s="50">
        <v>25</v>
      </c>
      <c r="H67" s="50">
        <v>30</v>
      </c>
      <c r="I67" s="50">
        <v>30</v>
      </c>
      <c r="J67" s="50">
        <v>30</v>
      </c>
      <c r="K67" s="50">
        <v>14</v>
      </c>
      <c r="L67" s="50">
        <v>0</v>
      </c>
      <c r="M67" s="50">
        <v>0</v>
      </c>
      <c r="N67" s="50">
        <v>14</v>
      </c>
      <c r="O67" s="50">
        <v>14</v>
      </c>
      <c r="P67" s="50">
        <v>10</v>
      </c>
      <c r="Q67" s="50">
        <v>14</v>
      </c>
      <c r="R67" s="50">
        <v>25</v>
      </c>
      <c r="S67" s="50">
        <v>0</v>
      </c>
      <c r="T67" s="50">
        <v>0</v>
      </c>
      <c r="U67" s="50">
        <v>0</v>
      </c>
      <c r="V67" s="50">
        <v>20</v>
      </c>
      <c r="W67" s="50">
        <v>10</v>
      </c>
      <c r="X67" s="50">
        <v>14</v>
      </c>
      <c r="Y67" s="50">
        <v>34</v>
      </c>
      <c r="Z67" s="50">
        <v>45</v>
      </c>
      <c r="AA67" s="50">
        <v>60</v>
      </c>
      <c r="AB67" s="50">
        <v>60</v>
      </c>
      <c r="AC67" s="50">
        <v>45</v>
      </c>
      <c r="AD67" s="50">
        <v>45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15</v>
      </c>
      <c r="C68" s="72">
        <v>8</v>
      </c>
      <c r="D68" s="72">
        <v>8</v>
      </c>
      <c r="E68" s="72">
        <v>8.9</v>
      </c>
      <c r="F68" s="72">
        <v>2.7</v>
      </c>
      <c r="G68" s="72">
        <v>12.2</v>
      </c>
      <c r="H68" s="72">
        <v>14.4</v>
      </c>
      <c r="I68" s="72">
        <v>14.4</v>
      </c>
      <c r="J68" s="72">
        <v>9.1</v>
      </c>
      <c r="K68" s="72">
        <v>5.8</v>
      </c>
      <c r="L68" s="72">
        <v>0</v>
      </c>
      <c r="M68" s="72">
        <v>0</v>
      </c>
      <c r="N68" s="72">
        <v>5.0999999999999996</v>
      </c>
      <c r="O68" s="72">
        <v>3.3</v>
      </c>
      <c r="P68" s="72">
        <v>0</v>
      </c>
      <c r="Q68" s="50">
        <v>4.5</v>
      </c>
      <c r="R68" s="50">
        <v>10.7</v>
      </c>
      <c r="S68" s="72">
        <v>0</v>
      </c>
      <c r="T68" s="72">
        <v>0</v>
      </c>
      <c r="U68" s="72">
        <v>0</v>
      </c>
      <c r="V68" s="72">
        <v>13.2</v>
      </c>
      <c r="W68" s="72">
        <v>6.9</v>
      </c>
      <c r="X68" s="72">
        <v>2.8</v>
      </c>
      <c r="Y68" s="72">
        <v>15.5</v>
      </c>
      <c r="Z68" s="72">
        <v>24</v>
      </c>
      <c r="AA68" s="72">
        <v>21</v>
      </c>
      <c r="AB68" s="72">
        <v>21</v>
      </c>
      <c r="AC68" s="72">
        <v>22</v>
      </c>
      <c r="AD68" s="72">
        <v>22</v>
      </c>
      <c r="AE68" s="72">
        <v>30</v>
      </c>
      <c r="AF68" s="72">
        <v>30</v>
      </c>
      <c r="AG68" s="61">
        <v>32</v>
      </c>
      <c r="AH68" s="52">
        <f t="shared" si="2"/>
        <v>30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5</v>
      </c>
      <c r="C69" s="74">
        <v>3</v>
      </c>
      <c r="D69" s="74">
        <v>3</v>
      </c>
      <c r="E69" s="74">
        <v>3.3</v>
      </c>
      <c r="F69" s="74">
        <v>1</v>
      </c>
      <c r="G69" s="74">
        <v>4.5</v>
      </c>
      <c r="H69" s="74">
        <v>5.2</v>
      </c>
      <c r="I69" s="74">
        <v>3</v>
      </c>
      <c r="J69" s="74">
        <v>3.2</v>
      </c>
      <c r="K69" s="74">
        <v>2.1</v>
      </c>
      <c r="L69" s="74">
        <v>0</v>
      </c>
      <c r="M69" s="74">
        <v>0</v>
      </c>
      <c r="N69" s="74">
        <v>1.9</v>
      </c>
      <c r="O69" s="74">
        <v>1.2</v>
      </c>
      <c r="P69" s="74">
        <v>0</v>
      </c>
      <c r="Q69" s="50">
        <v>2</v>
      </c>
      <c r="R69" s="50">
        <v>3.9</v>
      </c>
      <c r="S69" s="74">
        <v>0</v>
      </c>
      <c r="T69" s="74">
        <v>0</v>
      </c>
      <c r="U69" s="74">
        <v>0</v>
      </c>
      <c r="V69" s="74">
        <v>4.8</v>
      </c>
      <c r="W69" s="74">
        <v>2.5</v>
      </c>
      <c r="X69" s="74">
        <v>1</v>
      </c>
      <c r="Y69" s="74">
        <v>5.7</v>
      </c>
      <c r="Z69" s="74">
        <v>8.6999999999999993</v>
      </c>
      <c r="AA69" s="74">
        <v>7.6</v>
      </c>
      <c r="AB69" s="74">
        <v>7.6</v>
      </c>
      <c r="AC69" s="74">
        <v>7</v>
      </c>
      <c r="AD69" s="74">
        <v>7</v>
      </c>
      <c r="AE69" s="74">
        <v>10.5</v>
      </c>
      <c r="AF69" s="74">
        <v>10.5</v>
      </c>
      <c r="AG69" s="75">
        <v>14</v>
      </c>
      <c r="AH69" s="52">
        <f t="shared" si="2"/>
        <v>10.5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:AF70" si="10">B67+B68+B69</f>
        <v>50</v>
      </c>
      <c r="C70" s="67">
        <f t="shared" si="10"/>
        <v>31</v>
      </c>
      <c r="D70" s="67">
        <f t="shared" si="10"/>
        <v>31</v>
      </c>
      <c r="E70" s="67">
        <f t="shared" si="10"/>
        <v>37.199999999999996</v>
      </c>
      <c r="F70" s="67">
        <f t="shared" si="10"/>
        <v>13.7</v>
      </c>
      <c r="G70" s="67">
        <f t="shared" si="10"/>
        <v>41.7</v>
      </c>
      <c r="H70" s="67">
        <f t="shared" si="10"/>
        <v>49.6</v>
      </c>
      <c r="I70" s="67">
        <f t="shared" si="10"/>
        <v>47.4</v>
      </c>
      <c r="J70" s="67">
        <f t="shared" si="10"/>
        <v>42.300000000000004</v>
      </c>
      <c r="K70" s="67">
        <f t="shared" si="10"/>
        <v>21.900000000000002</v>
      </c>
      <c r="L70" s="67">
        <f t="shared" si="10"/>
        <v>0</v>
      </c>
      <c r="M70" s="67">
        <f t="shared" si="10"/>
        <v>0</v>
      </c>
      <c r="N70" s="67">
        <f t="shared" si="10"/>
        <v>21</v>
      </c>
      <c r="O70" s="67">
        <f t="shared" si="10"/>
        <v>18.5</v>
      </c>
      <c r="P70" s="67">
        <f t="shared" si="10"/>
        <v>10</v>
      </c>
      <c r="Q70" s="67">
        <f t="shared" si="10"/>
        <v>20.5</v>
      </c>
      <c r="R70" s="67">
        <f t="shared" si="10"/>
        <v>39.6</v>
      </c>
      <c r="S70" s="67">
        <f t="shared" si="10"/>
        <v>0</v>
      </c>
      <c r="T70" s="67">
        <f t="shared" si="10"/>
        <v>0</v>
      </c>
      <c r="U70" s="67">
        <f t="shared" si="10"/>
        <v>0</v>
      </c>
      <c r="V70" s="67">
        <f t="shared" si="10"/>
        <v>38</v>
      </c>
      <c r="W70" s="67">
        <f t="shared" si="10"/>
        <v>19.399999999999999</v>
      </c>
      <c r="X70" s="67">
        <f t="shared" si="10"/>
        <v>17.8</v>
      </c>
      <c r="Y70" s="67">
        <f t="shared" si="10"/>
        <v>55.2</v>
      </c>
      <c r="Z70" s="67">
        <f t="shared" si="10"/>
        <v>77.7</v>
      </c>
      <c r="AA70" s="67">
        <f t="shared" si="10"/>
        <v>88.6</v>
      </c>
      <c r="AB70" s="67">
        <f t="shared" ref="AB70" si="11">AB67+AB68+AB69</f>
        <v>88.6</v>
      </c>
      <c r="AC70" s="67">
        <f t="shared" si="10"/>
        <v>74</v>
      </c>
      <c r="AD70" s="67">
        <f t="shared" si="10"/>
        <v>74</v>
      </c>
      <c r="AE70" s="67">
        <f t="shared" si="10"/>
        <v>100.5</v>
      </c>
      <c r="AF70" s="67">
        <f t="shared" si="10"/>
        <v>100.5</v>
      </c>
      <c r="AG70" s="68">
        <f>SUM(AG67:AG69)</f>
        <v>106</v>
      </c>
      <c r="AH70" s="52">
        <f t="shared" si="2"/>
        <v>100.5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62.6</v>
      </c>
      <c r="C71" s="50">
        <v>62.6</v>
      </c>
      <c r="D71" s="50">
        <v>64.5</v>
      </c>
      <c r="E71" s="50">
        <v>66.8</v>
      </c>
      <c r="F71" s="50">
        <v>58.8</v>
      </c>
      <c r="G71" s="50">
        <v>63.9</v>
      </c>
      <c r="H71" s="50">
        <v>65.400000000000006</v>
      </c>
      <c r="I71" s="50">
        <v>63</v>
      </c>
      <c r="J71" s="50">
        <v>67.7</v>
      </c>
      <c r="K71" s="50">
        <v>62</v>
      </c>
      <c r="L71" s="50">
        <v>63</v>
      </c>
      <c r="M71" s="50">
        <v>67.400000000000006</v>
      </c>
      <c r="N71" s="50">
        <v>58.3</v>
      </c>
      <c r="O71" s="50">
        <v>63.9</v>
      </c>
      <c r="P71" s="50">
        <v>68</v>
      </c>
      <c r="Q71" s="50">
        <v>51</v>
      </c>
      <c r="R71" s="50">
        <v>56.7</v>
      </c>
      <c r="S71" s="50">
        <v>58</v>
      </c>
      <c r="T71" s="50">
        <v>64</v>
      </c>
      <c r="U71" s="50">
        <v>64</v>
      </c>
      <c r="V71" s="50">
        <v>63.7</v>
      </c>
      <c r="W71" s="50">
        <v>63.7</v>
      </c>
      <c r="X71" s="50">
        <v>72</v>
      </c>
      <c r="Y71" s="50">
        <v>67</v>
      </c>
      <c r="Z71" s="50">
        <v>70</v>
      </c>
      <c r="AA71" s="50">
        <v>62</v>
      </c>
      <c r="AB71" s="50">
        <v>62</v>
      </c>
      <c r="AC71" s="50">
        <v>61</v>
      </c>
      <c r="AD71" s="50">
        <v>61.3</v>
      </c>
      <c r="AE71" s="50">
        <v>60</v>
      </c>
      <c r="AF71" s="50">
        <v>71</v>
      </c>
      <c r="AG71" s="56"/>
      <c r="AH71" s="52">
        <f t="shared" si="2"/>
        <v>72</v>
      </c>
      <c r="AI71" s="53">
        <f t="shared" si="3"/>
        <v>51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263</v>
      </c>
      <c r="C73" s="72">
        <v>263</v>
      </c>
      <c r="D73" s="72">
        <v>318</v>
      </c>
      <c r="E73" s="72">
        <v>320</v>
      </c>
      <c r="F73" s="72">
        <v>349</v>
      </c>
      <c r="G73" s="72">
        <v>288</v>
      </c>
      <c r="H73" s="72">
        <v>355</v>
      </c>
      <c r="I73" s="72">
        <v>304</v>
      </c>
      <c r="J73" s="72">
        <v>299</v>
      </c>
      <c r="K73" s="72">
        <v>246</v>
      </c>
      <c r="L73" s="72">
        <v>244</v>
      </c>
      <c r="M73" s="72">
        <v>290.2</v>
      </c>
      <c r="N73" s="72">
        <v>289</v>
      </c>
      <c r="O73" s="72">
        <v>275.60000000000002</v>
      </c>
      <c r="P73" s="72">
        <v>268</v>
      </c>
      <c r="Q73" s="72">
        <v>266</v>
      </c>
      <c r="R73" s="72">
        <v>275.7</v>
      </c>
      <c r="S73" s="72">
        <v>360</v>
      </c>
      <c r="T73" s="72">
        <v>362.6</v>
      </c>
      <c r="U73" s="72">
        <v>352</v>
      </c>
      <c r="V73" s="72">
        <v>351</v>
      </c>
      <c r="W73" s="72">
        <v>338</v>
      </c>
      <c r="X73" s="72">
        <v>316</v>
      </c>
      <c r="Y73" s="72">
        <v>315</v>
      </c>
      <c r="Z73" s="72">
        <v>280</v>
      </c>
      <c r="AA73" s="72">
        <v>265</v>
      </c>
      <c r="AB73" s="72">
        <v>265</v>
      </c>
      <c r="AC73" s="72">
        <v>272</v>
      </c>
      <c r="AD73" s="72">
        <v>267.8</v>
      </c>
      <c r="AE73" s="72">
        <v>287</v>
      </c>
      <c r="AF73" s="72">
        <v>290.7</v>
      </c>
      <c r="AG73" s="82"/>
      <c r="AH73" s="52">
        <f t="shared" si="2"/>
        <v>362.6</v>
      </c>
      <c r="AI73" s="53">
        <f t="shared" si="3"/>
        <v>244</v>
      </c>
      <c r="AK73" s="54"/>
    </row>
    <row r="74" spans="1:40" x14ac:dyDescent="0.25">
      <c r="A74" s="60" t="s">
        <v>78</v>
      </c>
      <c r="B74" s="72">
        <v>63</v>
      </c>
      <c r="C74" s="72">
        <v>63</v>
      </c>
      <c r="D74" s="72">
        <v>63</v>
      </c>
      <c r="E74" s="83">
        <v>62</v>
      </c>
      <c r="F74" s="83">
        <v>60.8</v>
      </c>
      <c r="G74" s="83">
        <v>38.1</v>
      </c>
      <c r="H74" s="83">
        <v>47.5</v>
      </c>
      <c r="I74" s="83">
        <v>52.5</v>
      </c>
      <c r="J74" s="83">
        <v>51.9</v>
      </c>
      <c r="K74" s="83">
        <v>58.4</v>
      </c>
      <c r="L74" s="83">
        <v>52</v>
      </c>
      <c r="M74" s="83">
        <v>59.6</v>
      </c>
      <c r="N74" s="83">
        <v>58</v>
      </c>
      <c r="O74" s="83">
        <v>50</v>
      </c>
      <c r="P74" s="83">
        <v>47</v>
      </c>
      <c r="Q74" s="83">
        <v>0</v>
      </c>
      <c r="R74" s="83">
        <v>0</v>
      </c>
      <c r="S74" s="83">
        <v>0</v>
      </c>
      <c r="T74" s="83">
        <v>0</v>
      </c>
      <c r="U74" s="83">
        <v>0</v>
      </c>
      <c r="V74" s="83">
        <v>0</v>
      </c>
      <c r="W74" s="83">
        <v>0</v>
      </c>
      <c r="X74" s="83">
        <v>0</v>
      </c>
      <c r="Y74" s="83">
        <v>0</v>
      </c>
      <c r="Z74" s="83">
        <v>0</v>
      </c>
      <c r="AA74" s="83">
        <v>0</v>
      </c>
      <c r="AB74" s="83">
        <v>0</v>
      </c>
      <c r="AC74" s="83">
        <v>0</v>
      </c>
      <c r="AD74" s="83">
        <v>0</v>
      </c>
      <c r="AE74" s="83">
        <v>0</v>
      </c>
      <c r="AF74" s="83">
        <v>0</v>
      </c>
      <c r="AG74" s="82"/>
      <c r="AH74" s="52">
        <f t="shared" si="2"/>
        <v>63</v>
      </c>
      <c r="AI74" s="53">
        <f t="shared" si="3"/>
        <v>0</v>
      </c>
      <c r="AK74" s="54"/>
    </row>
    <row r="75" spans="1:40" x14ac:dyDescent="0.25">
      <c r="A75" s="60" t="s">
        <v>79</v>
      </c>
      <c r="B75" s="50">
        <v>19</v>
      </c>
      <c r="C75" s="50">
        <v>19</v>
      </c>
      <c r="D75" s="50">
        <v>26</v>
      </c>
      <c r="E75" s="50">
        <v>26.8</v>
      </c>
      <c r="F75" s="50">
        <v>28.1</v>
      </c>
      <c r="G75" s="50">
        <v>26</v>
      </c>
      <c r="H75" s="50">
        <v>27</v>
      </c>
      <c r="I75" s="50">
        <v>26.6</v>
      </c>
      <c r="J75" s="50">
        <v>26.8</v>
      </c>
      <c r="K75" s="50">
        <v>25.7</v>
      </c>
      <c r="L75" s="50">
        <v>26</v>
      </c>
      <c r="M75" s="50">
        <v>24.7</v>
      </c>
      <c r="N75" s="50">
        <v>25</v>
      </c>
      <c r="O75" s="50">
        <v>27.2</v>
      </c>
      <c r="P75" s="50">
        <v>0</v>
      </c>
      <c r="Q75" s="50">
        <v>0</v>
      </c>
      <c r="R75" s="50">
        <v>0</v>
      </c>
      <c r="S75" s="50">
        <v>0</v>
      </c>
      <c r="T75" s="50">
        <v>0</v>
      </c>
      <c r="U75" s="50">
        <v>0</v>
      </c>
      <c r="V75" s="50">
        <v>0</v>
      </c>
      <c r="W75" s="50">
        <v>0</v>
      </c>
      <c r="X75" s="50">
        <v>0</v>
      </c>
      <c r="Y75" s="50">
        <v>0</v>
      </c>
      <c r="Z75" s="50">
        <v>0</v>
      </c>
      <c r="AA75" s="50">
        <v>0</v>
      </c>
      <c r="AB75" s="50">
        <v>0</v>
      </c>
      <c r="AC75" s="50">
        <v>0</v>
      </c>
      <c r="AD75" s="50">
        <v>0</v>
      </c>
      <c r="AE75" s="50">
        <v>0</v>
      </c>
      <c r="AF75" s="50">
        <v>22.7</v>
      </c>
      <c r="AG75" s="82"/>
      <c r="AH75" s="52">
        <f t="shared" ref="AH75:AH117" si="12">MAX(B75:AF75)</f>
        <v>28.1</v>
      </c>
      <c r="AI75" s="53">
        <f t="shared" ref="AI75:AI117" si="13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2"/>
        <v>0</v>
      </c>
      <c r="AI76" s="53">
        <f t="shared" si="13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2"/>
        <v>0</v>
      </c>
      <c r="AI77" s="53">
        <f t="shared" si="13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2"/>
        <v>0</v>
      </c>
      <c r="AI78" s="53">
        <f t="shared" si="1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2"/>
        <v>0</v>
      </c>
      <c r="AI79" s="53">
        <f t="shared" si="13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2"/>
        <v>0</v>
      </c>
      <c r="AI80" s="53">
        <f t="shared" si="13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2"/>
        <v>0</v>
      </c>
      <c r="AI81" s="53">
        <f t="shared" si="1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4">SUMIF(B71:B81,"&gt;0")</f>
        <v>407.6</v>
      </c>
      <c r="C82" s="67">
        <f t="shared" si="14"/>
        <v>407.6</v>
      </c>
      <c r="D82" s="67">
        <f t="shared" si="14"/>
        <v>471.5</v>
      </c>
      <c r="E82" s="67">
        <f t="shared" si="14"/>
        <v>475.6</v>
      </c>
      <c r="F82" s="67">
        <f t="shared" si="14"/>
        <v>496.70000000000005</v>
      </c>
      <c r="G82" s="67">
        <f t="shared" si="14"/>
        <v>416</v>
      </c>
      <c r="H82" s="67">
        <f t="shared" si="14"/>
        <v>494.9</v>
      </c>
      <c r="I82" s="67">
        <f t="shared" si="14"/>
        <v>446.1</v>
      </c>
      <c r="J82" s="67">
        <f t="shared" si="14"/>
        <v>445.4</v>
      </c>
      <c r="K82" s="67">
        <f t="shared" si="14"/>
        <v>392.09999999999997</v>
      </c>
      <c r="L82" s="67">
        <f t="shared" si="14"/>
        <v>385</v>
      </c>
      <c r="M82" s="67">
        <f t="shared" si="14"/>
        <v>441.90000000000003</v>
      </c>
      <c r="N82" s="67">
        <f t="shared" si="14"/>
        <v>430.3</v>
      </c>
      <c r="O82" s="67">
        <f t="shared" si="14"/>
        <v>416.7</v>
      </c>
      <c r="P82" s="67">
        <f t="shared" si="14"/>
        <v>383</v>
      </c>
      <c r="Q82" s="67">
        <f t="shared" si="14"/>
        <v>317</v>
      </c>
      <c r="R82" s="67">
        <f t="shared" si="14"/>
        <v>332.4</v>
      </c>
      <c r="S82" s="67">
        <f t="shared" si="14"/>
        <v>418</v>
      </c>
      <c r="T82" s="67">
        <f t="shared" si="14"/>
        <v>426.6</v>
      </c>
      <c r="U82" s="67">
        <f t="shared" si="14"/>
        <v>416</v>
      </c>
      <c r="V82" s="67">
        <f t="shared" si="14"/>
        <v>414.7</v>
      </c>
      <c r="W82" s="67">
        <f t="shared" si="14"/>
        <v>401.7</v>
      </c>
      <c r="X82" s="67">
        <f t="shared" si="14"/>
        <v>388</v>
      </c>
      <c r="Y82" s="67">
        <f t="shared" si="14"/>
        <v>382</v>
      </c>
      <c r="Z82" s="67">
        <f t="shared" si="14"/>
        <v>350</v>
      </c>
      <c r="AA82" s="67">
        <f t="shared" si="14"/>
        <v>327</v>
      </c>
      <c r="AB82" s="67">
        <f t="shared" ref="AB82" si="15">SUMIF(AB71:AB81,"&gt;0")</f>
        <v>327</v>
      </c>
      <c r="AC82" s="67">
        <f t="shared" si="14"/>
        <v>333</v>
      </c>
      <c r="AD82" s="67">
        <f t="shared" si="14"/>
        <v>329.1</v>
      </c>
      <c r="AE82" s="67">
        <f t="shared" si="14"/>
        <v>347</v>
      </c>
      <c r="AF82" s="67">
        <f t="shared" si="14"/>
        <v>384.4</v>
      </c>
      <c r="AG82" s="95">
        <f>SUM(AG71:AG81)</f>
        <v>0</v>
      </c>
      <c r="AH82" s="52">
        <f t="shared" si="12"/>
        <v>496.70000000000005</v>
      </c>
      <c r="AI82" s="53">
        <f t="shared" si="13"/>
        <v>317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2"/>
        <v>0</v>
      </c>
      <c r="AI83" s="53">
        <f t="shared" si="13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2"/>
        <v>0</v>
      </c>
      <c r="AI84" s="53">
        <f t="shared" si="13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2"/>
        <v>0</v>
      </c>
      <c r="AI85" s="53">
        <f t="shared" si="13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2"/>
        <v>0</v>
      </c>
      <c r="AI86" s="53">
        <f t="shared" si="1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6">B48+B52+B70+B66+B82+B86</f>
        <v>1036.04</v>
      </c>
      <c r="C87" s="102">
        <f t="shared" si="16"/>
        <v>924.04000000000008</v>
      </c>
      <c r="D87" s="102">
        <f t="shared" si="16"/>
        <v>986.94</v>
      </c>
      <c r="E87" s="102">
        <f t="shared" si="16"/>
        <v>997.04000000000008</v>
      </c>
      <c r="F87" s="102">
        <f t="shared" si="16"/>
        <v>994.6400000000001</v>
      </c>
      <c r="G87" s="102">
        <f t="shared" si="16"/>
        <v>987.6400000000001</v>
      </c>
      <c r="H87" s="102">
        <f t="shared" si="16"/>
        <v>1107.8400000000001</v>
      </c>
      <c r="I87" s="102">
        <f t="shared" si="16"/>
        <v>1132.3400000000001</v>
      </c>
      <c r="J87" s="102">
        <f t="shared" si="16"/>
        <v>1190.3400000000001</v>
      </c>
      <c r="K87" s="102">
        <f t="shared" si="16"/>
        <v>1158.8399999999999</v>
      </c>
      <c r="L87" s="102">
        <f t="shared" si="16"/>
        <v>1151.44</v>
      </c>
      <c r="M87" s="102">
        <f t="shared" si="16"/>
        <v>1168.74</v>
      </c>
      <c r="N87" s="102">
        <f t="shared" si="16"/>
        <v>1164.1400000000001</v>
      </c>
      <c r="O87" s="102">
        <f t="shared" si="16"/>
        <v>1134.74</v>
      </c>
      <c r="P87" s="102">
        <f t="shared" si="16"/>
        <v>1094.6400000000001</v>
      </c>
      <c r="Q87" s="102">
        <f t="shared" si="16"/>
        <v>1030.54</v>
      </c>
      <c r="R87" s="102">
        <f t="shared" si="16"/>
        <v>1034.04</v>
      </c>
      <c r="S87" s="102">
        <f t="shared" si="16"/>
        <v>1019.94</v>
      </c>
      <c r="T87" s="102">
        <f t="shared" si="16"/>
        <v>1036.04</v>
      </c>
      <c r="U87" s="102">
        <f t="shared" si="16"/>
        <v>1079.3400000000001</v>
      </c>
      <c r="V87" s="102">
        <f t="shared" si="16"/>
        <v>1077.04</v>
      </c>
      <c r="W87" s="102">
        <f t="shared" si="16"/>
        <v>1088.04</v>
      </c>
      <c r="X87" s="102">
        <f t="shared" si="16"/>
        <v>1074.74</v>
      </c>
      <c r="Y87" s="102">
        <f t="shared" si="16"/>
        <v>1189.1400000000001</v>
      </c>
      <c r="Z87" s="102">
        <f t="shared" si="16"/>
        <v>1355.0400000000002</v>
      </c>
      <c r="AA87" s="102">
        <f t="shared" si="16"/>
        <v>1341.94</v>
      </c>
      <c r="AB87" s="102">
        <f t="shared" ref="AB87" si="17">AB48+AB52+AB70+AB66+AB82+AB86</f>
        <v>1341.94</v>
      </c>
      <c r="AC87" s="102">
        <f t="shared" si="16"/>
        <v>1269.94</v>
      </c>
      <c r="AD87" s="102">
        <f t="shared" si="16"/>
        <v>1224.44</v>
      </c>
      <c r="AE87" s="102">
        <f t="shared" si="16"/>
        <v>1118.3400000000001</v>
      </c>
      <c r="AF87" s="102">
        <f t="shared" si="16"/>
        <v>1080.74</v>
      </c>
      <c r="AG87" s="68">
        <f t="shared" si="16"/>
        <v>2065.09</v>
      </c>
      <c r="AH87" s="52">
        <f>MAX(B87:AF87)</f>
        <v>1355.0400000000002</v>
      </c>
      <c r="AI87" s="53">
        <f>MIN(B87:AF87)</f>
        <v>924.04000000000008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100</v>
      </c>
      <c r="L88" s="104">
        <v>120</v>
      </c>
      <c r="M88" s="104">
        <v>100</v>
      </c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>
        <v>100</v>
      </c>
      <c r="Y88" s="104">
        <v>100</v>
      </c>
      <c r="Z88" s="104">
        <v>100</v>
      </c>
      <c r="AA88" s="104">
        <v>100</v>
      </c>
      <c r="AB88" s="104">
        <v>101</v>
      </c>
      <c r="AC88" s="104">
        <v>100</v>
      </c>
      <c r="AD88" s="104">
        <v>50</v>
      </c>
      <c r="AE88" s="104">
        <v>0</v>
      </c>
      <c r="AF88" s="104">
        <v>0</v>
      </c>
      <c r="AG88" s="95"/>
      <c r="AH88" s="52">
        <f t="shared" si="12"/>
        <v>120</v>
      </c>
      <c r="AI88" s="53">
        <f t="shared" si="13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8">B87+B88</f>
        <v>1036.04</v>
      </c>
      <c r="C89" s="102">
        <f t="shared" si="18"/>
        <v>924.04000000000008</v>
      </c>
      <c r="D89" s="102">
        <f t="shared" si="18"/>
        <v>986.94</v>
      </c>
      <c r="E89" s="102">
        <f t="shared" si="18"/>
        <v>997.04000000000008</v>
      </c>
      <c r="F89" s="102">
        <f t="shared" si="18"/>
        <v>994.6400000000001</v>
      </c>
      <c r="G89" s="102">
        <f t="shared" si="18"/>
        <v>987.6400000000001</v>
      </c>
      <c r="H89" s="102">
        <f t="shared" si="18"/>
        <v>1107.8400000000001</v>
      </c>
      <c r="I89" s="102">
        <f t="shared" si="18"/>
        <v>1132.3400000000001</v>
      </c>
      <c r="J89" s="102">
        <f t="shared" si="18"/>
        <v>1190.3400000000001</v>
      </c>
      <c r="K89" s="102">
        <f t="shared" si="18"/>
        <v>1258.8399999999999</v>
      </c>
      <c r="L89" s="102">
        <f t="shared" si="18"/>
        <v>1271.44</v>
      </c>
      <c r="M89" s="102">
        <f t="shared" si="18"/>
        <v>1268.74</v>
      </c>
      <c r="N89" s="102">
        <f t="shared" si="18"/>
        <v>1164.1400000000001</v>
      </c>
      <c r="O89" s="102">
        <f t="shared" si="18"/>
        <v>1134.74</v>
      </c>
      <c r="P89" s="102">
        <f t="shared" si="18"/>
        <v>1094.6400000000001</v>
      </c>
      <c r="Q89" s="102">
        <f t="shared" si="18"/>
        <v>1030.54</v>
      </c>
      <c r="R89" s="102">
        <f t="shared" si="18"/>
        <v>1034.04</v>
      </c>
      <c r="S89" s="102">
        <f t="shared" si="18"/>
        <v>1019.94</v>
      </c>
      <c r="T89" s="102">
        <f t="shared" si="18"/>
        <v>1036.04</v>
      </c>
      <c r="U89" s="102">
        <f t="shared" si="18"/>
        <v>1079.3400000000001</v>
      </c>
      <c r="V89" s="102">
        <f t="shared" si="18"/>
        <v>1077.04</v>
      </c>
      <c r="W89" s="102">
        <f t="shared" si="18"/>
        <v>1088.04</v>
      </c>
      <c r="X89" s="102">
        <f t="shared" si="18"/>
        <v>1174.74</v>
      </c>
      <c r="Y89" s="102">
        <f t="shared" si="18"/>
        <v>1289.1400000000001</v>
      </c>
      <c r="Z89" s="102">
        <f t="shared" si="18"/>
        <v>1455.0400000000002</v>
      </c>
      <c r="AA89" s="102">
        <f t="shared" si="18"/>
        <v>1441.94</v>
      </c>
      <c r="AB89" s="102">
        <f t="shared" si="18"/>
        <v>1442.94</v>
      </c>
      <c r="AC89" s="102">
        <f t="shared" si="18"/>
        <v>1369.94</v>
      </c>
      <c r="AD89" s="102">
        <f t="shared" si="18"/>
        <v>1274.44</v>
      </c>
      <c r="AE89" s="102">
        <f t="shared" si="18"/>
        <v>1118.3400000000001</v>
      </c>
      <c r="AF89" s="102">
        <f t="shared" si="18"/>
        <v>1080.74</v>
      </c>
      <c r="AG89" s="95">
        <f>AG86+AG82+AG70+AG66+AG48+AG88</f>
        <v>1526.99</v>
      </c>
      <c r="AH89" s="52">
        <f t="shared" si="12"/>
        <v>1455.0400000000002</v>
      </c>
      <c r="AI89" s="53">
        <f t="shared" si="13"/>
        <v>924.04000000000008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19">B89-B97</f>
        <v>1036.04</v>
      </c>
      <c r="C90" s="102">
        <f t="shared" si="19"/>
        <v>924.04000000000008</v>
      </c>
      <c r="D90" s="102">
        <f t="shared" si="19"/>
        <v>986.94</v>
      </c>
      <c r="E90" s="102">
        <f t="shared" si="19"/>
        <v>997.04000000000008</v>
      </c>
      <c r="F90" s="102">
        <f t="shared" si="19"/>
        <v>994.6400000000001</v>
      </c>
      <c r="G90" s="102">
        <f t="shared" si="19"/>
        <v>987.6400000000001</v>
      </c>
      <c r="H90" s="102">
        <f t="shared" si="19"/>
        <v>1107.8400000000001</v>
      </c>
      <c r="I90" s="102">
        <f t="shared" si="19"/>
        <v>1132.3400000000001</v>
      </c>
      <c r="J90" s="102">
        <f t="shared" si="19"/>
        <v>1190.3400000000001</v>
      </c>
      <c r="K90" s="102">
        <f t="shared" si="19"/>
        <v>1258.8399999999999</v>
      </c>
      <c r="L90" s="102">
        <f t="shared" si="19"/>
        <v>1271.44</v>
      </c>
      <c r="M90" s="102">
        <f t="shared" si="19"/>
        <v>1268.74</v>
      </c>
      <c r="N90" s="102">
        <f t="shared" si="19"/>
        <v>1164.1400000000001</v>
      </c>
      <c r="O90" s="102">
        <f t="shared" si="19"/>
        <v>1134.74</v>
      </c>
      <c r="P90" s="102">
        <f t="shared" si="19"/>
        <v>1094.6400000000001</v>
      </c>
      <c r="Q90" s="102">
        <f t="shared" si="19"/>
        <v>1030.54</v>
      </c>
      <c r="R90" s="102">
        <f t="shared" si="19"/>
        <v>1034.04</v>
      </c>
      <c r="S90" s="102">
        <f t="shared" si="19"/>
        <v>1019.94</v>
      </c>
      <c r="T90" s="102">
        <f t="shared" si="19"/>
        <v>1036.04</v>
      </c>
      <c r="U90" s="102">
        <f t="shared" si="19"/>
        <v>1079.3400000000001</v>
      </c>
      <c r="V90" s="102">
        <f t="shared" si="19"/>
        <v>1077.04</v>
      </c>
      <c r="W90" s="102">
        <f t="shared" si="19"/>
        <v>1088.04</v>
      </c>
      <c r="X90" s="102">
        <f t="shared" si="19"/>
        <v>1174.74</v>
      </c>
      <c r="Y90" s="102">
        <f t="shared" si="19"/>
        <v>1289.1400000000001</v>
      </c>
      <c r="Z90" s="102">
        <f t="shared" si="19"/>
        <v>1455.0400000000002</v>
      </c>
      <c r="AA90" s="102">
        <f t="shared" si="19"/>
        <v>1441.94</v>
      </c>
      <c r="AB90" s="102">
        <f t="shared" si="19"/>
        <v>1442.94</v>
      </c>
      <c r="AC90" s="102">
        <f t="shared" si="19"/>
        <v>1369.94</v>
      </c>
      <c r="AD90" s="102">
        <f t="shared" si="19"/>
        <v>1274.44</v>
      </c>
      <c r="AE90" s="102">
        <f t="shared" si="19"/>
        <v>1118.3400000000001</v>
      </c>
      <c r="AF90" s="102">
        <f t="shared" si="19"/>
        <v>1080.74</v>
      </c>
      <c r="AG90" s="95"/>
      <c r="AH90" s="52">
        <f t="shared" si="12"/>
        <v>1455.0400000000002</v>
      </c>
      <c r="AI90" s="53">
        <f t="shared" si="13"/>
        <v>924.04000000000008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2"/>
        <v>0</v>
      </c>
      <c r="AI91" s="53">
        <f t="shared" si="1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2"/>
        <v>0</v>
      </c>
      <c r="AI92" s="53">
        <f t="shared" si="1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2"/>
        <v>0</v>
      </c>
      <c r="AI93" s="53">
        <f t="shared" si="1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2"/>
        <v>0</v>
      </c>
      <c r="AI94" s="53">
        <f t="shared" si="1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2"/>
        <v>0</v>
      </c>
      <c r="AI95" s="53">
        <f t="shared" si="1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2"/>
        <v>0</v>
      </c>
      <c r="AI96" s="53">
        <f t="shared" si="1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2"/>
        <v>0</v>
      </c>
      <c r="AI97" s="53">
        <f t="shared" si="13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0">B82-B97</f>
        <v>407.6</v>
      </c>
      <c r="C98" s="67">
        <f t="shared" si="20"/>
        <v>407.6</v>
      </c>
      <c r="D98" s="67">
        <f t="shared" si="20"/>
        <v>471.5</v>
      </c>
      <c r="E98" s="67">
        <f t="shared" si="20"/>
        <v>475.6</v>
      </c>
      <c r="F98" s="67">
        <f t="shared" si="20"/>
        <v>496.70000000000005</v>
      </c>
      <c r="G98" s="67">
        <f t="shared" si="20"/>
        <v>416</v>
      </c>
      <c r="H98" s="67">
        <f t="shared" si="20"/>
        <v>494.9</v>
      </c>
      <c r="I98" s="67">
        <f t="shared" si="20"/>
        <v>446.1</v>
      </c>
      <c r="J98" s="67">
        <f t="shared" si="20"/>
        <v>445.4</v>
      </c>
      <c r="K98" s="67">
        <f t="shared" si="20"/>
        <v>392.09999999999997</v>
      </c>
      <c r="L98" s="67">
        <f t="shared" si="20"/>
        <v>385</v>
      </c>
      <c r="M98" s="67">
        <f t="shared" si="20"/>
        <v>441.90000000000003</v>
      </c>
      <c r="N98" s="67">
        <f t="shared" si="20"/>
        <v>430.3</v>
      </c>
      <c r="O98" s="67">
        <f t="shared" si="20"/>
        <v>416.7</v>
      </c>
      <c r="P98" s="67">
        <f t="shared" si="20"/>
        <v>383</v>
      </c>
      <c r="Q98" s="67">
        <f t="shared" si="20"/>
        <v>317</v>
      </c>
      <c r="R98" s="67">
        <f t="shared" si="20"/>
        <v>332.4</v>
      </c>
      <c r="S98" s="67">
        <f t="shared" si="20"/>
        <v>418</v>
      </c>
      <c r="T98" s="67">
        <f t="shared" si="20"/>
        <v>426.6</v>
      </c>
      <c r="U98" s="67">
        <f t="shared" si="20"/>
        <v>416</v>
      </c>
      <c r="V98" s="67">
        <f t="shared" si="20"/>
        <v>414.7</v>
      </c>
      <c r="W98" s="67">
        <f t="shared" si="20"/>
        <v>401.7</v>
      </c>
      <c r="X98" s="67">
        <f t="shared" si="20"/>
        <v>388</v>
      </c>
      <c r="Y98" s="67">
        <f t="shared" si="20"/>
        <v>382</v>
      </c>
      <c r="Z98" s="67">
        <f t="shared" si="20"/>
        <v>350</v>
      </c>
      <c r="AA98" s="67">
        <f t="shared" si="20"/>
        <v>327</v>
      </c>
      <c r="AB98" s="67">
        <f t="shared" si="20"/>
        <v>327</v>
      </c>
      <c r="AC98" s="67">
        <f t="shared" si="20"/>
        <v>333</v>
      </c>
      <c r="AD98" s="67">
        <f t="shared" si="20"/>
        <v>329.1</v>
      </c>
      <c r="AE98" s="67">
        <f t="shared" si="20"/>
        <v>347</v>
      </c>
      <c r="AF98" s="67">
        <f t="shared" si="20"/>
        <v>384.4</v>
      </c>
      <c r="AG98" s="95"/>
      <c r="AH98" s="52">
        <f t="shared" si="12"/>
        <v>496.70000000000005</v>
      </c>
      <c r="AI98" s="53">
        <f t="shared" si="13"/>
        <v>317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50.045000000000002</v>
      </c>
      <c r="C99" s="108">
        <v>49.957000000000001</v>
      </c>
      <c r="D99" s="108">
        <v>49.991999999999997</v>
      </c>
      <c r="E99" s="108">
        <v>49.965000000000003</v>
      </c>
      <c r="F99" s="108">
        <v>50.06</v>
      </c>
      <c r="G99" s="108">
        <v>49.844999999999999</v>
      </c>
      <c r="H99" s="108">
        <v>50.09</v>
      </c>
      <c r="I99" s="108">
        <v>50.02</v>
      </c>
      <c r="J99" s="108">
        <v>49.978000000000002</v>
      </c>
      <c r="K99" s="108">
        <v>49.998800000000003</v>
      </c>
      <c r="L99" s="108">
        <v>49.99</v>
      </c>
      <c r="M99" s="108">
        <v>50.088999999999999</v>
      </c>
      <c r="N99" s="108">
        <v>49.997999999999998</v>
      </c>
      <c r="O99" s="108">
        <v>49.923000000000002</v>
      </c>
      <c r="P99" s="108">
        <v>49.862000000000002</v>
      </c>
      <c r="Q99" s="108">
        <v>49.912999999999997</v>
      </c>
      <c r="R99" s="108">
        <v>49.851999999999997</v>
      </c>
      <c r="S99" s="108">
        <v>49.968000000000004</v>
      </c>
      <c r="T99" s="108">
        <v>49.889000000000003</v>
      </c>
      <c r="U99" s="108">
        <v>50.011000000000003</v>
      </c>
      <c r="V99" s="108">
        <v>50.094000000000001</v>
      </c>
      <c r="W99" s="108">
        <v>49.994</v>
      </c>
      <c r="X99" s="108">
        <v>50.064999999999998</v>
      </c>
      <c r="Y99" s="108">
        <v>49.963999999999999</v>
      </c>
      <c r="Z99" s="108">
        <v>50.09</v>
      </c>
      <c r="AA99" s="108">
        <v>49.966000000000001</v>
      </c>
      <c r="AB99" s="108">
        <v>50.03</v>
      </c>
      <c r="AC99" s="108">
        <v>49.901000000000003</v>
      </c>
      <c r="AD99" s="108">
        <v>49.91</v>
      </c>
      <c r="AE99" s="108">
        <v>50.156999999999996</v>
      </c>
      <c r="AF99" s="108">
        <v>49.970999999999997</v>
      </c>
      <c r="AG99" s="109"/>
      <c r="AH99" s="52">
        <f t="shared" si="12"/>
        <v>50.156999999999996</v>
      </c>
      <c r="AI99" s="53">
        <f t="shared" si="13"/>
        <v>49.844999999999999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127.7</v>
      </c>
      <c r="C100" s="72">
        <v>127.9</v>
      </c>
      <c r="D100" s="72">
        <v>126.6</v>
      </c>
      <c r="E100" s="72">
        <v>127.5</v>
      </c>
      <c r="F100" s="72">
        <v>126.6</v>
      </c>
      <c r="G100" s="72">
        <v>128.4</v>
      </c>
      <c r="H100" s="72">
        <v>127</v>
      </c>
      <c r="I100" s="72">
        <v>127.6</v>
      </c>
      <c r="J100" s="72">
        <v>126.3</v>
      </c>
      <c r="K100" s="72">
        <v>126.8</v>
      </c>
      <c r="L100" s="72">
        <v>125.7</v>
      </c>
      <c r="M100" s="72">
        <v>125.9</v>
      </c>
      <c r="N100" s="72">
        <v>125.9</v>
      </c>
      <c r="O100" s="72">
        <v>126.4</v>
      </c>
      <c r="P100" s="72">
        <v>126.4</v>
      </c>
      <c r="Q100" s="72">
        <v>126.4</v>
      </c>
      <c r="R100" s="72">
        <v>127.4</v>
      </c>
      <c r="S100" s="72">
        <v>124.9</v>
      </c>
      <c r="T100" s="72">
        <v>124.7</v>
      </c>
      <c r="U100" s="72">
        <v>124.7</v>
      </c>
      <c r="V100" s="72">
        <v>127.1</v>
      </c>
      <c r="W100" s="72">
        <v>127.6</v>
      </c>
      <c r="X100" s="72">
        <v>128.80000000000001</v>
      </c>
      <c r="Y100" s="72">
        <v>129</v>
      </c>
      <c r="Z100" s="72">
        <v>128.4</v>
      </c>
      <c r="AA100" s="72">
        <v>128.69999999999999</v>
      </c>
      <c r="AB100" s="72">
        <v>128.6</v>
      </c>
      <c r="AC100" s="72">
        <v>128</v>
      </c>
      <c r="AD100" s="72">
        <v>128</v>
      </c>
      <c r="AE100" s="72">
        <v>128</v>
      </c>
      <c r="AF100" s="72">
        <v>129.5</v>
      </c>
      <c r="AG100" s="111"/>
      <c r="AH100" s="52">
        <f t="shared" si="12"/>
        <v>129.5</v>
      </c>
      <c r="AI100" s="53">
        <f t="shared" si="13"/>
        <v>124.7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131.30000000000001</v>
      </c>
      <c r="C101" s="72">
        <v>131.4</v>
      </c>
      <c r="D101" s="72">
        <v>131.1</v>
      </c>
      <c r="E101" s="72">
        <v>131.4</v>
      </c>
      <c r="F101" s="72">
        <v>130.6</v>
      </c>
      <c r="G101" s="72">
        <v>132.4</v>
      </c>
      <c r="H101" s="72">
        <v>130.9</v>
      </c>
      <c r="I101" s="72">
        <v>130.80000000000001</v>
      </c>
      <c r="J101" s="72">
        <v>129.9</v>
      </c>
      <c r="K101" s="72">
        <v>129.5</v>
      </c>
      <c r="L101" s="72">
        <v>128.69999999999999</v>
      </c>
      <c r="M101" s="72">
        <v>128.30000000000001</v>
      </c>
      <c r="N101" s="72">
        <v>128.6</v>
      </c>
      <c r="O101" s="72">
        <v>129.30000000000001</v>
      </c>
      <c r="P101" s="72">
        <v>129.6</v>
      </c>
      <c r="Q101" s="72">
        <v>129.6</v>
      </c>
      <c r="R101" s="72">
        <v>131</v>
      </c>
      <c r="S101" s="72">
        <v>128.69999999999999</v>
      </c>
      <c r="T101" s="72">
        <v>128.69999999999999</v>
      </c>
      <c r="U101" s="72">
        <v>129</v>
      </c>
      <c r="V101" s="72">
        <v>130.80000000000001</v>
      </c>
      <c r="W101" s="72">
        <v>131</v>
      </c>
      <c r="X101" s="72">
        <v>131.5</v>
      </c>
      <c r="Y101" s="72">
        <v>131.19999999999999</v>
      </c>
      <c r="Z101" s="72">
        <v>130</v>
      </c>
      <c r="AA101" s="72">
        <v>131.19999999999999</v>
      </c>
      <c r="AB101" s="72">
        <v>131.9</v>
      </c>
      <c r="AC101" s="72">
        <v>131</v>
      </c>
      <c r="AD101" s="72">
        <v>131</v>
      </c>
      <c r="AE101" s="72">
        <v>131</v>
      </c>
      <c r="AF101" s="72">
        <v>132.5</v>
      </c>
      <c r="AG101" s="111"/>
      <c r="AH101" s="52">
        <f t="shared" si="12"/>
        <v>132.5</v>
      </c>
      <c r="AI101" s="53">
        <f t="shared" si="13"/>
        <v>128.30000000000001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132.1</v>
      </c>
      <c r="C102" s="72">
        <v>132</v>
      </c>
      <c r="D102" s="72">
        <v>133.19999999999999</v>
      </c>
      <c r="E102" s="72">
        <v>133.19999999999999</v>
      </c>
      <c r="F102" s="72">
        <v>133.19999999999999</v>
      </c>
      <c r="G102" s="72">
        <v>133.19999999999999</v>
      </c>
      <c r="H102" s="72">
        <v>131</v>
      </c>
      <c r="I102" s="72">
        <v>131.5</v>
      </c>
      <c r="J102" s="72">
        <v>131.80000000000001</v>
      </c>
      <c r="K102" s="72">
        <v>132.9</v>
      </c>
      <c r="L102" s="72">
        <v>130.6</v>
      </c>
      <c r="M102" s="72">
        <v>131.1</v>
      </c>
      <c r="N102" s="72">
        <v>128.9</v>
      </c>
      <c r="O102" s="72">
        <v>130.80000000000001</v>
      </c>
      <c r="P102" s="72">
        <v>129</v>
      </c>
      <c r="Q102" s="72">
        <v>129</v>
      </c>
      <c r="R102" s="72">
        <v>127.7</v>
      </c>
      <c r="S102" s="72">
        <v>129.9</v>
      </c>
      <c r="T102" s="72">
        <v>128.9</v>
      </c>
      <c r="U102" s="72">
        <v>127.9</v>
      </c>
      <c r="V102" s="72">
        <v>130</v>
      </c>
      <c r="W102" s="72">
        <v>129.80000000000001</v>
      </c>
      <c r="X102" s="72">
        <v>130.30000000000001</v>
      </c>
      <c r="Y102" s="72">
        <v>127</v>
      </c>
      <c r="Z102" s="72">
        <v>128.80000000000001</v>
      </c>
      <c r="AA102" s="72">
        <v>130.4</v>
      </c>
      <c r="AB102" s="72">
        <v>130.4</v>
      </c>
      <c r="AC102" s="72">
        <v>131</v>
      </c>
      <c r="AD102" s="72">
        <v>131</v>
      </c>
      <c r="AE102" s="72">
        <v>131</v>
      </c>
      <c r="AF102" s="72">
        <v>131</v>
      </c>
      <c r="AG102" s="111"/>
      <c r="AH102" s="52">
        <f t="shared" si="12"/>
        <v>133.19999999999999</v>
      </c>
      <c r="AI102" s="53">
        <f t="shared" si="13"/>
        <v>127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2"/>
        <v>0</v>
      </c>
      <c r="AI103" s="53">
        <f t="shared" si="1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130.19999999999999</v>
      </c>
      <c r="C104" s="113">
        <v>131.6</v>
      </c>
      <c r="D104" s="113">
        <v>131.4</v>
      </c>
      <c r="E104" s="113">
        <v>131.4</v>
      </c>
      <c r="F104" s="113">
        <v>131.4</v>
      </c>
      <c r="G104" s="113">
        <v>131.4</v>
      </c>
      <c r="H104" s="113">
        <v>130.63</v>
      </c>
      <c r="I104" s="113">
        <v>133.30000000000001</v>
      </c>
      <c r="J104" s="113">
        <v>132.4</v>
      </c>
      <c r="K104" s="113">
        <v>134.5</v>
      </c>
      <c r="L104" s="113">
        <v>134.5</v>
      </c>
      <c r="M104" s="113">
        <v>132.6</v>
      </c>
      <c r="N104" s="113">
        <v>133.9</v>
      </c>
      <c r="O104" s="113">
        <v>131.9</v>
      </c>
      <c r="P104" s="113">
        <v>132.4</v>
      </c>
      <c r="Q104" s="113">
        <v>132.4</v>
      </c>
      <c r="R104" s="113">
        <v>133.9</v>
      </c>
      <c r="S104" s="113">
        <v>130.19999999999999</v>
      </c>
      <c r="T104" s="113">
        <v>132.80000000000001</v>
      </c>
      <c r="U104" s="113">
        <v>132.1</v>
      </c>
      <c r="V104" s="113">
        <v>132.69999999999999</v>
      </c>
      <c r="W104" s="113">
        <v>134.6</v>
      </c>
      <c r="X104" s="113">
        <v>134</v>
      </c>
      <c r="Y104" s="113">
        <v>134</v>
      </c>
      <c r="Z104" s="113">
        <v>133.30000000000001</v>
      </c>
      <c r="AA104" s="113">
        <v>134</v>
      </c>
      <c r="AB104" s="113">
        <v>134.80000000000001</v>
      </c>
      <c r="AC104" s="113">
        <v>133.5</v>
      </c>
      <c r="AD104" s="113">
        <v>133.5</v>
      </c>
      <c r="AE104" s="113">
        <v>133.5</v>
      </c>
      <c r="AF104" s="113">
        <v>130.80000000000001</v>
      </c>
      <c r="AG104" s="114"/>
      <c r="AH104" s="52">
        <f t="shared" si="12"/>
        <v>134.80000000000001</v>
      </c>
      <c r="AI104" s="53">
        <f t="shared" si="13"/>
        <v>130.19999999999999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133.9</v>
      </c>
      <c r="C105" s="72">
        <v>132.30000000000001</v>
      </c>
      <c r="D105" s="72">
        <v>134.30000000000001</v>
      </c>
      <c r="E105" s="72">
        <v>134.30000000000001</v>
      </c>
      <c r="F105" s="72">
        <v>134.30000000000001</v>
      </c>
      <c r="G105" s="72">
        <v>134.30000000000001</v>
      </c>
      <c r="H105" s="72">
        <v>132.9</v>
      </c>
      <c r="I105" s="72">
        <v>129.69999999999999</v>
      </c>
      <c r="J105" s="72">
        <v>130.5</v>
      </c>
      <c r="K105" s="72">
        <v>136.30000000000001</v>
      </c>
      <c r="L105" s="72">
        <v>133.4</v>
      </c>
      <c r="M105" s="72">
        <v>136.9</v>
      </c>
      <c r="N105" s="72">
        <v>125</v>
      </c>
      <c r="O105" s="72">
        <v>124.2</v>
      </c>
      <c r="P105" s="72">
        <v>134.69999999999999</v>
      </c>
      <c r="Q105" s="72">
        <v>134.69999999999999</v>
      </c>
      <c r="R105" s="72">
        <v>133.1</v>
      </c>
      <c r="S105" s="72">
        <v>135.9</v>
      </c>
      <c r="T105" s="72"/>
      <c r="U105" s="72"/>
      <c r="V105" s="72"/>
      <c r="W105" s="72"/>
      <c r="X105" s="72">
        <v>128</v>
      </c>
      <c r="Y105" s="72">
        <v>133</v>
      </c>
      <c r="Z105" s="72">
        <v>125.6</v>
      </c>
      <c r="AA105" s="72">
        <v>133</v>
      </c>
      <c r="AB105" s="72">
        <v>134.9</v>
      </c>
      <c r="AC105" s="72">
        <v>132</v>
      </c>
      <c r="AD105" s="72">
        <v>132</v>
      </c>
      <c r="AE105" s="72">
        <v>132</v>
      </c>
      <c r="AF105" s="72">
        <v>131.6</v>
      </c>
      <c r="AG105" s="111"/>
      <c r="AH105" s="52">
        <f t="shared" si="12"/>
        <v>136.9</v>
      </c>
      <c r="AI105" s="53">
        <f t="shared" si="13"/>
        <v>124.2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66.099999999999994</v>
      </c>
      <c r="C106" s="99">
        <v>66.099999999999994</v>
      </c>
      <c r="D106" s="99">
        <v>65.900000000000006</v>
      </c>
      <c r="E106" s="99">
        <v>65.900000000000006</v>
      </c>
      <c r="F106" s="99">
        <v>65.900000000000006</v>
      </c>
      <c r="G106" s="99">
        <v>65.900000000000006</v>
      </c>
      <c r="H106" s="99">
        <v>65.599999999999994</v>
      </c>
      <c r="I106" s="99">
        <v>65.599999999999994</v>
      </c>
      <c r="J106" s="99">
        <v>65.2</v>
      </c>
      <c r="K106" s="99">
        <v>65.3</v>
      </c>
      <c r="L106" s="99">
        <v>64.3</v>
      </c>
      <c r="M106" s="99">
        <v>64.5</v>
      </c>
      <c r="N106" s="99">
        <v>64.5</v>
      </c>
      <c r="O106" s="99">
        <v>64.900000000000006</v>
      </c>
      <c r="P106" s="99">
        <v>65.099999999999994</v>
      </c>
      <c r="Q106" s="99">
        <v>65.099999999999994</v>
      </c>
      <c r="R106" s="99">
        <v>65.8</v>
      </c>
      <c r="S106" s="99">
        <v>64.7</v>
      </c>
      <c r="T106" s="99">
        <v>64.7</v>
      </c>
      <c r="U106" s="99">
        <v>65.5</v>
      </c>
      <c r="V106" s="99">
        <v>66</v>
      </c>
      <c r="W106" s="99">
        <v>66.099999999999994</v>
      </c>
      <c r="X106" s="99">
        <v>66.400000000000006</v>
      </c>
      <c r="Y106" s="99">
        <v>66</v>
      </c>
      <c r="Z106" s="99">
        <v>65.2</v>
      </c>
      <c r="AA106" s="99">
        <v>65.8</v>
      </c>
      <c r="AB106" s="99">
        <v>66</v>
      </c>
      <c r="AC106" s="99">
        <v>65.599999999999994</v>
      </c>
      <c r="AD106" s="99">
        <v>65.599999999999994</v>
      </c>
      <c r="AE106" s="99">
        <v>65.599999999999994</v>
      </c>
      <c r="AF106" s="99">
        <v>66.5</v>
      </c>
      <c r="AG106" s="115"/>
      <c r="AH106" s="52">
        <f t="shared" si="12"/>
        <v>66.5</v>
      </c>
      <c r="AI106" s="53">
        <f t="shared" si="13"/>
        <v>64.3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2"/>
        <v>0</v>
      </c>
      <c r="AI107" s="53">
        <f t="shared" si="13"/>
        <v>0</v>
      </c>
    </row>
    <row r="108" spans="1:88" ht="15.75" thickBot="1" x14ac:dyDescent="0.3">
      <c r="A108" s="117" t="s">
        <v>112</v>
      </c>
      <c r="B108" s="118">
        <f t="shared" ref="B108:AF108" si="21">SUM(B18,B24,B27:B28,B56,B58:B59,B61,B63,B109:B113,B135,B141,B147,B156,B158,B170,B177,B180:B181,B188,B190,B192,B196:B198,B200:B202,B207,B213:B214,B216:B218,B226,B231)</f>
        <v>121.9</v>
      </c>
      <c r="C108" s="118">
        <f t="shared" si="21"/>
        <v>109.03999999999999</v>
      </c>
      <c r="D108" s="118">
        <f t="shared" si="21"/>
        <v>104.03999999999999</v>
      </c>
      <c r="E108" s="118">
        <f t="shared" si="21"/>
        <v>91.139999999999986</v>
      </c>
      <c r="F108" s="118">
        <f t="shared" si="21"/>
        <v>106.23999999999998</v>
      </c>
      <c r="G108" s="118">
        <f t="shared" si="21"/>
        <v>114.44</v>
      </c>
      <c r="H108" s="118">
        <f t="shared" si="21"/>
        <v>128.34</v>
      </c>
      <c r="I108" s="118">
        <f t="shared" si="21"/>
        <v>181.14</v>
      </c>
      <c r="J108" s="118">
        <f t="shared" si="21"/>
        <v>207.83999999999997</v>
      </c>
      <c r="K108" s="118">
        <f t="shared" si="21"/>
        <v>241.33999999999997</v>
      </c>
      <c r="L108" s="118">
        <f t="shared" si="21"/>
        <v>255.84</v>
      </c>
      <c r="M108" s="118">
        <f t="shared" si="21"/>
        <v>287.83999999999997</v>
      </c>
      <c r="N108" s="118">
        <f t="shared" si="21"/>
        <v>284.64</v>
      </c>
      <c r="O108" s="118">
        <f t="shared" si="21"/>
        <v>268.23999999999995</v>
      </c>
      <c r="P108" s="118">
        <v>42</v>
      </c>
      <c r="Q108" s="118">
        <f t="shared" si="21"/>
        <v>209.89999999999998</v>
      </c>
      <c r="R108" s="118">
        <f t="shared" si="21"/>
        <v>181.29999999999998</v>
      </c>
      <c r="S108" s="118">
        <f t="shared" si="21"/>
        <v>201.5</v>
      </c>
      <c r="T108" s="118">
        <f t="shared" si="21"/>
        <v>202</v>
      </c>
      <c r="U108" s="118">
        <f t="shared" si="21"/>
        <v>206.2</v>
      </c>
      <c r="V108" s="118">
        <f t="shared" si="21"/>
        <v>219.8</v>
      </c>
      <c r="W108" s="118">
        <f t="shared" si="21"/>
        <v>223.6</v>
      </c>
      <c r="X108" s="118">
        <f t="shared" si="21"/>
        <v>238.39999999999998</v>
      </c>
      <c r="Y108" s="118">
        <f t="shared" si="21"/>
        <v>284.2</v>
      </c>
      <c r="Z108" s="118">
        <f t="shared" si="21"/>
        <v>337.5</v>
      </c>
      <c r="AA108" s="118">
        <f t="shared" si="21"/>
        <v>319.7</v>
      </c>
      <c r="AB108" s="118">
        <f t="shared" si="21"/>
        <v>258.7</v>
      </c>
      <c r="AC108" s="118">
        <f t="shared" si="21"/>
        <v>269.2</v>
      </c>
      <c r="AD108" s="118">
        <f t="shared" si="21"/>
        <v>214.5</v>
      </c>
      <c r="AE108" s="118">
        <f t="shared" si="21"/>
        <v>145.5</v>
      </c>
      <c r="AF108" s="118">
        <f t="shared" si="21"/>
        <v>86.9</v>
      </c>
      <c r="AG108" s="119"/>
      <c r="AH108" s="52">
        <f t="shared" si="12"/>
        <v>337.5</v>
      </c>
      <c r="AI108" s="53">
        <f t="shared" si="13"/>
        <v>42</v>
      </c>
    </row>
    <row r="109" spans="1:88" x14ac:dyDescent="0.25">
      <c r="A109" s="107" t="s">
        <v>113</v>
      </c>
      <c r="B109" s="120">
        <v>-24.6</v>
      </c>
      <c r="C109" s="120">
        <v>-17.2</v>
      </c>
      <c r="D109" s="120">
        <v>-15.1</v>
      </c>
      <c r="E109" s="120">
        <v>-19.5</v>
      </c>
      <c r="F109" s="120">
        <v>-18.399999999999999</v>
      </c>
      <c r="G109" s="120">
        <v>-9.6</v>
      </c>
      <c r="H109" s="120">
        <v>-14.8</v>
      </c>
      <c r="I109" s="120">
        <v>-2.2999999999999998</v>
      </c>
      <c r="J109" s="120">
        <v>0</v>
      </c>
      <c r="K109" s="120">
        <v>12.4</v>
      </c>
      <c r="L109" s="120">
        <v>26.8</v>
      </c>
      <c r="M109" s="120">
        <v>22.4</v>
      </c>
      <c r="N109" s="120">
        <v>24.2</v>
      </c>
      <c r="O109" s="120">
        <v>19.7</v>
      </c>
      <c r="P109" s="120">
        <v>13.8</v>
      </c>
      <c r="Q109" s="120">
        <v>10.3</v>
      </c>
      <c r="R109" s="120">
        <v>10.3</v>
      </c>
      <c r="S109" s="120">
        <v>6.8</v>
      </c>
      <c r="T109" s="120">
        <v>6.9</v>
      </c>
      <c r="U109" s="120">
        <v>7.4</v>
      </c>
      <c r="V109" s="120">
        <v>4.5</v>
      </c>
      <c r="W109" s="120">
        <v>8.5</v>
      </c>
      <c r="X109" s="120">
        <v>12.5</v>
      </c>
      <c r="Y109" s="120">
        <v>13</v>
      </c>
      <c r="Z109" s="120">
        <v>21.7</v>
      </c>
      <c r="AA109" s="120">
        <v>11</v>
      </c>
      <c r="AB109" s="120">
        <v>11.1</v>
      </c>
      <c r="AC109" s="120">
        <v>4.5</v>
      </c>
      <c r="AD109" s="120">
        <v>7.1</v>
      </c>
      <c r="AE109" s="120">
        <v>-11.3</v>
      </c>
      <c r="AF109" s="120">
        <v>-23.7</v>
      </c>
      <c r="AG109" s="121">
        <v>75</v>
      </c>
      <c r="AH109" s="52">
        <f t="shared" si="12"/>
        <v>26.8</v>
      </c>
      <c r="AI109" s="53">
        <f t="shared" si="13"/>
        <v>-24.6</v>
      </c>
    </row>
    <row r="110" spans="1:88" x14ac:dyDescent="0.25">
      <c r="A110" s="110" t="s">
        <v>114</v>
      </c>
      <c r="B110" s="122">
        <v>-29.3</v>
      </c>
      <c r="C110" s="122">
        <v>-19.399999999999999</v>
      </c>
      <c r="D110" s="122">
        <v>-17.100000000000001</v>
      </c>
      <c r="E110" s="122">
        <v>-22.9</v>
      </c>
      <c r="F110" s="122">
        <v>-22.2</v>
      </c>
      <c r="G110" s="122">
        <v>-9.5</v>
      </c>
      <c r="H110" s="122">
        <v>-19.2</v>
      </c>
      <c r="I110" s="122">
        <v>-2.7</v>
      </c>
      <c r="J110" s="122">
        <v>-0.6</v>
      </c>
      <c r="K110" s="122">
        <v>10.6</v>
      </c>
      <c r="L110" s="122">
        <v>30.6</v>
      </c>
      <c r="M110" s="122">
        <v>22.6</v>
      </c>
      <c r="N110" s="122">
        <v>26</v>
      </c>
      <c r="O110" s="122">
        <v>20.5</v>
      </c>
      <c r="P110" s="122">
        <v>16.600000000000001</v>
      </c>
      <c r="Q110" s="122">
        <v>11.6</v>
      </c>
      <c r="R110" s="122">
        <v>11.2</v>
      </c>
      <c r="S110" s="122">
        <v>10.1</v>
      </c>
      <c r="T110" s="122">
        <v>9.1</v>
      </c>
      <c r="U110" s="122">
        <v>10.9</v>
      </c>
      <c r="V110" s="122">
        <v>3.4</v>
      </c>
      <c r="W110" s="122">
        <v>7.9</v>
      </c>
      <c r="X110" s="122">
        <v>13.7</v>
      </c>
      <c r="Y110" s="122">
        <v>13</v>
      </c>
      <c r="Z110" s="122">
        <v>21.6</v>
      </c>
      <c r="AA110" s="122">
        <v>8.5</v>
      </c>
      <c r="AB110" s="122">
        <v>7.3</v>
      </c>
      <c r="AC110" s="122">
        <v>1.1000000000000001</v>
      </c>
      <c r="AD110" s="122">
        <v>6.2</v>
      </c>
      <c r="AE110" s="122">
        <v>-20</v>
      </c>
      <c r="AF110" s="122">
        <v>-31.3</v>
      </c>
      <c r="AG110" s="121">
        <v>240</v>
      </c>
      <c r="AH110" s="52">
        <f t="shared" si="12"/>
        <v>30.6</v>
      </c>
      <c r="AI110" s="53">
        <f t="shared" si="13"/>
        <v>-31.3</v>
      </c>
    </row>
    <row r="111" spans="1:88" x14ac:dyDescent="0.25">
      <c r="A111" s="110" t="s">
        <v>115</v>
      </c>
      <c r="B111" s="122">
        <v>-20</v>
      </c>
      <c r="C111" s="122">
        <v>-32</v>
      </c>
      <c r="D111" s="122">
        <v>-43</v>
      </c>
      <c r="E111" s="122">
        <v>-47.1</v>
      </c>
      <c r="F111" s="122">
        <v>-40.6</v>
      </c>
      <c r="G111" s="122">
        <v>-48.7</v>
      </c>
      <c r="H111" s="122">
        <v>-37.6</v>
      </c>
      <c r="I111" s="122">
        <v>-19</v>
      </c>
      <c r="J111" s="122">
        <v>-11.2</v>
      </c>
      <c r="K111" s="122">
        <v>-3.4</v>
      </c>
      <c r="L111" s="122">
        <v>-5.2</v>
      </c>
      <c r="M111" s="122">
        <v>23</v>
      </c>
      <c r="N111" s="122">
        <v>14</v>
      </c>
      <c r="O111" s="122">
        <v>5.6</v>
      </c>
      <c r="P111" s="122">
        <v>1.2</v>
      </c>
      <c r="Q111" s="122">
        <v>-11.1</v>
      </c>
      <c r="R111" s="122">
        <v>-28.4</v>
      </c>
      <c r="S111" s="122">
        <v>-7.8</v>
      </c>
      <c r="T111" s="122">
        <v>-11</v>
      </c>
      <c r="U111" s="122">
        <v>-8</v>
      </c>
      <c r="V111" s="122">
        <v>-3</v>
      </c>
      <c r="W111" s="122">
        <v>3</v>
      </c>
      <c r="X111" s="122">
        <v>8</v>
      </c>
      <c r="Y111" s="122">
        <v>26</v>
      </c>
      <c r="Z111" s="122">
        <v>38</v>
      </c>
      <c r="AA111" s="122">
        <v>35</v>
      </c>
      <c r="AB111" s="122">
        <f>-10.8+11.1</f>
        <v>0.29999999999999893</v>
      </c>
      <c r="AC111" s="122">
        <v>11</v>
      </c>
      <c r="AD111" s="122">
        <v>-28</v>
      </c>
      <c r="AE111" s="122">
        <v>-42</v>
      </c>
      <c r="AF111" s="122">
        <v>-59.7</v>
      </c>
      <c r="AG111" s="121">
        <v>240</v>
      </c>
      <c r="AH111" s="52">
        <f t="shared" si="12"/>
        <v>38</v>
      </c>
      <c r="AI111" s="53">
        <f t="shared" si="13"/>
        <v>-59.7</v>
      </c>
    </row>
    <row r="112" spans="1:88" x14ac:dyDescent="0.25">
      <c r="A112" s="110" t="s">
        <v>116</v>
      </c>
      <c r="B112" s="122">
        <v>10</v>
      </c>
      <c r="C112" s="122">
        <v>4.5999999999999996</v>
      </c>
      <c r="D112" s="122">
        <v>4</v>
      </c>
      <c r="E112" s="122">
        <v>5.8</v>
      </c>
      <c r="F112" s="122">
        <v>4.2</v>
      </c>
      <c r="G112" s="122">
        <v>12</v>
      </c>
      <c r="H112" s="122">
        <v>10.8</v>
      </c>
      <c r="I112" s="122">
        <v>12</v>
      </c>
      <c r="J112" s="122">
        <v>25.4</v>
      </c>
      <c r="K112" s="122">
        <v>20.3</v>
      </c>
      <c r="L112" s="122">
        <v>13</v>
      </c>
      <c r="M112" s="122">
        <v>16.7</v>
      </c>
      <c r="N112" s="122">
        <v>22.1</v>
      </c>
      <c r="O112" s="122">
        <v>25.1</v>
      </c>
      <c r="P112" s="122">
        <v>11.5</v>
      </c>
      <c r="Q112" s="122">
        <v>13.6</v>
      </c>
      <c r="R112" s="122">
        <v>15</v>
      </c>
      <c r="S112" s="122">
        <v>1</v>
      </c>
      <c r="T112" s="122">
        <v>0.7</v>
      </c>
      <c r="U112" s="122">
        <v>1.7</v>
      </c>
      <c r="V112" s="122">
        <v>18</v>
      </c>
      <c r="W112" s="122">
        <v>14</v>
      </c>
      <c r="X112" s="122">
        <v>21</v>
      </c>
      <c r="Y112" s="122">
        <v>36</v>
      </c>
      <c r="Z112" s="122">
        <v>48</v>
      </c>
      <c r="AA112" s="122">
        <v>56</v>
      </c>
      <c r="AB112" s="122">
        <v>52.5</v>
      </c>
      <c r="AC112" s="122">
        <v>47.4</v>
      </c>
      <c r="AD112" s="122">
        <v>31.9</v>
      </c>
      <c r="AE112" s="122">
        <v>32</v>
      </c>
      <c r="AF112" s="122">
        <v>32.700000000000003</v>
      </c>
      <c r="AG112" s="121">
        <v>60</v>
      </c>
      <c r="AH112" s="52">
        <f t="shared" si="12"/>
        <v>56</v>
      </c>
      <c r="AI112" s="53">
        <f t="shared" si="13"/>
        <v>0.7</v>
      </c>
    </row>
    <row r="113" spans="1:37" x14ac:dyDescent="0.25">
      <c r="A113" s="123" t="s">
        <v>117</v>
      </c>
      <c r="B113" s="124">
        <v>93.7</v>
      </c>
      <c r="C113" s="124">
        <v>83</v>
      </c>
      <c r="D113" s="124">
        <v>86.2</v>
      </c>
      <c r="E113" s="124">
        <v>85.8</v>
      </c>
      <c r="F113" s="124">
        <v>94.2</v>
      </c>
      <c r="G113" s="124">
        <v>81.2</v>
      </c>
      <c r="H113" s="124">
        <v>100.4</v>
      </c>
      <c r="I113" s="124">
        <v>104.4</v>
      </c>
      <c r="J113" s="124">
        <v>106.1</v>
      </c>
      <c r="K113" s="124">
        <v>108.3</v>
      </c>
      <c r="L113" s="124">
        <v>97.5</v>
      </c>
      <c r="M113" s="124">
        <v>106</v>
      </c>
      <c r="N113" s="124">
        <v>99.2</v>
      </c>
      <c r="O113" s="124">
        <v>96.2</v>
      </c>
      <c r="P113" s="124">
        <v>88.9</v>
      </c>
      <c r="Q113" s="124">
        <v>85.3</v>
      </c>
      <c r="R113" s="124">
        <v>73</v>
      </c>
      <c r="S113" s="124">
        <v>91.2</v>
      </c>
      <c r="T113" s="124">
        <v>96.1</v>
      </c>
      <c r="U113" s="124">
        <v>94</v>
      </c>
      <c r="V113" s="124">
        <v>96.7</v>
      </c>
      <c r="W113" s="124">
        <v>90</v>
      </c>
      <c r="X113" s="124">
        <v>91</v>
      </c>
      <c r="Y113" s="124">
        <v>104</v>
      </c>
      <c r="Z113" s="124">
        <v>116</v>
      </c>
      <c r="AA113" s="124">
        <v>117</v>
      </c>
      <c r="AB113" s="124">
        <v>95.3</v>
      </c>
      <c r="AC113" s="124">
        <v>113</v>
      </c>
      <c r="AD113" s="124">
        <v>105.8</v>
      </c>
      <c r="AE113" s="124">
        <v>95</v>
      </c>
      <c r="AF113" s="124">
        <v>77.400000000000006</v>
      </c>
      <c r="AG113" s="125">
        <v>120</v>
      </c>
      <c r="AH113" s="52">
        <f t="shared" si="12"/>
        <v>117</v>
      </c>
      <c r="AI113" s="53">
        <f t="shared" si="13"/>
        <v>73</v>
      </c>
    </row>
    <row r="114" spans="1:37" x14ac:dyDescent="0.25">
      <c r="A114" s="123" t="s">
        <v>118</v>
      </c>
      <c r="B114" s="124">
        <v>91.2</v>
      </c>
      <c r="C114" s="124">
        <v>93.5</v>
      </c>
      <c r="D114" s="124">
        <v>100.2</v>
      </c>
      <c r="E114" s="124">
        <v>94.2</v>
      </c>
      <c r="F114" s="124">
        <v>101.6</v>
      </c>
      <c r="G114" s="124">
        <v>86</v>
      </c>
      <c r="H114" s="124">
        <v>91</v>
      </c>
      <c r="I114" s="124">
        <v>96.6</v>
      </c>
      <c r="J114" s="124">
        <v>98</v>
      </c>
      <c r="K114" s="124">
        <v>92</v>
      </c>
      <c r="L114" s="124">
        <v>82.3</v>
      </c>
      <c r="M114" s="124">
        <v>86.7</v>
      </c>
      <c r="N114" s="124">
        <v>86.7</v>
      </c>
      <c r="O114" s="124">
        <v>85.8</v>
      </c>
      <c r="P114" s="124">
        <v>85.7</v>
      </c>
      <c r="Q114" s="124">
        <v>82.5</v>
      </c>
      <c r="R114" s="124">
        <v>74.400000000000006</v>
      </c>
      <c r="S114" s="124">
        <v>94.1</v>
      </c>
      <c r="T114" s="124">
        <v>99</v>
      </c>
      <c r="U114" s="124">
        <v>92</v>
      </c>
      <c r="V114" s="124">
        <v>97</v>
      </c>
      <c r="W114" s="124">
        <v>86</v>
      </c>
      <c r="X114" s="124">
        <v>84</v>
      </c>
      <c r="Y114" s="124">
        <v>86</v>
      </c>
      <c r="Z114" s="124">
        <v>87</v>
      </c>
      <c r="AA114" s="124">
        <v>84</v>
      </c>
      <c r="AB114" s="124">
        <v>89.1</v>
      </c>
      <c r="AC114" s="124">
        <v>100.85</v>
      </c>
      <c r="AD114" s="124">
        <v>99</v>
      </c>
      <c r="AE114" s="124">
        <v>92</v>
      </c>
      <c r="AF114" s="124">
        <v>76.599999999999994</v>
      </c>
      <c r="AG114" s="125"/>
      <c r="AH114" s="52">
        <f t="shared" si="12"/>
        <v>101.6</v>
      </c>
      <c r="AI114" s="53">
        <f t="shared" si="13"/>
        <v>74.400000000000006</v>
      </c>
    </row>
    <row r="115" spans="1:37" x14ac:dyDescent="0.25">
      <c r="A115" s="123" t="s">
        <v>119</v>
      </c>
      <c r="B115" s="124">
        <v>49</v>
      </c>
      <c r="C115" s="124">
        <v>39.1</v>
      </c>
      <c r="D115" s="124"/>
      <c r="E115" s="124">
        <v>43.8</v>
      </c>
      <c r="F115" s="124">
        <v>41.4</v>
      </c>
      <c r="G115" s="124"/>
      <c r="H115" s="124"/>
      <c r="I115" s="124">
        <v>30.3</v>
      </c>
      <c r="J115" s="124">
        <v>23</v>
      </c>
      <c r="K115" s="124"/>
      <c r="L115" s="124">
        <v>1.7</v>
      </c>
      <c r="M115" s="124">
        <v>5.4</v>
      </c>
      <c r="N115" s="124">
        <v>5.3</v>
      </c>
      <c r="O115" s="124"/>
      <c r="P115" s="124"/>
      <c r="Q115" s="124">
        <v>25</v>
      </c>
      <c r="R115" s="124"/>
      <c r="S115" s="124">
        <v>12</v>
      </c>
      <c r="T115" s="124">
        <v>22.5</v>
      </c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2"/>
        <v>49</v>
      </c>
      <c r="AI115" s="53">
        <f t="shared" si="13"/>
        <v>1.7</v>
      </c>
    </row>
    <row r="116" spans="1:37" x14ac:dyDescent="0.25">
      <c r="A116" s="127" t="s">
        <v>120</v>
      </c>
      <c r="B116" s="113">
        <v>46</v>
      </c>
      <c r="C116" s="113">
        <v>58.9</v>
      </c>
      <c r="D116" s="113">
        <v>64.2</v>
      </c>
      <c r="E116" s="113"/>
      <c r="F116" s="113">
        <v>45.1</v>
      </c>
      <c r="G116" s="113">
        <v>59.8</v>
      </c>
      <c r="H116" s="113">
        <v>45.4</v>
      </c>
      <c r="I116" s="113">
        <v>36.9</v>
      </c>
      <c r="J116" s="113">
        <v>33.9</v>
      </c>
      <c r="K116" s="113">
        <v>28</v>
      </c>
      <c r="L116" s="113">
        <v>3.8</v>
      </c>
      <c r="M116" s="113">
        <v>0</v>
      </c>
      <c r="N116" s="113">
        <v>9</v>
      </c>
      <c r="O116" s="113">
        <v>12</v>
      </c>
      <c r="P116" s="113">
        <v>12</v>
      </c>
      <c r="Q116" s="113">
        <v>12</v>
      </c>
      <c r="R116" s="113">
        <v>14.3</v>
      </c>
      <c r="S116" s="113">
        <v>13.3</v>
      </c>
      <c r="T116" s="113">
        <v>11.6</v>
      </c>
      <c r="U116" s="113">
        <v>11.6</v>
      </c>
      <c r="V116" s="113">
        <v>4.0999999999999996</v>
      </c>
      <c r="W116" s="113">
        <v>-4.9000000000000004</v>
      </c>
      <c r="X116" s="113">
        <v>-33.200000000000003</v>
      </c>
      <c r="Y116" s="113">
        <v>-45</v>
      </c>
      <c r="Z116" s="113">
        <v>-39</v>
      </c>
      <c r="AA116" s="113">
        <v>-18</v>
      </c>
      <c r="AB116" s="113">
        <v>-6.3</v>
      </c>
      <c r="AC116" s="113">
        <v>3</v>
      </c>
      <c r="AD116" s="113">
        <v>5.5</v>
      </c>
      <c r="AE116" s="113">
        <v>9.5</v>
      </c>
      <c r="AF116" s="113">
        <v>14.2</v>
      </c>
      <c r="AG116" s="126"/>
      <c r="AH116" s="52">
        <f t="shared" si="12"/>
        <v>64.2</v>
      </c>
      <c r="AI116" s="53">
        <f t="shared" si="13"/>
        <v>-45</v>
      </c>
    </row>
    <row r="117" spans="1:37" ht="15.75" thickBot="1" x14ac:dyDescent="0.3">
      <c r="A117" s="127" t="s">
        <v>121</v>
      </c>
      <c r="B117" s="113">
        <v>50.8</v>
      </c>
      <c r="C117" s="113">
        <v>43.1</v>
      </c>
      <c r="D117" s="113">
        <v>39</v>
      </c>
      <c r="E117" s="113">
        <v>42</v>
      </c>
      <c r="F117" s="113">
        <v>42.9</v>
      </c>
      <c r="G117" s="113">
        <v>43.8</v>
      </c>
      <c r="H117" s="113">
        <v>53.2</v>
      </c>
      <c r="I117" s="113">
        <v>48.8</v>
      </c>
      <c r="J117" s="113">
        <v>52</v>
      </c>
      <c r="K117" s="113">
        <v>48</v>
      </c>
      <c r="L117" s="113">
        <v>49.8</v>
      </c>
      <c r="M117" s="113">
        <v>52.2</v>
      </c>
      <c r="N117" s="113">
        <v>66</v>
      </c>
      <c r="O117" s="113">
        <v>60.1</v>
      </c>
      <c r="P117" s="113">
        <v>62.5</v>
      </c>
      <c r="Q117" s="113">
        <v>56.2</v>
      </c>
      <c r="R117" s="113">
        <v>63.8</v>
      </c>
      <c r="S117" s="113">
        <v>56.3</v>
      </c>
      <c r="T117" s="113">
        <v>56</v>
      </c>
      <c r="U117" s="113">
        <v>63</v>
      </c>
      <c r="V117" s="113">
        <v>63</v>
      </c>
      <c r="W117" s="113">
        <v>66</v>
      </c>
      <c r="X117" s="113">
        <v>73</v>
      </c>
      <c r="Y117" s="113">
        <v>87</v>
      </c>
      <c r="Z117" s="113">
        <v>90</v>
      </c>
      <c r="AA117" s="113">
        <v>91</v>
      </c>
      <c r="AB117" s="113">
        <v>86.2</v>
      </c>
      <c r="AC117" s="113">
        <v>85.6</v>
      </c>
      <c r="AD117" s="113">
        <v>78.099999999999994</v>
      </c>
      <c r="AE117" s="113">
        <v>72.5</v>
      </c>
      <c r="AF117" s="113">
        <v>62.2</v>
      </c>
      <c r="AG117" s="126"/>
      <c r="AH117" s="52">
        <f t="shared" si="12"/>
        <v>91</v>
      </c>
      <c r="AI117" s="53">
        <f t="shared" si="13"/>
        <v>39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2">SUM(B119:B223)</f>
        <v>0</v>
      </c>
      <c r="C224" s="144">
        <f t="shared" si="22"/>
        <v>0</v>
      </c>
      <c r="D224" s="144">
        <f t="shared" si="22"/>
        <v>0</v>
      </c>
      <c r="E224" s="144">
        <f t="shared" si="22"/>
        <v>0</v>
      </c>
      <c r="F224" s="144">
        <f t="shared" si="22"/>
        <v>0</v>
      </c>
      <c r="G224" s="144">
        <f t="shared" si="22"/>
        <v>0</v>
      </c>
      <c r="H224" s="144">
        <f t="shared" si="22"/>
        <v>0</v>
      </c>
      <c r="I224" s="144">
        <f t="shared" si="22"/>
        <v>0</v>
      </c>
      <c r="J224" s="144">
        <f t="shared" si="22"/>
        <v>0</v>
      </c>
      <c r="K224" s="144">
        <f t="shared" si="22"/>
        <v>0</v>
      </c>
      <c r="L224" s="144">
        <f t="shared" si="22"/>
        <v>0</v>
      </c>
      <c r="M224" s="144">
        <f t="shared" si="22"/>
        <v>0</v>
      </c>
      <c r="N224" s="144">
        <f t="shared" si="22"/>
        <v>0</v>
      </c>
      <c r="O224" s="144">
        <f t="shared" si="22"/>
        <v>0</v>
      </c>
      <c r="P224" s="144">
        <f t="shared" si="22"/>
        <v>0</v>
      </c>
      <c r="Q224" s="144">
        <f t="shared" si="22"/>
        <v>0</v>
      </c>
      <c r="R224" s="144">
        <f t="shared" si="22"/>
        <v>0</v>
      </c>
      <c r="S224" s="144">
        <f t="shared" si="22"/>
        <v>0</v>
      </c>
      <c r="T224" s="144">
        <f t="shared" si="22"/>
        <v>0</v>
      </c>
      <c r="U224" s="144">
        <f t="shared" si="22"/>
        <v>0</v>
      </c>
      <c r="V224" s="144">
        <f t="shared" si="22"/>
        <v>0</v>
      </c>
      <c r="W224" s="144">
        <f t="shared" si="22"/>
        <v>0</v>
      </c>
      <c r="X224" s="144">
        <f t="shared" si="22"/>
        <v>0</v>
      </c>
      <c r="Y224" s="144">
        <f t="shared" si="22"/>
        <v>0</v>
      </c>
      <c r="Z224" s="144">
        <f t="shared" si="22"/>
        <v>0</v>
      </c>
      <c r="AA224" s="144">
        <f t="shared" si="22"/>
        <v>0</v>
      </c>
      <c r="AB224" s="144">
        <f t="shared" si="22"/>
        <v>0</v>
      </c>
      <c r="AC224" s="144">
        <f t="shared" si="22"/>
        <v>0</v>
      </c>
      <c r="AD224" s="144">
        <f t="shared" si="22"/>
        <v>0</v>
      </c>
      <c r="AE224" s="144">
        <f t="shared" si="22"/>
        <v>0</v>
      </c>
      <c r="AF224" s="145">
        <f t="shared" si="22"/>
        <v>0</v>
      </c>
      <c r="AG224" s="146">
        <f t="shared" si="22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3">AF226</f>
        <v>0</v>
      </c>
      <c r="C226" s="149">
        <v>0.3</v>
      </c>
      <c r="D226" s="149">
        <f t="shared" ref="D226:P231" si="24">C226</f>
        <v>0.3</v>
      </c>
      <c r="E226" s="149">
        <f t="shared" si="24"/>
        <v>0.3</v>
      </c>
      <c r="F226" s="149">
        <f t="shared" si="24"/>
        <v>0.3</v>
      </c>
      <c r="G226" s="149">
        <f t="shared" si="24"/>
        <v>0.3</v>
      </c>
      <c r="H226" s="149">
        <f t="shared" si="24"/>
        <v>0.3</v>
      </c>
      <c r="I226" s="149">
        <f t="shared" si="24"/>
        <v>0.3</v>
      </c>
      <c r="J226" s="149">
        <f t="shared" si="24"/>
        <v>0.3</v>
      </c>
      <c r="K226" s="149">
        <f t="shared" si="24"/>
        <v>0.3</v>
      </c>
      <c r="L226" s="149">
        <f t="shared" si="24"/>
        <v>0.3</v>
      </c>
      <c r="M226" s="149">
        <f t="shared" si="24"/>
        <v>0.3</v>
      </c>
      <c r="N226" s="149">
        <f t="shared" si="24"/>
        <v>0.3</v>
      </c>
      <c r="O226" s="149">
        <f t="shared" si="24"/>
        <v>0.3</v>
      </c>
      <c r="P226" s="149">
        <f t="shared" si="24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3"/>
        <v>0</v>
      </c>
      <c r="C227" s="136">
        <v>0.4</v>
      </c>
      <c r="D227" s="136">
        <f t="shared" si="24"/>
        <v>0.4</v>
      </c>
      <c r="E227" s="136">
        <f t="shared" si="24"/>
        <v>0.4</v>
      </c>
      <c r="F227" s="136">
        <f t="shared" si="24"/>
        <v>0.4</v>
      </c>
      <c r="G227" s="136">
        <f t="shared" si="24"/>
        <v>0.4</v>
      </c>
      <c r="H227" s="136">
        <f t="shared" si="24"/>
        <v>0.4</v>
      </c>
      <c r="I227" s="136">
        <f t="shared" si="24"/>
        <v>0.4</v>
      </c>
      <c r="J227" s="136">
        <f t="shared" si="24"/>
        <v>0.4</v>
      </c>
      <c r="K227" s="136">
        <f t="shared" si="24"/>
        <v>0.4</v>
      </c>
      <c r="L227" s="136">
        <f t="shared" si="24"/>
        <v>0.4</v>
      </c>
      <c r="M227" s="136">
        <f t="shared" si="24"/>
        <v>0.4</v>
      </c>
      <c r="N227" s="136">
        <f t="shared" si="24"/>
        <v>0.4</v>
      </c>
      <c r="O227" s="136">
        <f t="shared" si="24"/>
        <v>0.4</v>
      </c>
      <c r="P227" s="136">
        <f t="shared" si="24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3"/>
        <v>0</v>
      </c>
      <c r="C228" s="136">
        <v>1.5</v>
      </c>
      <c r="D228" s="136">
        <f t="shared" si="24"/>
        <v>1.5</v>
      </c>
      <c r="E228" s="136">
        <f t="shared" si="24"/>
        <v>1.5</v>
      </c>
      <c r="F228" s="136">
        <f t="shared" si="24"/>
        <v>1.5</v>
      </c>
      <c r="G228" s="136">
        <f t="shared" si="24"/>
        <v>1.5</v>
      </c>
      <c r="H228" s="136">
        <f t="shared" si="24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4"/>
        <v>1.5</v>
      </c>
      <c r="K228" s="136">
        <f t="shared" ca="1" si="24"/>
        <v>1.5</v>
      </c>
      <c r="L228" s="136">
        <f t="shared" ca="1" si="24"/>
        <v>1.5</v>
      </c>
      <c r="M228" s="136">
        <f t="shared" ca="1" si="24"/>
        <v>1.5</v>
      </c>
      <c r="N228" s="136">
        <f t="shared" ca="1" si="24"/>
        <v>1.5</v>
      </c>
      <c r="O228" s="136">
        <f t="shared" ca="1" si="24"/>
        <v>1.5</v>
      </c>
      <c r="P228" s="136">
        <f t="shared" ca="1" si="24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3"/>
        <v>0</v>
      </c>
      <c r="C229" s="136">
        <v>0.3</v>
      </c>
      <c r="D229" s="136">
        <f t="shared" si="24"/>
        <v>0.3</v>
      </c>
      <c r="E229" s="136">
        <f t="shared" si="24"/>
        <v>0.3</v>
      </c>
      <c r="F229" s="136">
        <f t="shared" si="24"/>
        <v>0.3</v>
      </c>
      <c r="G229" s="136">
        <f t="shared" si="24"/>
        <v>0.3</v>
      </c>
      <c r="H229" s="136">
        <f t="shared" si="24"/>
        <v>0.3</v>
      </c>
      <c r="I229" s="136">
        <f t="shared" si="24"/>
        <v>0.3</v>
      </c>
      <c r="J229" s="136">
        <f t="shared" si="24"/>
        <v>0.3</v>
      </c>
      <c r="K229" s="136">
        <f t="shared" si="24"/>
        <v>0.3</v>
      </c>
      <c r="L229" s="136">
        <f t="shared" si="24"/>
        <v>0.3</v>
      </c>
      <c r="M229" s="136">
        <f t="shared" si="24"/>
        <v>0.3</v>
      </c>
      <c r="N229" s="136">
        <f t="shared" si="24"/>
        <v>0.3</v>
      </c>
      <c r="O229" s="136">
        <f t="shared" si="24"/>
        <v>0.3</v>
      </c>
      <c r="P229" s="136">
        <f t="shared" si="24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3"/>
        <v>0</v>
      </c>
      <c r="C230" s="136">
        <v>0.4</v>
      </c>
      <c r="D230" s="136">
        <f t="shared" si="24"/>
        <v>0.4</v>
      </c>
      <c r="E230" s="136">
        <f t="shared" si="24"/>
        <v>0.4</v>
      </c>
      <c r="F230" s="136">
        <f t="shared" si="24"/>
        <v>0.4</v>
      </c>
      <c r="G230" s="136">
        <f t="shared" si="24"/>
        <v>0.4</v>
      </c>
      <c r="H230" s="136">
        <f t="shared" si="24"/>
        <v>0.4</v>
      </c>
      <c r="I230" s="136">
        <f t="shared" si="24"/>
        <v>0.4</v>
      </c>
      <c r="J230" s="136">
        <f t="shared" si="24"/>
        <v>0.4</v>
      </c>
      <c r="K230" s="136">
        <f t="shared" si="24"/>
        <v>0.4</v>
      </c>
      <c r="L230" s="136">
        <f t="shared" si="24"/>
        <v>0.4</v>
      </c>
      <c r="M230" s="136">
        <f t="shared" si="24"/>
        <v>0.4</v>
      </c>
      <c r="N230" s="136">
        <f t="shared" si="24"/>
        <v>0.4</v>
      </c>
      <c r="O230" s="136">
        <f t="shared" si="24"/>
        <v>0.4</v>
      </c>
      <c r="P230" s="136">
        <f t="shared" si="24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3"/>
        <v>0</v>
      </c>
      <c r="C231" s="140">
        <v>0.64</v>
      </c>
      <c r="D231" s="140">
        <f t="shared" si="24"/>
        <v>0.64</v>
      </c>
      <c r="E231" s="140">
        <f t="shared" si="24"/>
        <v>0.64</v>
      </c>
      <c r="F231" s="140">
        <f t="shared" si="24"/>
        <v>0.64</v>
      </c>
      <c r="G231" s="140">
        <f t="shared" si="24"/>
        <v>0.64</v>
      </c>
      <c r="H231" s="140">
        <f t="shared" si="24"/>
        <v>0.64</v>
      </c>
      <c r="I231" s="140">
        <f t="shared" si="24"/>
        <v>0.64</v>
      </c>
      <c r="J231" s="140">
        <f t="shared" si="24"/>
        <v>0.64</v>
      </c>
      <c r="K231" s="140">
        <f t="shared" si="24"/>
        <v>0.64</v>
      </c>
      <c r="L231" s="140">
        <f t="shared" si="24"/>
        <v>0.64</v>
      </c>
      <c r="M231" s="140">
        <f t="shared" si="24"/>
        <v>0.64</v>
      </c>
      <c r="N231" s="140">
        <f t="shared" si="24"/>
        <v>0.64</v>
      </c>
      <c r="O231" s="140">
        <f t="shared" si="24"/>
        <v>0.64</v>
      </c>
      <c r="P231" s="140">
        <f t="shared" si="24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5">SUM(B226:B231)</f>
        <v>0</v>
      </c>
      <c r="C232" s="144">
        <f t="shared" si="25"/>
        <v>3.54</v>
      </c>
      <c r="D232" s="144">
        <f t="shared" si="25"/>
        <v>3.54</v>
      </c>
      <c r="E232" s="144">
        <f t="shared" si="25"/>
        <v>3.54</v>
      </c>
      <c r="F232" s="144">
        <f t="shared" si="25"/>
        <v>3.54</v>
      </c>
      <c r="G232" s="144">
        <f t="shared" si="25"/>
        <v>3.54</v>
      </c>
      <c r="H232" s="144">
        <f t="shared" si="25"/>
        <v>3.54</v>
      </c>
      <c r="I232" s="144">
        <f t="shared" ca="1" si="25"/>
        <v>3.54</v>
      </c>
      <c r="J232" s="144">
        <f t="shared" ca="1" si="25"/>
        <v>3.54</v>
      </c>
      <c r="K232" s="144">
        <f t="shared" ca="1" si="25"/>
        <v>3.54</v>
      </c>
      <c r="L232" s="144">
        <f t="shared" ca="1" si="25"/>
        <v>3.54</v>
      </c>
      <c r="M232" s="144">
        <f t="shared" ca="1" si="25"/>
        <v>3.54</v>
      </c>
      <c r="N232" s="144">
        <f t="shared" ca="1" si="25"/>
        <v>3.54</v>
      </c>
      <c r="O232" s="144">
        <f t="shared" ca="1" si="25"/>
        <v>3.54</v>
      </c>
      <c r="P232" s="144">
        <f t="shared" ca="1" si="25"/>
        <v>3.54</v>
      </c>
      <c r="Q232" s="144">
        <f t="shared" si="25"/>
        <v>0</v>
      </c>
      <c r="R232" s="144">
        <f t="shared" si="25"/>
        <v>0</v>
      </c>
      <c r="S232" s="144">
        <f t="shared" si="25"/>
        <v>0</v>
      </c>
      <c r="T232" s="144">
        <f t="shared" si="25"/>
        <v>0</v>
      </c>
      <c r="U232" s="144">
        <f t="shared" si="25"/>
        <v>0</v>
      </c>
      <c r="V232" s="144">
        <f t="shared" si="25"/>
        <v>0</v>
      </c>
      <c r="W232" s="144">
        <f t="shared" si="25"/>
        <v>0</v>
      </c>
      <c r="X232" s="144">
        <f t="shared" si="25"/>
        <v>0</v>
      </c>
      <c r="Y232" s="144">
        <f t="shared" si="25"/>
        <v>0</v>
      </c>
      <c r="Z232" s="144">
        <f t="shared" si="25"/>
        <v>0</v>
      </c>
      <c r="AA232" s="144">
        <f t="shared" si="25"/>
        <v>0</v>
      </c>
      <c r="AB232" s="144">
        <f t="shared" si="25"/>
        <v>0</v>
      </c>
      <c r="AC232" s="144">
        <f t="shared" si="25"/>
        <v>0</v>
      </c>
      <c r="AD232" s="144">
        <f t="shared" si="25"/>
        <v>0</v>
      </c>
      <c r="AE232" s="144">
        <f t="shared" si="25"/>
        <v>0</v>
      </c>
      <c r="AF232" s="144">
        <f t="shared" si="25"/>
        <v>0</v>
      </c>
      <c r="AG232" s="154">
        <f t="shared" si="25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1271.44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11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2079/12/11)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2079/12/11)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6">B89</f>
        <v>1036.04</v>
      </c>
      <c r="U246" s="180">
        <f t="shared" si="26"/>
        <v>924.04000000000008</v>
      </c>
      <c r="V246" s="180">
        <f t="shared" si="26"/>
        <v>986.94</v>
      </c>
      <c r="W246" s="180">
        <f t="shared" si="26"/>
        <v>997.04000000000008</v>
      </c>
      <c r="X246" s="180">
        <f t="shared" si="26"/>
        <v>994.6400000000001</v>
      </c>
      <c r="Y246" s="180">
        <f t="shared" si="26"/>
        <v>987.6400000000001</v>
      </c>
      <c r="Z246" s="180">
        <f t="shared" si="26"/>
        <v>1107.8400000000001</v>
      </c>
      <c r="AA246" s="180">
        <f t="shared" si="26"/>
        <v>1132.3400000000001</v>
      </c>
      <c r="AB246" s="180">
        <f t="shared" si="26"/>
        <v>1190.3400000000001</v>
      </c>
      <c r="AC246" s="180">
        <f t="shared" si="26"/>
        <v>1258.8399999999999</v>
      </c>
      <c r="AD246" s="180">
        <f t="shared" si="26"/>
        <v>1271.44</v>
      </c>
      <c r="AE246" s="180">
        <f t="shared" si="26"/>
        <v>1268.74</v>
      </c>
      <c r="AF246" s="180">
        <f t="shared" si="26"/>
        <v>1164.1400000000001</v>
      </c>
      <c r="AG246" s="180">
        <f t="shared" si="26"/>
        <v>1134.74</v>
      </c>
      <c r="AH246" s="180">
        <f t="shared" si="26"/>
        <v>1094.6400000000001</v>
      </c>
      <c r="AI246" s="180">
        <f t="shared" si="26"/>
        <v>1030.54</v>
      </c>
      <c r="AJ246" s="180">
        <f t="shared" si="26"/>
        <v>1034.04</v>
      </c>
      <c r="AK246" s="180">
        <f t="shared" si="26"/>
        <v>1019.94</v>
      </c>
      <c r="AL246" s="180">
        <f t="shared" si="26"/>
        <v>1036.04</v>
      </c>
      <c r="AM246" s="180">
        <f t="shared" si="26"/>
        <v>1079.3400000000001</v>
      </c>
      <c r="AN246" s="180">
        <f t="shared" si="26"/>
        <v>1077.04</v>
      </c>
      <c r="AO246" s="180">
        <f t="shared" si="26"/>
        <v>1088.04</v>
      </c>
      <c r="AP246" s="180">
        <f t="shared" si="26"/>
        <v>1174.74</v>
      </c>
      <c r="AQ246" s="180">
        <f t="shared" si="26"/>
        <v>1289.1400000000001</v>
      </c>
      <c r="AR246" s="180">
        <f t="shared" si="26"/>
        <v>1455.0400000000002</v>
      </c>
      <c r="AS246" s="180">
        <f t="shared" si="26"/>
        <v>1441.94</v>
      </c>
      <c r="AT246" s="180">
        <f t="shared" si="26"/>
        <v>1442.94</v>
      </c>
      <c r="AU246" s="180">
        <f t="shared" si="26"/>
        <v>1369.94</v>
      </c>
      <c r="AV246" s="180">
        <f t="shared" si="26"/>
        <v>1274.44</v>
      </c>
      <c r="AW246" s="180">
        <f t="shared" si="26"/>
        <v>1118.3400000000001</v>
      </c>
      <c r="AX246" s="180">
        <f t="shared" si="26"/>
        <v>1080.74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7">C231</f>
        <v>0.64</v>
      </c>
      <c r="C267" s="183">
        <f t="shared" si="27"/>
        <v>0.64</v>
      </c>
      <c r="D267" s="183">
        <f t="shared" si="27"/>
        <v>0.64</v>
      </c>
      <c r="E267" s="183">
        <f t="shared" si="27"/>
        <v>0.64</v>
      </c>
      <c r="F267" s="183">
        <f t="shared" si="27"/>
        <v>0.64</v>
      </c>
      <c r="G267" s="183">
        <f t="shared" si="27"/>
        <v>0.64</v>
      </c>
      <c r="H267" s="183">
        <f t="shared" si="27"/>
        <v>0.64</v>
      </c>
      <c r="I267" s="183">
        <f t="shared" si="27"/>
        <v>0.64</v>
      </c>
      <c r="J267" s="183">
        <f t="shared" si="27"/>
        <v>0.64</v>
      </c>
      <c r="K267" s="183">
        <f t="shared" si="27"/>
        <v>0.64</v>
      </c>
      <c r="L267" s="183">
        <f t="shared" si="27"/>
        <v>0.64</v>
      </c>
      <c r="M267" s="183">
        <f t="shared" si="27"/>
        <v>0.64</v>
      </c>
      <c r="N267" s="183">
        <f t="shared" si="27"/>
        <v>0.64</v>
      </c>
      <c r="O267" s="183">
        <f t="shared" si="27"/>
        <v>0.64</v>
      </c>
      <c r="P267" s="183">
        <f t="shared" si="27"/>
        <v>0</v>
      </c>
      <c r="Q267" s="183">
        <f t="shared" si="27"/>
        <v>0</v>
      </c>
      <c r="R267" s="183">
        <f t="shared" si="27"/>
        <v>0</v>
      </c>
      <c r="S267" s="183">
        <f t="shared" si="27"/>
        <v>0</v>
      </c>
      <c r="T267" s="183">
        <f t="shared" si="27"/>
        <v>0</v>
      </c>
      <c r="U267" s="183">
        <f t="shared" si="27"/>
        <v>0</v>
      </c>
      <c r="V267" s="183">
        <f t="shared" si="27"/>
        <v>0</v>
      </c>
      <c r="W267" s="183">
        <f t="shared" si="27"/>
        <v>0</v>
      </c>
      <c r="X267" s="183">
        <f t="shared" si="27"/>
        <v>0</v>
      </c>
      <c r="Y267" s="183">
        <f t="shared" si="27"/>
        <v>0</v>
      </c>
      <c r="Z267" s="183">
        <f t="shared" si="27"/>
        <v>0</v>
      </c>
      <c r="AA267" s="183">
        <f t="shared" si="27"/>
        <v>0</v>
      </c>
      <c r="AB267" s="183">
        <f t="shared" si="27"/>
        <v>0</v>
      </c>
      <c r="AC267" s="183">
        <f t="shared" si="27"/>
        <v>0</v>
      </c>
      <c r="AD267" s="183">
        <f t="shared" si="27"/>
        <v>0</v>
      </c>
      <c r="AE267" s="183">
        <f t="shared" si="27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8">IF(B235&lt;100,"",B235-520)</f>
        <v/>
      </c>
      <c r="C268" s="184" t="str">
        <f t="shared" si="28"/>
        <v/>
      </c>
      <c r="D268" s="184" t="str">
        <f t="shared" si="28"/>
        <v/>
      </c>
      <c r="E268" s="184" t="str">
        <f t="shared" si="28"/>
        <v/>
      </c>
      <c r="F268" s="184" t="str">
        <f t="shared" si="28"/>
        <v/>
      </c>
      <c r="G268" s="184" t="str">
        <f t="shared" si="28"/>
        <v/>
      </c>
      <c r="H268" s="184" t="str">
        <f t="shared" si="28"/>
        <v/>
      </c>
      <c r="I268" s="184" t="str">
        <f t="shared" si="28"/>
        <v/>
      </c>
      <c r="J268" s="184" t="str">
        <f t="shared" si="28"/>
        <v/>
      </c>
      <c r="K268" s="184" t="str">
        <f t="shared" si="28"/>
        <v/>
      </c>
      <c r="L268" s="184" t="str">
        <f t="shared" si="28"/>
        <v/>
      </c>
      <c r="M268" s="184" t="str">
        <f t="shared" si="28"/>
        <v/>
      </c>
      <c r="N268" s="184" t="str">
        <f t="shared" si="28"/>
        <v/>
      </c>
      <c r="O268" s="184" t="str">
        <f t="shared" si="28"/>
        <v/>
      </c>
      <c r="P268" s="184" t="str">
        <f t="shared" si="28"/>
        <v/>
      </c>
      <c r="Q268" s="184" t="str">
        <f t="shared" si="28"/>
        <v/>
      </c>
      <c r="R268" s="184" t="str">
        <f t="shared" si="28"/>
        <v/>
      </c>
      <c r="S268" s="184" t="str">
        <f t="shared" si="28"/>
        <v/>
      </c>
      <c r="T268" s="184" t="str">
        <f t="shared" si="28"/>
        <v/>
      </c>
      <c r="U268" s="184" t="str">
        <f t="shared" si="28"/>
        <v/>
      </c>
      <c r="V268" s="184" t="str">
        <f t="shared" si="28"/>
        <v/>
      </c>
      <c r="W268" s="184" t="str">
        <f t="shared" si="28"/>
        <v/>
      </c>
      <c r="X268" s="184" t="str">
        <f t="shared" si="28"/>
        <v/>
      </c>
      <c r="Y268" s="184" t="str">
        <f t="shared" si="28"/>
        <v/>
      </c>
      <c r="Z268" s="184" t="str">
        <f t="shared" si="28"/>
        <v/>
      </c>
      <c r="AA268" s="184" t="str">
        <f t="shared" si="28"/>
        <v/>
      </c>
      <c r="AB268" s="184" t="str">
        <f t="shared" si="28"/>
        <v/>
      </c>
      <c r="AC268" s="184" t="str">
        <f t="shared" si="28"/>
        <v/>
      </c>
      <c r="AD268" s="184" t="str">
        <f t="shared" si="28"/>
        <v/>
      </c>
      <c r="AE268" s="184" t="str">
        <f t="shared" si="28"/>
        <v/>
      </c>
      <c r="AF268" s="184" t="str">
        <f t="shared" si="28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9">IF(B236&lt;100,"",B236-620)</f>
        <v/>
      </c>
      <c r="C269" s="184" t="str">
        <f t="shared" si="29"/>
        <v/>
      </c>
      <c r="D269" s="184" t="str">
        <f t="shared" si="29"/>
        <v/>
      </c>
      <c r="E269" s="184" t="str">
        <f t="shared" si="29"/>
        <v/>
      </c>
      <c r="F269" s="184" t="str">
        <f t="shared" si="29"/>
        <v/>
      </c>
      <c r="G269" s="184" t="str">
        <f t="shared" si="29"/>
        <v/>
      </c>
      <c r="H269" s="184" t="str">
        <f t="shared" si="29"/>
        <v/>
      </c>
      <c r="I269" s="184" t="str">
        <f t="shared" si="29"/>
        <v/>
      </c>
      <c r="J269" s="184" t="str">
        <f t="shared" si="29"/>
        <v/>
      </c>
      <c r="K269" s="184" t="str">
        <f t="shared" si="29"/>
        <v/>
      </c>
      <c r="L269" s="184" t="str">
        <f t="shared" si="29"/>
        <v/>
      </c>
      <c r="M269" s="184" t="str">
        <f t="shared" si="29"/>
        <v/>
      </c>
      <c r="N269" s="184" t="str">
        <f t="shared" si="29"/>
        <v/>
      </c>
      <c r="O269" s="184" t="str">
        <f t="shared" si="29"/>
        <v/>
      </c>
      <c r="P269" s="184" t="str">
        <f t="shared" si="29"/>
        <v/>
      </c>
      <c r="Q269" s="184" t="str">
        <f t="shared" si="29"/>
        <v/>
      </c>
      <c r="R269" s="184" t="str">
        <f t="shared" si="29"/>
        <v/>
      </c>
      <c r="S269" s="184" t="str">
        <f t="shared" si="29"/>
        <v/>
      </c>
      <c r="T269" s="184" t="str">
        <f t="shared" si="29"/>
        <v/>
      </c>
      <c r="U269" s="184" t="str">
        <f t="shared" si="29"/>
        <v/>
      </c>
      <c r="V269" s="184" t="str">
        <f t="shared" si="29"/>
        <v/>
      </c>
      <c r="W269" s="184" t="str">
        <f t="shared" si="29"/>
        <v/>
      </c>
      <c r="X269" s="184" t="str">
        <f t="shared" si="29"/>
        <v/>
      </c>
      <c r="Y269" s="184" t="str">
        <f t="shared" si="29"/>
        <v/>
      </c>
      <c r="Z269" s="184" t="str">
        <f t="shared" si="29"/>
        <v/>
      </c>
      <c r="AA269" s="184" t="str">
        <f t="shared" si="29"/>
        <v/>
      </c>
      <c r="AB269" s="184" t="str">
        <f t="shared" si="29"/>
        <v/>
      </c>
      <c r="AC269" s="184" t="str">
        <f t="shared" si="29"/>
        <v/>
      </c>
      <c r="AD269" s="184" t="str">
        <f t="shared" si="29"/>
        <v/>
      </c>
      <c r="AE269" s="184" t="str">
        <f t="shared" si="29"/>
        <v/>
      </c>
      <c r="AF269" s="184" t="str">
        <f t="shared" si="29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0">IF(B237&lt;100,"",B237-330)</f>
        <v/>
      </c>
      <c r="C270" s="184" t="str">
        <f t="shared" si="30"/>
        <v/>
      </c>
      <c r="D270" s="184" t="str">
        <f t="shared" si="30"/>
        <v/>
      </c>
      <c r="E270" s="184" t="str">
        <f t="shared" si="30"/>
        <v/>
      </c>
      <c r="F270" s="184" t="str">
        <f t="shared" si="30"/>
        <v/>
      </c>
      <c r="G270" s="184" t="str">
        <f t="shared" si="30"/>
        <v/>
      </c>
      <c r="H270" s="184" t="str">
        <f t="shared" si="30"/>
        <v/>
      </c>
      <c r="I270" s="184" t="str">
        <f t="shared" si="30"/>
        <v/>
      </c>
      <c r="J270" s="184" t="str">
        <f t="shared" si="30"/>
        <v/>
      </c>
      <c r="K270" s="184" t="str">
        <f t="shared" si="30"/>
        <v/>
      </c>
      <c r="L270" s="184" t="str">
        <f t="shared" si="30"/>
        <v/>
      </c>
      <c r="M270" s="184" t="str">
        <f t="shared" si="30"/>
        <v/>
      </c>
      <c r="N270" s="184" t="str">
        <f t="shared" si="30"/>
        <v/>
      </c>
      <c r="O270" s="184" t="str">
        <f t="shared" si="30"/>
        <v/>
      </c>
      <c r="P270" s="184" t="str">
        <f t="shared" si="30"/>
        <v/>
      </c>
      <c r="Q270" s="184" t="str">
        <f t="shared" si="30"/>
        <v/>
      </c>
      <c r="R270" s="184" t="str">
        <f t="shared" si="30"/>
        <v/>
      </c>
      <c r="S270" s="184" t="str">
        <f t="shared" si="30"/>
        <v/>
      </c>
      <c r="T270" s="184" t="str">
        <f t="shared" si="30"/>
        <v/>
      </c>
      <c r="U270" s="184" t="str">
        <f t="shared" si="30"/>
        <v/>
      </c>
      <c r="V270" s="184" t="str">
        <f t="shared" si="30"/>
        <v/>
      </c>
      <c r="W270" s="184" t="str">
        <f t="shared" si="30"/>
        <v/>
      </c>
      <c r="X270" s="184" t="str">
        <f t="shared" si="30"/>
        <v/>
      </c>
      <c r="Y270" s="184" t="str">
        <f t="shared" si="30"/>
        <v/>
      </c>
      <c r="Z270" s="184" t="str">
        <f t="shared" si="30"/>
        <v/>
      </c>
      <c r="AA270" s="184" t="str">
        <f t="shared" si="30"/>
        <v/>
      </c>
      <c r="AB270" s="184" t="str">
        <f t="shared" si="30"/>
        <v/>
      </c>
      <c r="AC270" s="184" t="str">
        <f t="shared" si="30"/>
        <v/>
      </c>
      <c r="AD270" s="184" t="str">
        <f t="shared" si="30"/>
        <v/>
      </c>
      <c r="AE270" s="184" t="str">
        <f t="shared" si="30"/>
        <v/>
      </c>
      <c r="AF270" s="184" t="str">
        <f t="shared" si="30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1">IF(B238&lt;100,"",B238-1500)</f>
        <v/>
      </c>
      <c r="C271" s="184" t="str">
        <f t="shared" si="31"/>
        <v/>
      </c>
      <c r="D271" s="184" t="str">
        <f t="shared" si="31"/>
        <v/>
      </c>
      <c r="E271" s="184" t="str">
        <f t="shared" si="31"/>
        <v/>
      </c>
      <c r="F271" s="184" t="str">
        <f t="shared" si="31"/>
        <v/>
      </c>
      <c r="G271" s="184" t="str">
        <f t="shared" si="31"/>
        <v/>
      </c>
      <c r="H271" s="184" t="str">
        <f t="shared" si="31"/>
        <v/>
      </c>
      <c r="I271" s="184" t="str">
        <f t="shared" si="31"/>
        <v/>
      </c>
      <c r="J271" s="184" t="str">
        <f t="shared" si="31"/>
        <v/>
      </c>
      <c r="K271" s="184" t="str">
        <f t="shared" si="31"/>
        <v/>
      </c>
      <c r="L271" s="184" t="str">
        <f t="shared" si="31"/>
        <v/>
      </c>
      <c r="M271" s="184" t="str">
        <f t="shared" si="31"/>
        <v/>
      </c>
      <c r="N271" s="184" t="str">
        <f t="shared" si="31"/>
        <v/>
      </c>
      <c r="O271" s="184" t="str">
        <f t="shared" si="31"/>
        <v/>
      </c>
      <c r="P271" s="184" t="str">
        <f t="shared" si="31"/>
        <v/>
      </c>
      <c r="Q271" s="184" t="str">
        <f t="shared" si="31"/>
        <v/>
      </c>
      <c r="R271" s="184" t="str">
        <f t="shared" si="31"/>
        <v/>
      </c>
      <c r="S271" s="184" t="str">
        <f t="shared" si="31"/>
        <v/>
      </c>
      <c r="T271" s="184" t="str">
        <f t="shared" si="31"/>
        <v/>
      </c>
      <c r="U271" s="184" t="str">
        <f t="shared" si="31"/>
        <v/>
      </c>
      <c r="V271" s="184" t="str">
        <f t="shared" si="31"/>
        <v/>
      </c>
      <c r="W271" s="184" t="str">
        <f t="shared" si="31"/>
        <v/>
      </c>
      <c r="X271" s="184" t="str">
        <f t="shared" si="31"/>
        <v/>
      </c>
      <c r="Y271" s="184" t="str">
        <f t="shared" si="31"/>
        <v/>
      </c>
      <c r="Z271" s="184" t="str">
        <f t="shared" si="31"/>
        <v/>
      </c>
      <c r="AA271" s="184" t="str">
        <f t="shared" si="31"/>
        <v/>
      </c>
      <c r="AB271" s="184" t="str">
        <f t="shared" si="31"/>
        <v/>
      </c>
      <c r="AC271" s="184" t="str">
        <f t="shared" si="31"/>
        <v/>
      </c>
      <c r="AD271" s="184" t="str">
        <f t="shared" si="31"/>
        <v/>
      </c>
      <c r="AE271" s="184" t="str">
        <f t="shared" si="31"/>
        <v/>
      </c>
      <c r="AF271" s="184" t="str">
        <f t="shared" si="31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8228" priority="344">
      <formula>B$9&gt;=20/24</formula>
    </cfRule>
    <cfRule type="expression" dxfId="8227" priority="345">
      <formula>AND(B$9&gt;=14/24,B$9&lt;20/24)</formula>
    </cfRule>
    <cfRule type="expression" dxfId="8226" priority="346">
      <formula>AND(B$9&gt;=8/24,B$9&lt;14/24)</formula>
    </cfRule>
    <cfRule type="expression" dxfId="8225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8224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8223" priority="341">
      <formula>$AH12=0</formula>
    </cfRule>
  </conditionalFormatting>
  <conditionalFormatting sqref="A114">
    <cfRule type="expression" dxfId="8222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8221" priority="338">
      <formula>$AH45=0</formula>
    </cfRule>
  </conditionalFormatting>
  <conditionalFormatting sqref="A98">
    <cfRule type="expression" dxfId="8220" priority="337">
      <formula>$AH98=0</formula>
    </cfRule>
  </conditionalFormatting>
  <conditionalFormatting sqref="A18">
    <cfRule type="expression" dxfId="8219" priority="336">
      <formula>$AH18=0</formula>
    </cfRule>
  </conditionalFormatting>
  <conditionalFormatting sqref="A196:A201">
    <cfRule type="expression" dxfId="8218" priority="335">
      <formula>$AH196=0</formula>
    </cfRule>
  </conditionalFormatting>
  <conditionalFormatting sqref="A190:A195">
    <cfRule type="expression" dxfId="8217" priority="334">
      <formula>$AH190=0</formula>
    </cfRule>
  </conditionalFormatting>
  <conditionalFormatting sqref="A58">
    <cfRule type="expression" dxfId="8216" priority="333">
      <formula>$AH58=0</formula>
    </cfRule>
  </conditionalFormatting>
  <conditionalFormatting sqref="A94">
    <cfRule type="expression" dxfId="8215" priority="332">
      <formula>$AH94=0</formula>
    </cfRule>
  </conditionalFormatting>
  <conditionalFormatting sqref="E99:X99 AE99:AF99">
    <cfRule type="expression" dxfId="8214" priority="328">
      <formula>E$9&gt;=20/24</formula>
    </cfRule>
    <cfRule type="expression" dxfId="8213" priority="329">
      <formula>AND(E$9&gt;=14/24,E$9&lt;20/24)</formula>
    </cfRule>
    <cfRule type="expression" dxfId="8212" priority="330">
      <formula>AND(E$9&gt;=8/24,E$9&lt;14/24)</formula>
    </cfRule>
    <cfRule type="expression" dxfId="8211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210" priority="350">
      <formula>C$9&gt;=20/24</formula>
    </cfRule>
    <cfRule type="expression" dxfId="8209" priority="351">
      <formula>AND(C$9&gt;=14/24,C$9&lt;20/24)</formula>
    </cfRule>
    <cfRule type="expression" dxfId="8208" priority="352">
      <formula>AND(C$9&gt;=8/24,C$9&lt;14/24)</formula>
    </cfRule>
    <cfRule type="expression" dxfId="8207" priority="353">
      <formula>C$9&lt;8/24</formula>
    </cfRule>
  </conditionalFormatting>
  <conditionalFormatting sqref="A233">
    <cfRule type="expression" dxfId="8206" priority="354">
      <formula>$AH233=0</formula>
    </cfRule>
  </conditionalFormatting>
  <conditionalFormatting sqref="AG245">
    <cfRule type="expression" dxfId="8205" priority="355">
      <formula>B$9&gt;=20/24</formula>
    </cfRule>
    <cfRule type="expression" dxfId="8204" priority="356">
      <formula>AND(B$9&gt;=14/24,B$9&lt;20/24)</formula>
    </cfRule>
    <cfRule type="expression" dxfId="8203" priority="357">
      <formula>AND(B$9&gt;=8/24,B$9&lt;14/24)</formula>
    </cfRule>
    <cfRule type="expression" dxfId="8202" priority="358">
      <formula>B$9&lt;8/24</formula>
    </cfRule>
  </conditionalFormatting>
  <conditionalFormatting sqref="S8">
    <cfRule type="expression" dxfId="8201" priority="323">
      <formula>U$9&gt;=20/24</formula>
    </cfRule>
    <cfRule type="expression" dxfId="8200" priority="324">
      <formula>AND(U$9&gt;=14/24,U$9&lt;20/24)</formula>
    </cfRule>
    <cfRule type="expression" dxfId="8199" priority="325">
      <formula>AND(U$9&gt;=8/24,U$9&lt;14/24)</formula>
    </cfRule>
    <cfRule type="expression" dxfId="8198" priority="326">
      <formula>U$9&lt;8/24</formula>
    </cfRule>
  </conditionalFormatting>
  <conditionalFormatting sqref="AB8">
    <cfRule type="expression" dxfId="8197" priority="319">
      <formula>AD$9&gt;=20/24</formula>
    </cfRule>
    <cfRule type="expression" dxfId="8196" priority="320">
      <formula>AND(AD$9&gt;=14/24,AD$9&lt;20/24)</formula>
    </cfRule>
    <cfRule type="expression" dxfId="8195" priority="321">
      <formula>AND(AD$9&gt;=8/24,AD$9&lt;14/24)</formula>
    </cfRule>
    <cfRule type="expression" dxfId="8194" priority="322">
      <formula>AD$9&lt;8/24</formula>
    </cfRule>
  </conditionalFormatting>
  <conditionalFormatting sqref="AH245:AX245">
    <cfRule type="expression" dxfId="8193" priority="359">
      <formula>AG$9&gt;=20/24</formula>
    </cfRule>
    <cfRule type="expression" dxfId="8192" priority="360">
      <formula>AND(AG$9&gt;=14/24,AG$9&lt;20/24)</formula>
    </cfRule>
    <cfRule type="expression" dxfId="8191" priority="361">
      <formula>AND(AG$9&gt;=8/24,AG$9&lt;14/24)</formula>
    </cfRule>
    <cfRule type="expression" dxfId="8190" priority="362">
      <formula>AG$9&lt;8/24</formula>
    </cfRule>
  </conditionalFormatting>
  <conditionalFormatting sqref="T245">
    <cfRule type="expression" dxfId="8189" priority="363">
      <formula>AX$9&gt;=20/24</formula>
    </cfRule>
    <cfRule type="expression" dxfId="8188" priority="364">
      <formula>AND(AX$9&gt;=14/24,AX$9&lt;20/24)</formula>
    </cfRule>
    <cfRule type="expression" dxfId="8187" priority="365">
      <formula>AND(AX$9&gt;=8/24,AX$9&lt;14/24)</formula>
    </cfRule>
    <cfRule type="expression" dxfId="8186" priority="366">
      <formula>AX$9&lt;8/24</formula>
    </cfRule>
  </conditionalFormatting>
  <conditionalFormatting sqref="A115:A116">
    <cfRule type="expression" dxfId="8185" priority="318">
      <formula>$AH115=0</formula>
    </cfRule>
  </conditionalFormatting>
  <conditionalFormatting sqref="AC54:AF57 M54:Q57 O58:Q58 E71:AF71">
    <cfRule type="expression" dxfId="8184" priority="314">
      <formula>E$9&gt;=20/24</formula>
    </cfRule>
    <cfRule type="expression" dxfId="8183" priority="315">
      <formula>AND(E$9&gt;=14/24,E$9&lt;20/24)</formula>
    </cfRule>
    <cfRule type="expression" dxfId="8182" priority="316">
      <formula>AND(E$9&gt;=8/24,E$9&lt;14/24)</formula>
    </cfRule>
    <cfRule type="expression" dxfId="8181" priority="317">
      <formula>E$9&lt;8/24</formula>
    </cfRule>
  </conditionalFormatting>
  <conditionalFormatting sqref="AC53:AF53 M53:Q53">
    <cfRule type="expression" dxfId="8180" priority="310">
      <formula>M$9&gt;=20/24</formula>
    </cfRule>
    <cfRule type="expression" dxfId="8179" priority="311">
      <formula>AND(M$9&gt;=14/24,M$9&lt;20/24)</formula>
    </cfRule>
    <cfRule type="expression" dxfId="8178" priority="312">
      <formula>AND(M$9&gt;=8/24,M$9&lt;14/24)</formula>
    </cfRule>
    <cfRule type="expression" dxfId="8177" priority="313">
      <formula>M$9&lt;8/24</formula>
    </cfRule>
  </conditionalFormatting>
  <conditionalFormatting sqref="AC53:AF57 M53:Q57 O58:Q58">
    <cfRule type="expression" dxfId="8176" priority="309">
      <formula>M53&gt;$AG53</formula>
    </cfRule>
  </conditionalFormatting>
  <conditionalFormatting sqref="X96:AF96 AF100:AF106 M100:X106 D86:AF86 X47:AF47 E72:AF73 Y67:AF69">
    <cfRule type="expression" dxfId="8175" priority="305">
      <formula>D$9&gt;=20/24</formula>
    </cfRule>
    <cfRule type="expression" dxfId="8174" priority="306">
      <formula>AND(D$9&gt;=14/24,D$9&lt;20/24)</formula>
    </cfRule>
    <cfRule type="expression" dxfId="8173" priority="307">
      <formula>AND(D$9&gt;=8/24,D$9&lt;14/24)</formula>
    </cfRule>
    <cfRule type="expression" dxfId="8172" priority="308">
      <formula>D$9&lt;8/24</formula>
    </cfRule>
  </conditionalFormatting>
  <conditionalFormatting sqref="X47:AF47 Y67:AF69">
    <cfRule type="expression" dxfId="8171" priority="304">
      <formula>X47&gt;$AG47</formula>
    </cfRule>
  </conditionalFormatting>
  <conditionalFormatting sqref="R53:AB58 AC58:AF58">
    <cfRule type="expression" dxfId="8170" priority="300">
      <formula>R$9&gt;=20/24</formula>
    </cfRule>
    <cfRule type="expression" dxfId="8169" priority="301">
      <formula>AND(R$9&gt;=14/24,R$9&lt;20/24)</formula>
    </cfRule>
    <cfRule type="expression" dxfId="8168" priority="302">
      <formula>AND(R$9&gt;=8/24,R$9&lt;14/24)</formula>
    </cfRule>
    <cfRule type="expression" dxfId="8167" priority="303">
      <formula>R$9&lt;8/24</formula>
    </cfRule>
  </conditionalFormatting>
  <conditionalFormatting sqref="R53:AB58 AC58:AF58">
    <cfRule type="expression" dxfId="8166" priority="299">
      <formula>R53&gt;$AG53</formula>
    </cfRule>
  </conditionalFormatting>
  <conditionalFormatting sqref="C97:AF97 D88:AF88">
    <cfRule type="expression" dxfId="8165" priority="295">
      <formula>C$9&gt;=20/24</formula>
    </cfRule>
    <cfRule type="expression" dxfId="8164" priority="296">
      <formula>AND(C$9&gt;=14/24,C$9&lt;20/24)</formula>
    </cfRule>
    <cfRule type="expression" dxfId="8163" priority="297">
      <formula>AND(C$9&gt;=8/24,C$9&lt;14/24)</formula>
    </cfRule>
    <cfRule type="expression" dxfId="8162" priority="298">
      <formula>C$9&lt;8/24</formula>
    </cfRule>
  </conditionalFormatting>
  <conditionalFormatting sqref="T47:W47">
    <cfRule type="expression" dxfId="8161" priority="291">
      <formula>T$9&gt;=20/24</formula>
    </cfRule>
    <cfRule type="expression" dxfId="8160" priority="292">
      <formula>AND(T$9&gt;=14/24,T$9&lt;20/24)</formula>
    </cfRule>
    <cfRule type="expression" dxfId="8159" priority="293">
      <formula>AND(T$9&gt;=8/24,T$9&lt;14/24)</formula>
    </cfRule>
    <cfRule type="expression" dxfId="8158" priority="294">
      <formula>T$9&lt;8/24</formula>
    </cfRule>
  </conditionalFormatting>
  <conditionalFormatting sqref="T47:W47">
    <cfRule type="expression" dxfId="8157" priority="290">
      <formula>T47&gt;$AG47</formula>
    </cfRule>
  </conditionalFormatting>
  <conditionalFormatting sqref="G55:L55 E54:L54">
    <cfRule type="expression" dxfId="8156" priority="286">
      <formula>E$9&gt;=20/24</formula>
    </cfRule>
    <cfRule type="expression" dxfId="8155" priority="287">
      <formula>AND(E$9&gt;=14/24,E$9&lt;20/24)</formula>
    </cfRule>
    <cfRule type="expression" dxfId="8154" priority="288">
      <formula>AND(E$9&gt;=8/24,E$9&lt;14/24)</formula>
    </cfRule>
    <cfRule type="expression" dxfId="8153" priority="289">
      <formula>E$9&lt;8/24</formula>
    </cfRule>
  </conditionalFormatting>
  <conditionalFormatting sqref="G53:L53">
    <cfRule type="expression" dxfId="8152" priority="282">
      <formula>G$9&gt;=20/24</formula>
    </cfRule>
    <cfRule type="expression" dxfId="8151" priority="283">
      <formula>AND(G$9&gt;=14/24,G$9&lt;20/24)</formula>
    </cfRule>
    <cfRule type="expression" dxfId="8150" priority="284">
      <formula>AND(G$9&gt;=8/24,G$9&lt;14/24)</formula>
    </cfRule>
    <cfRule type="expression" dxfId="8149" priority="285">
      <formula>G$9&lt;8/24</formula>
    </cfRule>
  </conditionalFormatting>
  <conditionalFormatting sqref="G55:L55 E54:L54 G53:L53">
    <cfRule type="expression" dxfId="8148" priority="281">
      <formula>E53&gt;$AG53</formula>
    </cfRule>
  </conditionalFormatting>
  <conditionalFormatting sqref="AG70 AG87 E100:L101 H102:L106 Q67:X69">
    <cfRule type="expression" dxfId="8147" priority="277">
      <formula>E$9&gt;=20/24</formula>
    </cfRule>
    <cfRule type="expression" dxfId="8146" priority="278">
      <formula>AND(E$9&gt;=14/24,E$9&lt;20/24)</formula>
    </cfRule>
    <cfRule type="expression" dxfId="8145" priority="279">
      <formula>AND(E$9&gt;=8/24,E$9&lt;14/24)</formula>
    </cfRule>
    <cfRule type="expression" dxfId="8144" priority="280">
      <formula>E$9&lt;8/24</formula>
    </cfRule>
  </conditionalFormatting>
  <conditionalFormatting sqref="AG48 AG66 AG70 Q67:X69">
    <cfRule type="expression" dxfId="8143" priority="276">
      <formula>Q48&gt;$AG48</formula>
    </cfRule>
  </conditionalFormatting>
  <conditionalFormatting sqref="A43">
    <cfRule type="expression" dxfId="8142" priority="270">
      <formula>$AH43=0</formula>
    </cfRule>
  </conditionalFormatting>
  <conditionalFormatting sqref="X91:AF95">
    <cfRule type="expression" dxfId="8141" priority="266">
      <formula>X$9&gt;=20/24</formula>
    </cfRule>
    <cfRule type="expression" dxfId="8140" priority="267">
      <formula>AND(X$9&gt;=14/24,X$9&lt;20/24)</formula>
    </cfRule>
    <cfRule type="expression" dxfId="8139" priority="268">
      <formula>AND(X$9&gt;=8/24,X$9&lt;14/24)</formula>
    </cfRule>
    <cfRule type="expression" dxfId="8138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H49:AF51">
    <cfRule type="expression" dxfId="8137" priority="262">
      <formula>H$9&gt;=20/24</formula>
    </cfRule>
    <cfRule type="expression" dxfId="8136" priority="263">
      <formula>AND(H$9&gt;=14/24,H$9&lt;20/24)</formula>
    </cfRule>
    <cfRule type="expression" dxfId="8135" priority="264">
      <formula>AND(H$9&gt;=8/24,H$9&lt;14/24)</formula>
    </cfRule>
    <cfRule type="expression" dxfId="8134" priority="265">
      <formula>H$9&lt;8/24</formula>
    </cfRule>
  </conditionalFormatting>
  <conditionalFormatting sqref="H49:AF51">
    <cfRule type="expression" dxfId="8133" priority="261">
      <formula>H49&gt;$AG49</formula>
    </cfRule>
  </conditionalFormatting>
  <conditionalFormatting sqref="AG52">
    <cfRule type="expression" dxfId="8132" priority="257">
      <formula>AG$9&gt;=20/24</formula>
    </cfRule>
    <cfRule type="expression" dxfId="8131" priority="258">
      <formula>AND(AG$9&gt;=14/24,AG$9&lt;20/24)</formula>
    </cfRule>
    <cfRule type="expression" dxfId="8130" priority="259">
      <formula>AND(AG$9&gt;=8/24,AG$9&lt;14/24)</formula>
    </cfRule>
    <cfRule type="expression" dxfId="8129" priority="260">
      <formula>AG$9&lt;8/24</formula>
    </cfRule>
  </conditionalFormatting>
  <conditionalFormatting sqref="AG52">
    <cfRule type="expression" dxfId="8128" priority="256">
      <formula>AG52&gt;$AG52</formula>
    </cfRule>
  </conditionalFormatting>
  <conditionalFormatting sqref="C107:AF107">
    <cfRule type="expression" dxfId="8127" priority="252">
      <formula>C$9&gt;=20/24</formula>
    </cfRule>
    <cfRule type="expression" dxfId="8126" priority="253">
      <formula>AND(C$9&gt;=14/24,C$9&lt;20/24)</formula>
    </cfRule>
    <cfRule type="expression" dxfId="8125" priority="254">
      <formula>AND(C$9&gt;=8/24,C$9&lt;14/24)</formula>
    </cfRule>
    <cfRule type="expression" dxfId="8124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8123" priority="250">
      <formula>$AH40=0</formula>
    </cfRule>
  </conditionalFormatting>
  <conditionalFormatting sqref="A90">
    <cfRule type="expression" dxfId="8122" priority="248">
      <formula>$AH90=0</formula>
    </cfRule>
  </conditionalFormatting>
  <conditionalFormatting sqref="A87">
    <cfRule type="expression" dxfId="8121" priority="249">
      <formula>$AH87=0</formula>
    </cfRule>
  </conditionalFormatting>
  <conditionalFormatting sqref="D110:AF110">
    <cfRule type="expression" dxfId="8120" priority="244">
      <formula>D$9&gt;=20/24</formula>
    </cfRule>
    <cfRule type="expression" dxfId="8119" priority="245">
      <formula>AND(D$9&gt;=14/24,D$9&lt;20/24)</formula>
    </cfRule>
    <cfRule type="expression" dxfId="8118" priority="246">
      <formula>AND(D$9&gt;=8/24,D$9&lt;14/24)</formula>
    </cfRule>
    <cfRule type="expression" dxfId="8117" priority="247">
      <formula>D$9&lt;8/24</formula>
    </cfRule>
  </conditionalFormatting>
  <conditionalFormatting sqref="A110">
    <cfRule type="expression" dxfId="8116" priority="243">
      <formula>$AH110=0</formula>
    </cfRule>
  </conditionalFormatting>
  <conditionalFormatting sqref="A21">
    <cfRule type="expression" dxfId="8115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8114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8113" priority="235">
      <formula>Y$9&gt;=20/24</formula>
    </cfRule>
    <cfRule type="expression" dxfId="8112" priority="236">
      <formula>AND(Y$9&gt;=14/24,Y$9&lt;20/24)</formula>
    </cfRule>
    <cfRule type="expression" dxfId="8111" priority="237">
      <formula>AND(Y$9&gt;=8/24,Y$9&lt;14/24)</formula>
    </cfRule>
    <cfRule type="expression" dxfId="8110" priority="238">
      <formula>Y$9&lt;8/24</formula>
    </cfRule>
  </conditionalFormatting>
  <conditionalFormatting sqref="Y100:AE106">
    <cfRule type="expression" dxfId="8109" priority="231">
      <formula>Y$9&gt;=20/24</formula>
    </cfRule>
    <cfRule type="expression" dxfId="8108" priority="232">
      <formula>AND(Y$9&gt;=14/24,Y$9&lt;20/24)</formula>
    </cfRule>
    <cfRule type="expression" dxfId="8107" priority="233">
      <formula>AND(Y$9&gt;=8/24,Y$9&lt;14/24)</formula>
    </cfRule>
    <cfRule type="expression" dxfId="8106" priority="234">
      <formula>Y$9&lt;8/24</formula>
    </cfRule>
  </conditionalFormatting>
  <conditionalFormatting sqref="C109 C111:C116 Z34:AF43 Z17:AF29 Z31:AF32 AB30:AF30">
    <cfRule type="expression" dxfId="8105" priority="227">
      <formula>C$9&gt;=20/24</formula>
    </cfRule>
    <cfRule type="expression" dxfId="8104" priority="228">
      <formula>AND(C$9&gt;=14/24,C$9&lt;20/24)</formula>
    </cfRule>
    <cfRule type="expression" dxfId="8103" priority="229">
      <formula>AND(C$9&gt;=8/24,C$9&lt;14/24)</formula>
    </cfRule>
    <cfRule type="expression" dxfId="8102" priority="230">
      <formula>C$9&lt;8/24</formula>
    </cfRule>
  </conditionalFormatting>
  <conditionalFormatting sqref="C47:S47">
    <cfRule type="expression" dxfId="8101" priority="223">
      <formula>C$9&gt;=20/24</formula>
    </cfRule>
    <cfRule type="expression" dxfId="8100" priority="224">
      <formula>AND(C$9&gt;=14/24,C$9&lt;20/24)</formula>
    </cfRule>
    <cfRule type="expression" dxfId="8099" priority="225">
      <formula>AND(C$9&gt;=8/24,C$9&lt;14/24)</formula>
    </cfRule>
    <cfRule type="expression" dxfId="8098" priority="226">
      <formula>C$9&lt;8/24</formula>
    </cfRule>
  </conditionalFormatting>
  <conditionalFormatting sqref="C47:S47 Z34:AF43 Z17:AF29 Z31:AF32 AB30:AF30">
    <cfRule type="expression" dxfId="8097" priority="222">
      <formula>C17&gt;$AG17</formula>
    </cfRule>
  </conditionalFormatting>
  <conditionalFormatting sqref="C99:D99">
    <cfRule type="expression" dxfId="8096" priority="218">
      <formula>C$9&gt;=20/24</formula>
    </cfRule>
    <cfRule type="expression" dxfId="8095" priority="219">
      <formula>AND(C$9&gt;=14/24,C$9&lt;20/24)</formula>
    </cfRule>
    <cfRule type="expression" dxfId="8094" priority="220">
      <formula>AND(C$9&gt;=8/24,C$9&lt;14/24)</formula>
    </cfRule>
    <cfRule type="expression" dxfId="8093" priority="221">
      <formula>C$9&lt;8/24</formula>
    </cfRule>
  </conditionalFormatting>
  <conditionalFormatting sqref="C86 C96:W96 E67:P69 C100:D106 E102:G106 C83:AF85 E74:AF76">
    <cfRule type="expression" dxfId="8092" priority="214">
      <formula>C$9&gt;=20/24</formula>
    </cfRule>
    <cfRule type="expression" dxfId="8091" priority="215">
      <formula>AND(C$9&gt;=14/24,C$9&lt;20/24)</formula>
    </cfRule>
    <cfRule type="expression" dxfId="8090" priority="216">
      <formula>AND(C$9&gt;=8/24,C$9&lt;14/24)</formula>
    </cfRule>
    <cfRule type="expression" dxfId="8089" priority="217">
      <formula>C$9&lt;8/24</formula>
    </cfRule>
  </conditionalFormatting>
  <conditionalFormatting sqref="H56:L57 E67:P69">
    <cfRule type="expression" dxfId="8088" priority="213">
      <formula>E56&gt;$AG56</formula>
    </cfRule>
  </conditionalFormatting>
  <conditionalFormatting sqref="H58:N58">
    <cfRule type="expression" dxfId="8087" priority="209">
      <formula>H$9&gt;=20/24</formula>
    </cfRule>
    <cfRule type="expression" dxfId="8086" priority="210">
      <formula>AND(H$9&gt;=14/24,H$9&lt;20/24)</formula>
    </cfRule>
    <cfRule type="expression" dxfId="8085" priority="211">
      <formula>AND(H$9&gt;=8/24,H$9&lt;14/24)</formula>
    </cfRule>
    <cfRule type="expression" dxfId="8084" priority="212">
      <formula>H$9&lt;8/24</formula>
    </cfRule>
  </conditionalFormatting>
  <conditionalFormatting sqref="H58:N58">
    <cfRule type="expression" dxfId="8083" priority="208">
      <formula>H58&gt;$AG58</formula>
    </cfRule>
  </conditionalFormatting>
  <conditionalFormatting sqref="B54:D57 B71:D71 E56:G57 E55:F55">
    <cfRule type="expression" dxfId="8082" priority="132">
      <formula>B$9&gt;=20/24</formula>
    </cfRule>
    <cfRule type="expression" dxfId="8081" priority="133">
      <formula>AND(B$9&gt;=14/24,B$9&lt;20/24)</formula>
    </cfRule>
    <cfRule type="expression" dxfId="8080" priority="134">
      <formula>AND(B$9&gt;=8/24,B$9&lt;14/24)</formula>
    </cfRule>
    <cfRule type="expression" dxfId="8079" priority="135">
      <formula>B$9&lt;8/24</formula>
    </cfRule>
  </conditionalFormatting>
  <conditionalFormatting sqref="R46:AF46">
    <cfRule type="expression" dxfId="8078" priority="204">
      <formula>R$9&gt;=20/24</formula>
    </cfRule>
    <cfRule type="expression" dxfId="8077" priority="205">
      <formula>AND(R$9&gt;=14/24,R$9&lt;20/24)</formula>
    </cfRule>
    <cfRule type="expression" dxfId="8076" priority="206">
      <formula>AND(R$9&gt;=8/24,R$9&lt;14/24)</formula>
    </cfRule>
    <cfRule type="expression" dxfId="8075" priority="207">
      <formula>R$9&lt;8/24</formula>
    </cfRule>
  </conditionalFormatting>
  <conditionalFormatting sqref="R46:AF46">
    <cfRule type="expression" dxfId="8074" priority="203">
      <formula>R46&gt;$AG46</formula>
    </cfRule>
  </conditionalFormatting>
  <conditionalFormatting sqref="C89:AF89 C98:AF98 C87:AF87">
    <cfRule type="expression" dxfId="8073" priority="199">
      <formula>C$9&gt;=20/24</formula>
    </cfRule>
    <cfRule type="expression" dxfId="8072" priority="200">
      <formula>AND(C$9&gt;=14/24,C$9&lt;20/24)</formula>
    </cfRule>
    <cfRule type="expression" dxfId="8071" priority="201">
      <formula>AND(C$9&gt;=8/24,C$9&lt;14/24)</formula>
    </cfRule>
    <cfRule type="expression" dxfId="8070" priority="202">
      <formula>C$9&lt;8/24</formula>
    </cfRule>
  </conditionalFormatting>
  <conditionalFormatting sqref="C48:AF48 C65:AF66">
    <cfRule type="expression" dxfId="8069" priority="198">
      <formula>C48&gt;$AG48</formula>
    </cfRule>
  </conditionalFormatting>
  <conditionalFormatting sqref="C82:AF82">
    <cfRule type="expression" dxfId="8068" priority="194">
      <formula>C$9&gt;=20/24</formula>
    </cfRule>
    <cfRule type="expression" dxfId="8067" priority="195">
      <formula>AND(C$9&gt;=14/24,C$9&lt;20/24)</formula>
    </cfRule>
    <cfRule type="expression" dxfId="8066" priority="196">
      <formula>AND(C$9&gt;=8/24,C$9&lt;14/24)</formula>
    </cfRule>
    <cfRule type="expression" dxfId="8065" priority="197">
      <formula>C$9&lt;8/24</formula>
    </cfRule>
  </conditionalFormatting>
  <conditionalFormatting sqref="C91:W95">
    <cfRule type="expression" dxfId="8064" priority="190">
      <formula>C$9&gt;=20/24</formula>
    </cfRule>
    <cfRule type="expression" dxfId="8063" priority="191">
      <formula>AND(C$9&gt;=14/24,C$9&lt;20/24)</formula>
    </cfRule>
    <cfRule type="expression" dxfId="8062" priority="192">
      <formula>AND(C$9&gt;=8/24,C$9&lt;14/24)</formula>
    </cfRule>
    <cfRule type="expression" dxfId="8061" priority="193">
      <formula>C$9&lt;8/24</formula>
    </cfRule>
  </conditionalFormatting>
  <conditionalFormatting sqref="C52:AF52">
    <cfRule type="expression" dxfId="8060" priority="186">
      <formula>C$9&gt;=20/24</formula>
    </cfRule>
    <cfRule type="expression" dxfId="8059" priority="187">
      <formula>AND(C$9&gt;=14/24,C$9&lt;20/24)</formula>
    </cfRule>
    <cfRule type="expression" dxfId="8058" priority="188">
      <formula>AND(C$9&gt;=8/24,C$9&lt;14/24)</formula>
    </cfRule>
    <cfRule type="expression" dxfId="8057" priority="189">
      <formula>C$9&lt;8/24</formula>
    </cfRule>
  </conditionalFormatting>
  <conditionalFormatting sqref="C52:AF52">
    <cfRule type="expression" dxfId="8056" priority="185">
      <formula>C52&gt;$AG52</formula>
    </cfRule>
  </conditionalFormatting>
  <conditionalFormatting sqref="B49:G51">
    <cfRule type="expression" dxfId="8055" priority="100">
      <formula>B$9&gt;=20/24</formula>
    </cfRule>
    <cfRule type="expression" dxfId="8054" priority="101">
      <formula>AND(B$9&gt;=14/24,B$9&lt;20/24)</formula>
    </cfRule>
    <cfRule type="expression" dxfId="8053" priority="102">
      <formula>AND(B$9&gt;=8/24,B$9&lt;14/24)</formula>
    </cfRule>
    <cfRule type="expression" dxfId="8052" priority="103">
      <formula>B$9&lt;8/24</formula>
    </cfRule>
  </conditionalFormatting>
  <conditionalFormatting sqref="C110">
    <cfRule type="expression" dxfId="8051" priority="177">
      <formula>C$9&gt;=20/24</formula>
    </cfRule>
    <cfRule type="expression" dxfId="8050" priority="178">
      <formula>AND(C$9&gt;=14/24,C$9&lt;20/24)</formula>
    </cfRule>
    <cfRule type="expression" dxfId="8049" priority="179">
      <formula>AND(C$9&gt;=8/24,C$9&lt;14/24)</formula>
    </cfRule>
    <cfRule type="expression" dxfId="8048" priority="180">
      <formula>C$9&lt;8/24</formula>
    </cfRule>
  </conditionalFormatting>
  <conditionalFormatting sqref="E59:M59 K60:M60 N59:Y60 Z59:AF64">
    <cfRule type="expression" dxfId="8047" priority="173">
      <formula>E$9&gt;=20/24</formula>
    </cfRule>
    <cfRule type="expression" dxfId="8046" priority="174">
      <formula>AND(E$9&gt;=14/24,E$9&lt;20/24)</formula>
    </cfRule>
    <cfRule type="expression" dxfId="8045" priority="175">
      <formula>AND(E$9&gt;=8/24,E$9&lt;14/24)</formula>
    </cfRule>
    <cfRule type="expression" dxfId="8044" priority="176">
      <formula>E$9&lt;8/24</formula>
    </cfRule>
  </conditionalFormatting>
  <conditionalFormatting sqref="E59:M59 K60:M60 N59:Y60 Z59:AF64">
    <cfRule type="expression" dxfId="8043" priority="172">
      <formula>E59&gt;$AG59</formula>
    </cfRule>
  </conditionalFormatting>
  <conditionalFormatting sqref="Z45:AF45 Z13:AF15">
    <cfRule type="expression" dxfId="8042" priority="171">
      <formula>Z13&gt;$AG13</formula>
    </cfRule>
  </conditionalFormatting>
  <conditionalFormatting sqref="Z12:AF12">
    <cfRule type="expression" dxfId="8041" priority="167">
      <formula>Z$9&gt;=20/24</formula>
    </cfRule>
    <cfRule type="expression" dxfId="8040" priority="168">
      <formula>AND(Z$9&gt;=14/24,Z$9&lt;20/24)</formula>
    </cfRule>
    <cfRule type="expression" dxfId="8039" priority="169">
      <formula>AND(Z$9&gt;=8/24,Z$9&lt;14/24)</formula>
    </cfRule>
    <cfRule type="expression" dxfId="8038" priority="170">
      <formula>Z$9&lt;8/24</formula>
    </cfRule>
  </conditionalFormatting>
  <conditionalFormatting sqref="Z12:AF12">
    <cfRule type="expression" dxfId="8037" priority="166">
      <formula>Z12&gt;$AG12</formula>
    </cfRule>
  </conditionalFormatting>
  <conditionalFormatting sqref="Z13:AF15">
    <cfRule type="expression" dxfId="8036" priority="162">
      <formula>Z$9&gt;=20/24</formula>
    </cfRule>
    <cfRule type="expression" dxfId="8035" priority="163">
      <formula>AND(Z$9&gt;=14/24,Z$9&lt;20/24)</formula>
    </cfRule>
    <cfRule type="expression" dxfId="8034" priority="164">
      <formula>AND(Z$9&gt;=8/24,Z$9&lt;14/24)</formula>
    </cfRule>
    <cfRule type="expression" dxfId="8033" priority="165">
      <formula>Z$9&lt;8/24</formula>
    </cfRule>
  </conditionalFormatting>
  <conditionalFormatting sqref="Z45:AF45">
    <cfRule type="expression" dxfId="8032" priority="158">
      <formula>Z$9&gt;=20/24</formula>
    </cfRule>
    <cfRule type="expression" dxfId="8031" priority="159">
      <formula>AND(Z$9&gt;=14/24,Z$9&lt;20/24)</formula>
    </cfRule>
    <cfRule type="expression" dxfId="8030" priority="160">
      <formula>AND(Z$9&gt;=8/24,Z$9&lt;14/24)</formula>
    </cfRule>
    <cfRule type="expression" dxfId="8029" priority="161">
      <formula>Z$9&lt;8/24</formula>
    </cfRule>
  </conditionalFormatting>
  <conditionalFormatting sqref="E77:AF81">
    <cfRule type="expression" dxfId="8028" priority="154">
      <formula>E$9&gt;=20/24</formula>
    </cfRule>
    <cfRule type="expression" dxfId="8027" priority="155">
      <formula>AND(E$9&gt;=14/24,E$9&lt;20/24)</formula>
    </cfRule>
    <cfRule type="expression" dxfId="8026" priority="156">
      <formula>AND(E$9&gt;=8/24,E$9&lt;14/24)</formula>
    </cfRule>
    <cfRule type="expression" dxfId="8025" priority="157">
      <formula>E$9&lt;8/24</formula>
    </cfRule>
  </conditionalFormatting>
  <conditionalFormatting sqref="AL78:AN78 AL84:AN84 AN79:AN80">
    <cfRule type="expression" dxfId="8024" priority="150">
      <formula>AL$9&gt;=20/24</formula>
    </cfRule>
    <cfRule type="expression" dxfId="8023" priority="151">
      <formula>AND(AL$9&gt;=14/24,AL$9&lt;20/24)</formula>
    </cfRule>
    <cfRule type="expression" dxfId="8022" priority="152">
      <formula>AND(AL$9&gt;=8/24,AL$9&lt;14/24)</formula>
    </cfRule>
    <cfRule type="expression" dxfId="8021" priority="153">
      <formula>AL$9&lt;8/24</formula>
    </cfRule>
  </conditionalFormatting>
  <conditionalFormatting sqref="AN81:AN82">
    <cfRule type="expression" dxfId="8020" priority="146">
      <formula>AN$9&gt;=20/24</formula>
    </cfRule>
    <cfRule type="expression" dxfId="8019" priority="147">
      <formula>AND(AN$9&gt;=14/24,AN$9&lt;20/24)</formula>
    </cfRule>
    <cfRule type="expression" dxfId="8018" priority="148">
      <formula>AND(AN$9&gt;=8/24,AN$9&lt;14/24)</formula>
    </cfRule>
    <cfRule type="expression" dxfId="8017" priority="149">
      <formula>AN$9&lt;8/24</formula>
    </cfRule>
  </conditionalFormatting>
  <conditionalFormatting sqref="AL79:AM83">
    <cfRule type="expression" dxfId="8016" priority="368">
      <formula>AJ$9&gt;=20/24</formula>
    </cfRule>
    <cfRule type="expression" dxfId="8015" priority="369">
      <formula>AND(AJ$9&gt;=14/24,AJ$9&lt;20/24)</formula>
    </cfRule>
    <cfRule type="expression" dxfId="8014" priority="370">
      <formula>AND(AJ$9&gt;=8/24,AJ$9&lt;14/24)</formula>
    </cfRule>
    <cfRule type="expression" dxfId="8013" priority="371">
      <formula>AJ$9&lt;8/24</formula>
    </cfRule>
  </conditionalFormatting>
  <conditionalFormatting sqref="A117">
    <cfRule type="expression" dxfId="8012" priority="145">
      <formula>$AH117=0</formula>
    </cfRule>
  </conditionalFormatting>
  <conditionalFormatting sqref="B109 B111:B116 B17:Y29 B34:Y43 B45:Y45 B12:Y15 B31:Y32 B30:AA30">
    <cfRule type="expression" dxfId="8011" priority="141">
      <formula>B$9&gt;=20/24</formula>
    </cfRule>
    <cfRule type="expression" dxfId="8010" priority="142">
      <formula>AND(B$9&gt;=14/24,B$9&lt;20/24)</formula>
    </cfRule>
    <cfRule type="expression" dxfId="8009" priority="143">
      <formula>AND(B$9&gt;=8/24,B$9&lt;14/24)</formula>
    </cfRule>
    <cfRule type="expression" dxfId="8008" priority="144">
      <formula>B$9&lt;8/24</formula>
    </cfRule>
  </conditionalFormatting>
  <conditionalFormatting sqref="B17:Y29 B34:Y43 B45:Y45 B12:Y15 B31:Y32 B30:AA30">
    <cfRule type="expression" dxfId="8007" priority="140">
      <formula>B12&gt;$AG12</formula>
    </cfRule>
  </conditionalFormatting>
  <conditionalFormatting sqref="B99">
    <cfRule type="expression" dxfId="8006" priority="136">
      <formula>B$9&gt;=20/24</formula>
    </cfRule>
    <cfRule type="expression" dxfId="8005" priority="137">
      <formula>AND(B$9&gt;=14/24,B$9&lt;20/24)</formula>
    </cfRule>
    <cfRule type="expression" dxfId="8004" priority="138">
      <formula>AND(B$9&gt;=8/24,B$9&lt;14/24)</formula>
    </cfRule>
    <cfRule type="expression" dxfId="8003" priority="139">
      <formula>B$9&lt;8/24</formula>
    </cfRule>
  </conditionalFormatting>
  <conditionalFormatting sqref="B53:F53">
    <cfRule type="expression" dxfId="8002" priority="128">
      <formula>B$9&gt;=20/24</formula>
    </cfRule>
    <cfRule type="expression" dxfId="8001" priority="129">
      <formula>AND(B$9&gt;=14/24,B$9&lt;20/24)</formula>
    </cfRule>
    <cfRule type="expression" dxfId="8000" priority="130">
      <formula>AND(B$9&gt;=8/24,B$9&lt;14/24)</formula>
    </cfRule>
    <cfRule type="expression" dxfId="7999" priority="131">
      <formula>B$9&lt;8/24</formula>
    </cfRule>
  </conditionalFormatting>
  <conditionalFormatting sqref="B53:D57 E56:G57 E55:F55 E53:F53">
    <cfRule type="expression" dxfId="7998" priority="127">
      <formula>B53&gt;$AG53</formula>
    </cfRule>
  </conditionalFormatting>
  <conditionalFormatting sqref="B96 B100:B106 B86 B47 B67:D69 B72:D74">
    <cfRule type="expression" dxfId="7997" priority="123">
      <formula>B$9&gt;=20/24</formula>
    </cfRule>
    <cfRule type="expression" dxfId="7996" priority="124">
      <formula>AND(B$9&gt;=14/24,B$9&lt;20/24)</formula>
    </cfRule>
    <cfRule type="expression" dxfId="7995" priority="125">
      <formula>AND(B$9&gt;=8/24,B$9&lt;14/24)</formula>
    </cfRule>
    <cfRule type="expression" dxfId="7994" priority="126">
      <formula>B$9&lt;8/24</formula>
    </cfRule>
  </conditionalFormatting>
  <conditionalFormatting sqref="B47 B67:D69">
    <cfRule type="expression" dxfId="7993" priority="122">
      <formula>B47&gt;$AG47</formula>
    </cfRule>
  </conditionalFormatting>
  <conditionalFormatting sqref="B97 B88:C88">
    <cfRule type="expression" dxfId="7992" priority="118">
      <formula>B$9&gt;=20/24</formula>
    </cfRule>
    <cfRule type="expression" dxfId="7991" priority="119">
      <formula>AND(B$9&gt;=14/24,B$9&lt;20/24)</formula>
    </cfRule>
    <cfRule type="expression" dxfId="7990" priority="120">
      <formula>AND(B$9&gt;=8/24,B$9&lt;14/24)</formula>
    </cfRule>
    <cfRule type="expression" dxfId="7989" priority="121">
      <formula>B$9&lt;8/24</formula>
    </cfRule>
  </conditionalFormatting>
  <conditionalFormatting sqref="B46:Q46">
    <cfRule type="expression" dxfId="7988" priority="114">
      <formula>B$9&gt;=20/24</formula>
    </cfRule>
    <cfRule type="expression" dxfId="7987" priority="115">
      <formula>AND(B$9&gt;=14/24,B$9&lt;20/24)</formula>
    </cfRule>
    <cfRule type="expression" dxfId="7986" priority="116">
      <formula>AND(B$9&gt;=8/24,B$9&lt;14/24)</formula>
    </cfRule>
    <cfRule type="expression" dxfId="7985" priority="117">
      <formula>B$9&lt;8/24</formula>
    </cfRule>
  </conditionalFormatting>
  <conditionalFormatting sqref="B46:Q46">
    <cfRule type="expression" dxfId="7984" priority="113">
      <formula>B46&gt;$AG46</formula>
    </cfRule>
  </conditionalFormatting>
  <conditionalFormatting sqref="B58:G58">
    <cfRule type="expression" dxfId="7983" priority="109">
      <formula>B$9&gt;=20/24</formula>
    </cfRule>
    <cfRule type="expression" dxfId="7982" priority="110">
      <formula>AND(B$9&gt;=14/24,B$9&lt;20/24)</formula>
    </cfRule>
    <cfRule type="expression" dxfId="7981" priority="111">
      <formula>AND(B$9&gt;=8/24,B$9&lt;14/24)</formula>
    </cfRule>
    <cfRule type="expression" dxfId="7980" priority="112">
      <formula>B$9&lt;8/24</formula>
    </cfRule>
  </conditionalFormatting>
  <conditionalFormatting sqref="B58:G58">
    <cfRule type="expression" dxfId="7979" priority="108">
      <formula>B58&gt;$AG58</formula>
    </cfRule>
  </conditionalFormatting>
  <conditionalFormatting sqref="B91:B95">
    <cfRule type="expression" dxfId="7978" priority="104">
      <formula>B$9&gt;=20/24</formula>
    </cfRule>
    <cfRule type="expression" dxfId="7977" priority="105">
      <formula>AND(B$9&gt;=14/24,B$9&lt;20/24)</formula>
    </cfRule>
    <cfRule type="expression" dxfId="7976" priority="106">
      <formula>AND(B$9&gt;=8/24,B$9&lt;14/24)</formula>
    </cfRule>
    <cfRule type="expression" dxfId="7975" priority="107">
      <formula>B$9&lt;8/24</formula>
    </cfRule>
  </conditionalFormatting>
  <conditionalFormatting sqref="B49:G51">
    <cfRule type="expression" dxfId="7974" priority="99">
      <formula>B49&gt;$AG49</formula>
    </cfRule>
  </conditionalFormatting>
  <conditionalFormatting sqref="B107">
    <cfRule type="expression" dxfId="7973" priority="95">
      <formula>B$9&gt;=20/24</formula>
    </cfRule>
    <cfRule type="expression" dxfId="7972" priority="96">
      <formula>AND(B$9&gt;=14/24,B$9&lt;20/24)</formula>
    </cfRule>
    <cfRule type="expression" dxfId="7971" priority="97">
      <formula>AND(B$9&gt;=8/24,B$9&lt;14/24)</formula>
    </cfRule>
    <cfRule type="expression" dxfId="7970" priority="98">
      <formula>B$9&lt;8/24</formula>
    </cfRule>
  </conditionalFormatting>
  <conditionalFormatting sqref="B110">
    <cfRule type="expression" dxfId="7969" priority="91">
      <formula>B$9&gt;=20/24</formula>
    </cfRule>
    <cfRule type="expression" dxfId="7968" priority="92">
      <formula>AND(B$9&gt;=14/24,B$9&lt;20/24)</formula>
    </cfRule>
    <cfRule type="expression" dxfId="7967" priority="93">
      <formula>AND(B$9&gt;=8/24,B$9&lt;14/24)</formula>
    </cfRule>
    <cfRule type="expression" dxfId="7966" priority="94">
      <formula>B$9&lt;8/24</formula>
    </cfRule>
  </conditionalFormatting>
  <conditionalFormatting sqref="B83:B85 B75:D76">
    <cfRule type="expression" dxfId="7965" priority="87">
      <formula>B$9&gt;=20/24</formula>
    </cfRule>
    <cfRule type="expression" dxfId="7964" priority="88">
      <formula>AND(B$9&gt;=14/24,B$9&lt;20/24)</formula>
    </cfRule>
    <cfRule type="expression" dxfId="7963" priority="89">
      <formula>AND(B$9&gt;=8/24,B$9&lt;14/24)</formula>
    </cfRule>
    <cfRule type="expression" dxfId="7962" priority="90">
      <formula>B$9&lt;8/24</formula>
    </cfRule>
  </conditionalFormatting>
  <conditionalFormatting sqref="B89 B98 B87 B70:AF70">
    <cfRule type="expression" dxfId="7961" priority="83">
      <formula>B$9&gt;=20/24</formula>
    </cfRule>
    <cfRule type="expression" dxfId="7960" priority="84">
      <formula>AND(B$9&gt;=14/24,B$9&lt;20/24)</formula>
    </cfRule>
    <cfRule type="expression" dxfId="7959" priority="85">
      <formula>AND(B$9&gt;=8/24,B$9&lt;14/24)</formula>
    </cfRule>
    <cfRule type="expression" dxfId="7958" priority="86">
      <formula>B$9&lt;8/24</formula>
    </cfRule>
  </conditionalFormatting>
  <conditionalFormatting sqref="B48 B65:B66 B70:AF70">
    <cfRule type="expression" dxfId="7957" priority="82">
      <formula>B48&gt;$AG48</formula>
    </cfRule>
  </conditionalFormatting>
  <conditionalFormatting sqref="B82">
    <cfRule type="expression" dxfId="7956" priority="78">
      <formula>B$9&gt;=20/24</formula>
    </cfRule>
    <cfRule type="expression" dxfId="7955" priority="79">
      <formula>AND(B$9&gt;=14/24,B$9&lt;20/24)</formula>
    </cfRule>
    <cfRule type="expression" dxfId="7954" priority="80">
      <formula>AND(B$9&gt;=8/24,B$9&lt;14/24)</formula>
    </cfRule>
    <cfRule type="expression" dxfId="7953" priority="81">
      <formula>B$9&lt;8/24</formula>
    </cfRule>
  </conditionalFormatting>
  <conditionalFormatting sqref="B52">
    <cfRule type="expression" dxfId="7952" priority="74">
      <formula>B$9&gt;=20/24</formula>
    </cfRule>
    <cfRule type="expression" dxfId="7951" priority="75">
      <formula>AND(B$9&gt;=14/24,B$9&lt;20/24)</formula>
    </cfRule>
    <cfRule type="expression" dxfId="7950" priority="76">
      <formula>AND(B$9&gt;=8/24,B$9&lt;14/24)</formula>
    </cfRule>
    <cfRule type="expression" dxfId="7949" priority="77">
      <formula>B$9&lt;8/24</formula>
    </cfRule>
  </conditionalFormatting>
  <conditionalFormatting sqref="B52">
    <cfRule type="expression" dxfId="7948" priority="73">
      <formula>B52&gt;$AG52</formula>
    </cfRule>
  </conditionalFormatting>
  <conditionalFormatting sqref="B59:D64 E60:J64 K61:Y64">
    <cfRule type="expression" dxfId="7947" priority="65">
      <formula>B$9&gt;=20/24</formula>
    </cfRule>
    <cfRule type="expression" dxfId="7946" priority="66">
      <formula>AND(B$9&gt;=14/24,B$9&lt;20/24)</formula>
    </cfRule>
    <cfRule type="expression" dxfId="7945" priority="67">
      <formula>AND(B$9&gt;=8/24,B$9&lt;14/24)</formula>
    </cfRule>
    <cfRule type="expression" dxfId="7944" priority="68">
      <formula>B$9&lt;8/24</formula>
    </cfRule>
  </conditionalFormatting>
  <conditionalFormatting sqref="B59:D64 E60:J64 K61:Y64">
    <cfRule type="expression" dxfId="7943" priority="64">
      <formula>B59&gt;$AG59</formula>
    </cfRule>
  </conditionalFormatting>
  <conditionalFormatting sqref="B77:D81">
    <cfRule type="expression" dxfId="7942" priority="60">
      <formula>B$9&gt;=20/24</formula>
    </cfRule>
    <cfRule type="expression" dxfId="7941" priority="61">
      <formula>AND(B$9&gt;=14/24,B$9&lt;20/24)</formula>
    </cfRule>
    <cfRule type="expression" dxfId="7940" priority="62">
      <formula>AND(B$9&gt;=8/24,B$9&lt;14/24)</formula>
    </cfRule>
    <cfRule type="expression" dxfId="7939" priority="63">
      <formula>B$9&lt;8/24</formula>
    </cfRule>
  </conditionalFormatting>
  <conditionalFormatting sqref="A11">
    <cfRule type="expression" dxfId="7938" priority="59">
      <formula>$AH11=0</formula>
    </cfRule>
  </conditionalFormatting>
  <conditionalFormatting sqref="Z11:AF11">
    <cfRule type="expression" dxfId="7937" priority="55">
      <formula>Z$9&gt;=20/24</formula>
    </cfRule>
    <cfRule type="expression" dxfId="7936" priority="56">
      <formula>AND(Z$9&gt;=14/24,Z$9&lt;20/24)</formula>
    </cfRule>
    <cfRule type="expression" dxfId="7935" priority="57">
      <formula>AND(Z$9&gt;=8/24,Z$9&lt;14/24)</formula>
    </cfRule>
    <cfRule type="expression" dxfId="7934" priority="58">
      <formula>Z$9&lt;8/24</formula>
    </cfRule>
  </conditionalFormatting>
  <conditionalFormatting sqref="Z11:AF11">
    <cfRule type="expression" dxfId="7933" priority="54">
      <formula>Z11&gt;$AG11</formula>
    </cfRule>
  </conditionalFormatting>
  <conditionalFormatting sqref="B11:Y11">
    <cfRule type="expression" dxfId="7932" priority="50">
      <formula>B$9&gt;=20/24</formula>
    </cfRule>
    <cfRule type="expression" dxfId="7931" priority="51">
      <formula>AND(B$9&gt;=14/24,B$9&lt;20/24)</formula>
    </cfRule>
    <cfRule type="expression" dxfId="7930" priority="52">
      <formula>AND(B$9&gt;=8/24,B$9&lt;14/24)</formula>
    </cfRule>
    <cfRule type="expression" dxfId="7929" priority="53">
      <formula>B$9&lt;8/24</formula>
    </cfRule>
  </conditionalFormatting>
  <conditionalFormatting sqref="B11:Y11">
    <cfRule type="expression" dxfId="7928" priority="49">
      <formula>B11&gt;$AG11</formula>
    </cfRule>
  </conditionalFormatting>
  <conditionalFormatting sqref="A16">
    <cfRule type="expression" dxfId="7927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7926" priority="43">
      <formula>Z$9&gt;=20/24</formula>
    </cfRule>
    <cfRule type="expression" dxfId="7925" priority="44">
      <formula>AND(Z$9&gt;=14/24,Z$9&lt;20/24)</formula>
    </cfRule>
    <cfRule type="expression" dxfId="7924" priority="45">
      <formula>AND(Z$9&gt;=8/24,Z$9&lt;14/24)</formula>
    </cfRule>
    <cfRule type="expression" dxfId="7923" priority="46">
      <formula>Z$9&lt;8/24</formula>
    </cfRule>
  </conditionalFormatting>
  <conditionalFormatting sqref="Z16:AF16">
    <cfRule type="expression" dxfId="7922" priority="42">
      <formula>Z16&gt;$AG16</formula>
    </cfRule>
  </conditionalFormatting>
  <conditionalFormatting sqref="B16:Y16">
    <cfRule type="expression" dxfId="7921" priority="38">
      <formula>B$9&gt;=20/24</formula>
    </cfRule>
    <cfRule type="expression" dxfId="7920" priority="39">
      <formula>AND(B$9&gt;=14/24,B$9&lt;20/24)</formula>
    </cfRule>
    <cfRule type="expression" dxfId="7919" priority="40">
      <formula>AND(B$9&gt;=8/24,B$9&lt;14/24)</formula>
    </cfRule>
    <cfRule type="expression" dxfId="7918" priority="41">
      <formula>B$9&lt;8/24</formula>
    </cfRule>
  </conditionalFormatting>
  <conditionalFormatting sqref="B16:Y16">
    <cfRule type="expression" dxfId="7917" priority="37">
      <formula>B16&gt;$AG16</formula>
    </cfRule>
  </conditionalFormatting>
  <conditionalFormatting sqref="A33">
    <cfRule type="expression" dxfId="7916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7915" priority="31">
      <formula>Z$9&gt;=20/24</formula>
    </cfRule>
    <cfRule type="expression" dxfId="7914" priority="32">
      <formula>AND(Z$9&gt;=14/24,Z$9&lt;20/24)</formula>
    </cfRule>
    <cfRule type="expression" dxfId="7913" priority="33">
      <formula>AND(Z$9&gt;=8/24,Z$9&lt;14/24)</formula>
    </cfRule>
    <cfRule type="expression" dxfId="7912" priority="34">
      <formula>Z$9&lt;8/24</formula>
    </cfRule>
  </conditionalFormatting>
  <conditionalFormatting sqref="Z33:AF33">
    <cfRule type="expression" dxfId="7911" priority="30">
      <formula>Z33&gt;$AG33</formula>
    </cfRule>
  </conditionalFormatting>
  <conditionalFormatting sqref="B33:Y33">
    <cfRule type="expression" dxfId="7910" priority="26">
      <formula>B$9&gt;=20/24</formula>
    </cfRule>
    <cfRule type="expression" dxfId="7909" priority="27">
      <formula>AND(B$9&gt;=14/24,B$9&lt;20/24)</formula>
    </cfRule>
    <cfRule type="expression" dxfId="7908" priority="28">
      <formula>AND(B$9&gt;=8/24,B$9&lt;14/24)</formula>
    </cfRule>
    <cfRule type="expression" dxfId="7907" priority="29">
      <formula>B$9&lt;8/24</formula>
    </cfRule>
  </conditionalFormatting>
  <conditionalFormatting sqref="B33:Y33">
    <cfRule type="expression" dxfId="7906" priority="25">
      <formula>B33&gt;$AG33</formula>
    </cfRule>
  </conditionalFormatting>
  <conditionalFormatting sqref="A44">
    <cfRule type="expression" dxfId="7905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7904" priority="22">
      <formula>Z44&gt;$AG44</formula>
    </cfRule>
  </conditionalFormatting>
  <conditionalFormatting sqref="Z44:AF44">
    <cfRule type="expression" dxfId="7903" priority="18">
      <formula>Z$9&gt;=20/24</formula>
    </cfRule>
    <cfRule type="expression" dxfId="7902" priority="19">
      <formula>AND(Z$9&gt;=14/24,Z$9&lt;20/24)</formula>
    </cfRule>
    <cfRule type="expression" dxfId="7901" priority="20">
      <formula>AND(Z$9&gt;=8/24,Z$9&lt;14/24)</formula>
    </cfRule>
    <cfRule type="expression" dxfId="7900" priority="21">
      <formula>Z$9&lt;8/24</formula>
    </cfRule>
  </conditionalFormatting>
  <conditionalFormatting sqref="B44:Y44">
    <cfRule type="expression" dxfId="7899" priority="14">
      <formula>B$9&gt;=20/24</formula>
    </cfRule>
    <cfRule type="expression" dxfId="7898" priority="15">
      <formula>AND(B$9&gt;=14/24,B$9&lt;20/24)</formula>
    </cfRule>
    <cfRule type="expression" dxfId="7897" priority="16">
      <formula>AND(B$9&gt;=8/24,B$9&lt;14/24)</formula>
    </cfRule>
    <cfRule type="expression" dxfId="7896" priority="17">
      <formula>B$9&lt;8/24</formula>
    </cfRule>
  </conditionalFormatting>
  <conditionalFormatting sqref="B44:Y44">
    <cfRule type="expression" dxfId="7895" priority="13">
      <formula>B44&gt;$AG44</formula>
    </cfRule>
  </conditionalFormatting>
  <conditionalFormatting sqref="B117">
    <cfRule type="expression" dxfId="7894" priority="1">
      <formula>B$9&gt;=20/24</formula>
    </cfRule>
    <cfRule type="expression" dxfId="7893" priority="2">
      <formula>AND(B$9&gt;=14/24,B$9&lt;20/24)</formula>
    </cfRule>
    <cfRule type="expression" dxfId="7892" priority="3">
      <formula>AND(B$9&gt;=8/24,B$9&lt;14/24)</formula>
    </cfRule>
    <cfRule type="expression" dxfId="7891" priority="4">
      <formula>B$9&lt;8/24</formula>
    </cfRule>
  </conditionalFormatting>
  <conditionalFormatting sqref="D117:AF117">
    <cfRule type="expression" dxfId="7890" priority="9">
      <formula>D$9&gt;=20/24</formula>
    </cfRule>
    <cfRule type="expression" dxfId="7889" priority="10">
      <formula>AND(D$9&gt;=14/24,D$9&lt;20/24)</formula>
    </cfRule>
    <cfRule type="expression" dxfId="7888" priority="11">
      <formula>AND(D$9&gt;=8/24,D$9&lt;14/24)</formula>
    </cfRule>
    <cfRule type="expression" dxfId="7887" priority="12">
      <formula>D$9&lt;8/24</formula>
    </cfRule>
  </conditionalFormatting>
  <conditionalFormatting sqref="C117">
    <cfRule type="expression" dxfId="7886" priority="5">
      <formula>C$9&gt;=20/24</formula>
    </cfRule>
    <cfRule type="expression" dxfId="7885" priority="6">
      <formula>AND(C$9&gt;=14/24,C$9&lt;20/24)</formula>
    </cfRule>
    <cfRule type="expression" dxfId="7884" priority="7">
      <formula>AND(C$9&gt;=8/24,C$9&lt;14/24)</formula>
    </cfRule>
    <cfRule type="expression" dxfId="7883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B2833040-821F-473F-A0BA-9AD33AA7794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0BFFE367-E47B-4DA2-AC9F-AA59FE101E5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CE561776-845A-4B7F-96CF-7525619BEB3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C96DC72E-9BA0-4112-9D80-358B396D875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7E64055F-C858-48DF-9C65-A2DFB476977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0387A1AD-5AE9-4795-949D-C53C95D9E3F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E3D1E14C-3CDF-4D50-9AA5-0F4575C0881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132B88F8-0A5A-476B-87F5-BB469CB78C9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62" activePane="bottomLeft" state="frozen"/>
      <selection activeCell="Z85" sqref="Z85"/>
      <selection pane="bottomLeft" activeCell="M78" sqref="M78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990.68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2079/12/12</v>
      </c>
      <c r="C4" s="196"/>
      <c r="D4" s="196"/>
      <c r="E4" s="197" t="str">
        <f ca="1">"2079/"&amp;"12/"&amp;INT(MID(CELL("filename",G6),FIND("]",CELL("filename",G6))+1,200))</f>
        <v>2079/12/12</v>
      </c>
      <c r="F4" s="197"/>
      <c r="G4" s="197"/>
      <c r="H4" s="197" t="str">
        <f ca="1">TEXT(E4,"dddd")</f>
        <v>Tuesday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405</v>
      </c>
      <c r="C5" s="33">
        <f t="shared" si="0"/>
        <v>405.5</v>
      </c>
      <c r="D5" s="33">
        <f t="shared" si="0"/>
        <v>418.5</v>
      </c>
      <c r="E5" s="33">
        <f t="shared" si="0"/>
        <v>418.5</v>
      </c>
      <c r="F5" s="33">
        <f t="shared" si="0"/>
        <v>482.5</v>
      </c>
      <c r="G5" s="33">
        <f t="shared" si="0"/>
        <v>497.5</v>
      </c>
      <c r="H5" s="33">
        <f t="shared" si="0"/>
        <v>465.5</v>
      </c>
      <c r="I5" s="33">
        <f t="shared" si="0"/>
        <v>428.40000000000003</v>
      </c>
      <c r="J5" s="33">
        <f t="shared" si="0"/>
        <v>388</v>
      </c>
      <c r="K5" s="33">
        <f t="shared" si="0"/>
        <v>402.7</v>
      </c>
      <c r="L5" s="33">
        <f t="shared" si="0"/>
        <v>425.99999999999994</v>
      </c>
      <c r="M5" s="33">
        <f t="shared" si="0"/>
        <v>493.1</v>
      </c>
      <c r="N5" s="33">
        <f t="shared" si="0"/>
        <v>523.6</v>
      </c>
      <c r="O5" s="33">
        <f t="shared" si="0"/>
        <v>510.2</v>
      </c>
      <c r="P5" s="33">
        <f t="shared" si="0"/>
        <v>500</v>
      </c>
      <c r="Q5" s="33">
        <f t="shared" si="0"/>
        <v>497.00000000000006</v>
      </c>
      <c r="R5" s="33">
        <f t="shared" si="0"/>
        <v>506.6</v>
      </c>
      <c r="S5" s="33">
        <f t="shared" si="0"/>
        <v>518</v>
      </c>
      <c r="T5" s="33">
        <f t="shared" si="0"/>
        <v>501</v>
      </c>
      <c r="U5" s="33">
        <f t="shared" si="0"/>
        <v>464.3</v>
      </c>
      <c r="V5" s="33">
        <f t="shared" si="0"/>
        <v>482</v>
      </c>
      <c r="W5" s="33">
        <f t="shared" si="0"/>
        <v>481.20000000000005</v>
      </c>
      <c r="X5" s="33">
        <f t="shared" si="0"/>
        <v>481.7</v>
      </c>
      <c r="Y5" s="33">
        <f t="shared" si="0"/>
        <v>422</v>
      </c>
      <c r="Z5" s="33">
        <f t="shared" si="0"/>
        <v>419</v>
      </c>
      <c r="AA5" s="33">
        <f t="shared" si="0"/>
        <v>403.09999999999997</v>
      </c>
      <c r="AB5" s="33">
        <f t="shared" si="0"/>
        <v>424.70000000000005</v>
      </c>
      <c r="AC5" s="33">
        <f t="shared" si="0"/>
        <v>421.79999999999995</v>
      </c>
      <c r="AD5" s="33">
        <f t="shared" si="0"/>
        <v>429.90000000000003</v>
      </c>
      <c r="AE5" s="33">
        <f t="shared" si="0"/>
        <v>434.70000000000005</v>
      </c>
      <c r="AF5" s="33">
        <f>B82</f>
        <v>406.09999999999997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1371MW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1586.59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Load=945</v>
      </c>
      <c r="B7" s="38">
        <f t="shared" ref="B7:AF7" si="1">B89</f>
        <v>1050.1400000000001</v>
      </c>
      <c r="C7" s="38">
        <f t="shared" si="1"/>
        <v>995.74</v>
      </c>
      <c r="D7" s="38">
        <f t="shared" si="1"/>
        <v>984.34</v>
      </c>
      <c r="E7" s="38">
        <f t="shared" si="1"/>
        <v>956.34</v>
      </c>
      <c r="F7" s="38">
        <f t="shared" si="1"/>
        <v>945.34</v>
      </c>
      <c r="G7" s="38">
        <f t="shared" si="1"/>
        <v>999.34</v>
      </c>
      <c r="H7" s="38">
        <f t="shared" si="1"/>
        <v>1053.3400000000001</v>
      </c>
      <c r="I7" s="38">
        <f t="shared" si="1"/>
        <v>1021.34</v>
      </c>
      <c r="J7" s="38">
        <f t="shared" si="1"/>
        <v>1065.1400000000001</v>
      </c>
      <c r="K7" s="38">
        <f t="shared" si="1"/>
        <v>1279.74</v>
      </c>
      <c r="L7" s="38">
        <f t="shared" si="1"/>
        <v>1353.44</v>
      </c>
      <c r="M7" s="38">
        <f t="shared" si="1"/>
        <v>1370.64</v>
      </c>
      <c r="N7" s="38">
        <f>N89</f>
        <v>1283.74</v>
      </c>
      <c r="O7" s="38">
        <f t="shared" si="1"/>
        <v>1302.24</v>
      </c>
      <c r="P7" s="38">
        <f t="shared" si="1"/>
        <v>1278.3399999999999</v>
      </c>
      <c r="Q7" s="38">
        <f t="shared" si="1"/>
        <v>1282.54</v>
      </c>
      <c r="R7" s="38">
        <f t="shared" si="1"/>
        <v>1254.8400000000001</v>
      </c>
      <c r="S7" s="38">
        <f t="shared" si="1"/>
        <v>1266.74</v>
      </c>
      <c r="T7" s="38">
        <f t="shared" si="1"/>
        <v>1268.1399999999999</v>
      </c>
      <c r="U7" s="38">
        <f t="shared" si="1"/>
        <v>1272.94</v>
      </c>
      <c r="V7" s="38">
        <f t="shared" si="1"/>
        <v>1210.94</v>
      </c>
      <c r="W7" s="38">
        <f t="shared" si="1"/>
        <v>1207.3399999999999</v>
      </c>
      <c r="X7" s="38">
        <f t="shared" si="1"/>
        <v>1290.94</v>
      </c>
      <c r="Y7" s="38">
        <f t="shared" si="1"/>
        <v>1404.54</v>
      </c>
      <c r="Z7" s="38">
        <f t="shared" si="1"/>
        <v>1560.64</v>
      </c>
      <c r="AA7" s="38">
        <f t="shared" si="1"/>
        <v>1471.8400000000001</v>
      </c>
      <c r="AB7" s="38">
        <f t="shared" si="1"/>
        <v>1460.14</v>
      </c>
      <c r="AC7" s="38">
        <f t="shared" si="1"/>
        <v>1488.7400000000002</v>
      </c>
      <c r="AD7" s="38">
        <f t="shared" si="1"/>
        <v>1376.44</v>
      </c>
      <c r="AE7" s="38">
        <f t="shared" si="1"/>
        <v>1222.3400000000001</v>
      </c>
      <c r="AF7" s="38">
        <f t="shared" si="1"/>
        <v>1159.94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28</v>
      </c>
      <c r="C11" s="50">
        <v>28</v>
      </c>
      <c r="D11" s="50">
        <v>28</v>
      </c>
      <c r="E11" s="50">
        <v>28</v>
      </c>
      <c r="F11" s="50">
        <v>28</v>
      </c>
      <c r="G11" s="50">
        <v>28</v>
      </c>
      <c r="H11" s="50">
        <v>28</v>
      </c>
      <c r="I11" s="50">
        <v>28</v>
      </c>
      <c r="J11" s="50">
        <v>28</v>
      </c>
      <c r="K11" s="50">
        <v>28</v>
      </c>
      <c r="L11" s="50">
        <v>28</v>
      </c>
      <c r="M11" s="50">
        <v>28</v>
      </c>
      <c r="N11" s="50">
        <v>28</v>
      </c>
      <c r="O11" s="50">
        <v>28</v>
      </c>
      <c r="P11" s="50">
        <v>28</v>
      </c>
      <c r="Q11" s="50">
        <v>28</v>
      </c>
      <c r="R11" s="50">
        <v>28</v>
      </c>
      <c r="S11" s="50">
        <v>28</v>
      </c>
      <c r="T11" s="50">
        <v>28</v>
      </c>
      <c r="U11" s="50">
        <v>28</v>
      </c>
      <c r="V11" s="50">
        <v>28</v>
      </c>
      <c r="W11" s="50">
        <v>28</v>
      </c>
      <c r="X11" s="50">
        <v>28</v>
      </c>
      <c r="Y11" s="50">
        <v>28</v>
      </c>
      <c r="Z11" s="50">
        <v>28</v>
      </c>
      <c r="AA11" s="50">
        <v>28</v>
      </c>
      <c r="AB11" s="50">
        <v>28</v>
      </c>
      <c r="AC11" s="50">
        <v>28</v>
      </c>
      <c r="AD11" s="50">
        <v>28</v>
      </c>
      <c r="AE11" s="50">
        <v>28</v>
      </c>
      <c r="AF11" s="50">
        <v>28</v>
      </c>
      <c r="AG11" s="51">
        <v>86</v>
      </c>
      <c r="AH11" s="52">
        <f t="shared" ref="AH11:AH74" si="2">MAX(B11:AF11)</f>
        <v>28</v>
      </c>
      <c r="AI11" s="53">
        <f t="shared" ref="AI11:AI74" si="3">MIN(B11:AF11)</f>
        <v>28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19</v>
      </c>
      <c r="C12" s="50">
        <v>19</v>
      </c>
      <c r="D12" s="50">
        <v>19</v>
      </c>
      <c r="E12" s="50">
        <v>19</v>
      </c>
      <c r="F12" s="50">
        <v>19</v>
      </c>
      <c r="G12" s="50">
        <v>19</v>
      </c>
      <c r="H12" s="50">
        <v>19</v>
      </c>
      <c r="I12" s="50">
        <v>19</v>
      </c>
      <c r="J12" s="50">
        <v>19</v>
      </c>
      <c r="K12" s="50">
        <v>19</v>
      </c>
      <c r="L12" s="50">
        <v>19</v>
      </c>
      <c r="M12" s="50">
        <v>19</v>
      </c>
      <c r="N12" s="50">
        <v>19</v>
      </c>
      <c r="O12" s="50">
        <v>19</v>
      </c>
      <c r="P12" s="50">
        <v>19</v>
      </c>
      <c r="Q12" s="50">
        <v>19</v>
      </c>
      <c r="R12" s="50">
        <v>19</v>
      </c>
      <c r="S12" s="50">
        <v>14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14</v>
      </c>
      <c r="AA12" s="50">
        <v>14</v>
      </c>
      <c r="AB12" s="50">
        <v>7.6</v>
      </c>
      <c r="AC12" s="50">
        <v>7.7</v>
      </c>
      <c r="AD12" s="50">
        <v>7.7</v>
      </c>
      <c r="AE12" s="50">
        <v>7.7</v>
      </c>
      <c r="AF12" s="50">
        <v>7.7</v>
      </c>
      <c r="AG12" s="51">
        <v>52.4</v>
      </c>
      <c r="AH12" s="52">
        <f t="shared" si="2"/>
        <v>19</v>
      </c>
      <c r="AI12" s="53">
        <f t="shared" si="3"/>
        <v>7.6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15.6</v>
      </c>
      <c r="C14" s="50">
        <v>15.6</v>
      </c>
      <c r="D14" s="50">
        <v>15.6</v>
      </c>
      <c r="E14" s="50">
        <v>15.6</v>
      </c>
      <c r="F14" s="50">
        <v>15.6</v>
      </c>
      <c r="G14" s="50">
        <v>15.6</v>
      </c>
      <c r="H14" s="50">
        <v>15.6</v>
      </c>
      <c r="I14" s="50">
        <v>15.6</v>
      </c>
      <c r="J14" s="50">
        <v>15.6</v>
      </c>
      <c r="K14" s="50">
        <v>15.6</v>
      </c>
      <c r="L14" s="50">
        <v>15.6</v>
      </c>
      <c r="M14" s="50">
        <v>16.100000000000001</v>
      </c>
      <c r="N14" s="50">
        <v>16.100000000000001</v>
      </c>
      <c r="O14" s="50">
        <v>16.100000000000001</v>
      </c>
      <c r="P14" s="50">
        <v>16.100000000000001</v>
      </c>
      <c r="Q14" s="50">
        <v>16.100000000000001</v>
      </c>
      <c r="R14" s="50">
        <v>16.100000000000001</v>
      </c>
      <c r="S14" s="50">
        <v>14.8</v>
      </c>
      <c r="T14" s="50">
        <v>14.8</v>
      </c>
      <c r="U14" s="50">
        <v>14.8</v>
      </c>
      <c r="V14" s="50">
        <v>14.8</v>
      </c>
      <c r="W14" s="50">
        <v>14.8</v>
      </c>
      <c r="X14" s="50">
        <v>14.8</v>
      </c>
      <c r="Y14" s="50">
        <v>14.8</v>
      </c>
      <c r="Z14" s="50">
        <v>14.8</v>
      </c>
      <c r="AA14" s="50">
        <v>14.8</v>
      </c>
      <c r="AB14" s="50">
        <v>14.8</v>
      </c>
      <c r="AC14" s="50">
        <v>14.8</v>
      </c>
      <c r="AD14" s="50">
        <v>14.8</v>
      </c>
      <c r="AE14" s="50">
        <v>14.8</v>
      </c>
      <c r="AF14" s="50">
        <v>14.8</v>
      </c>
      <c r="AG14" s="55">
        <v>45</v>
      </c>
      <c r="AH14" s="52">
        <f t="shared" si="2"/>
        <v>16.100000000000001</v>
      </c>
      <c r="AI14" s="53">
        <f t="shared" si="3"/>
        <v>14.8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9.5</v>
      </c>
      <c r="C15" s="50">
        <v>9.5</v>
      </c>
      <c r="D15" s="50">
        <v>9.5</v>
      </c>
      <c r="E15" s="50">
        <v>9.5</v>
      </c>
      <c r="F15" s="50">
        <v>9.5</v>
      </c>
      <c r="G15" s="50">
        <v>9.5</v>
      </c>
      <c r="H15" s="50">
        <v>9.5</v>
      </c>
      <c r="I15" s="50">
        <v>9.5</v>
      </c>
      <c r="J15" s="50">
        <v>9.5</v>
      </c>
      <c r="K15" s="50">
        <v>9.5</v>
      </c>
      <c r="L15" s="50">
        <v>9.5</v>
      </c>
      <c r="M15" s="50">
        <v>9.6</v>
      </c>
      <c r="N15" s="50">
        <v>9.6</v>
      </c>
      <c r="O15" s="50">
        <v>9.6</v>
      </c>
      <c r="P15" s="50">
        <v>9.6</v>
      </c>
      <c r="Q15" s="50">
        <v>9.6</v>
      </c>
      <c r="R15" s="50">
        <v>9.6</v>
      </c>
      <c r="S15" s="50">
        <v>9.5</v>
      </c>
      <c r="T15" s="50">
        <v>9.5</v>
      </c>
      <c r="U15" s="50">
        <v>9.5</v>
      </c>
      <c r="V15" s="50">
        <v>9.5</v>
      </c>
      <c r="W15" s="50">
        <v>9.5</v>
      </c>
      <c r="X15" s="50">
        <v>9.5</v>
      </c>
      <c r="Y15" s="50">
        <v>9.5</v>
      </c>
      <c r="Z15" s="50">
        <v>9.5</v>
      </c>
      <c r="AA15" s="50">
        <v>9.5</v>
      </c>
      <c r="AB15" s="50">
        <v>9.5</v>
      </c>
      <c r="AC15" s="50">
        <v>9.5</v>
      </c>
      <c r="AD15" s="50">
        <v>9.5</v>
      </c>
      <c r="AE15" s="50">
        <v>9.5</v>
      </c>
      <c r="AF15" s="50">
        <v>9.5</v>
      </c>
      <c r="AG15" s="55">
        <v>42</v>
      </c>
      <c r="AH15" s="52">
        <f t="shared" si="2"/>
        <v>9.6</v>
      </c>
      <c r="AI15" s="53">
        <f t="shared" si="3"/>
        <v>9.5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7.6</v>
      </c>
      <c r="C18" s="50">
        <v>7.6</v>
      </c>
      <c r="D18" s="50">
        <v>7.6</v>
      </c>
      <c r="E18" s="50">
        <v>7.6</v>
      </c>
      <c r="F18" s="50">
        <v>7.6</v>
      </c>
      <c r="G18" s="50">
        <v>7.6</v>
      </c>
      <c r="H18" s="50">
        <v>7.6</v>
      </c>
      <c r="I18" s="50">
        <v>7.6</v>
      </c>
      <c r="J18" s="50">
        <v>7.6</v>
      </c>
      <c r="K18" s="50">
        <v>7.6</v>
      </c>
      <c r="L18" s="50">
        <v>7.6</v>
      </c>
      <c r="M18" s="50">
        <v>8.3000000000000007</v>
      </c>
      <c r="N18" s="50">
        <v>8.3000000000000007</v>
      </c>
      <c r="O18" s="50">
        <v>8.3000000000000007</v>
      </c>
      <c r="P18" s="50">
        <v>8.3000000000000007</v>
      </c>
      <c r="Q18" s="50">
        <v>8.3000000000000007</v>
      </c>
      <c r="R18" s="50">
        <v>8.3000000000000007</v>
      </c>
      <c r="S18" s="50">
        <v>8.3000000000000007</v>
      </c>
      <c r="T18" s="50">
        <v>8.3000000000000007</v>
      </c>
      <c r="U18" s="50">
        <v>8.3000000000000007</v>
      </c>
      <c r="V18" s="50">
        <v>8.3000000000000007</v>
      </c>
      <c r="W18" s="50">
        <v>8.3000000000000007</v>
      </c>
      <c r="X18" s="50">
        <v>8.3000000000000007</v>
      </c>
      <c r="Y18" s="50">
        <v>8.3000000000000007</v>
      </c>
      <c r="Z18" s="50">
        <v>8.3000000000000007</v>
      </c>
      <c r="AA18" s="50">
        <v>8.3000000000000007</v>
      </c>
      <c r="AB18" s="50">
        <v>8.3000000000000007</v>
      </c>
      <c r="AC18" s="50">
        <v>8.3000000000000007</v>
      </c>
      <c r="AD18" s="50">
        <v>8.3000000000000007</v>
      </c>
      <c r="AE18" s="50">
        <v>8.3000000000000007</v>
      </c>
      <c r="AF18" s="50">
        <v>8.3000000000000007</v>
      </c>
      <c r="AG18" s="56">
        <v>30</v>
      </c>
      <c r="AH18" s="52">
        <f t="shared" si="2"/>
        <v>8.3000000000000007</v>
      </c>
      <c r="AI18" s="53">
        <f t="shared" si="3"/>
        <v>7.6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15</v>
      </c>
      <c r="C19" s="50">
        <v>15</v>
      </c>
      <c r="D19" s="50">
        <v>15</v>
      </c>
      <c r="E19" s="50">
        <v>15</v>
      </c>
      <c r="F19" s="50">
        <v>15</v>
      </c>
      <c r="G19" s="50">
        <v>15</v>
      </c>
      <c r="H19" s="50">
        <v>15</v>
      </c>
      <c r="I19" s="50">
        <v>15</v>
      </c>
      <c r="J19" s="50">
        <v>15</v>
      </c>
      <c r="K19" s="50">
        <v>15</v>
      </c>
      <c r="L19" s="50">
        <v>15</v>
      </c>
      <c r="M19" s="50">
        <v>15</v>
      </c>
      <c r="N19" s="50">
        <v>15</v>
      </c>
      <c r="O19" s="50">
        <v>15</v>
      </c>
      <c r="P19" s="50">
        <v>15</v>
      </c>
      <c r="Q19" s="50">
        <v>15</v>
      </c>
      <c r="R19" s="50">
        <v>15</v>
      </c>
      <c r="S19" s="50">
        <v>15</v>
      </c>
      <c r="T19" s="50">
        <v>15</v>
      </c>
      <c r="U19" s="50">
        <v>15</v>
      </c>
      <c r="V19" s="50">
        <v>15</v>
      </c>
      <c r="W19" s="50">
        <v>15</v>
      </c>
      <c r="X19" s="50">
        <v>15</v>
      </c>
      <c r="Y19" s="50">
        <v>15</v>
      </c>
      <c r="Z19" s="50">
        <v>15</v>
      </c>
      <c r="AA19" s="50">
        <v>15</v>
      </c>
      <c r="AB19" s="50">
        <v>15</v>
      </c>
      <c r="AC19" s="50">
        <v>15</v>
      </c>
      <c r="AD19" s="50">
        <v>15</v>
      </c>
      <c r="AE19" s="50">
        <v>15</v>
      </c>
      <c r="AF19" s="50">
        <v>15</v>
      </c>
      <c r="AG19" s="55">
        <v>24.2</v>
      </c>
      <c r="AH19" s="52">
        <f t="shared" si="2"/>
        <v>15</v>
      </c>
      <c r="AI19" s="53">
        <f t="shared" si="3"/>
        <v>15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12</v>
      </c>
      <c r="N20" s="50">
        <v>12</v>
      </c>
      <c r="O20" s="50">
        <v>12</v>
      </c>
      <c r="P20" s="50">
        <v>12</v>
      </c>
      <c r="Q20" s="50">
        <v>12</v>
      </c>
      <c r="R20" s="50">
        <v>12</v>
      </c>
      <c r="S20" s="50">
        <v>12</v>
      </c>
      <c r="T20" s="50">
        <v>12</v>
      </c>
      <c r="U20" s="50">
        <v>12</v>
      </c>
      <c r="V20" s="50">
        <v>12</v>
      </c>
      <c r="W20" s="50">
        <v>12</v>
      </c>
      <c r="X20" s="50">
        <v>12</v>
      </c>
      <c r="Y20" s="50">
        <v>12</v>
      </c>
      <c r="Z20" s="50">
        <v>12</v>
      </c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12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12.4</v>
      </c>
      <c r="C22" s="50">
        <v>12.4</v>
      </c>
      <c r="D22" s="50">
        <v>12.4</v>
      </c>
      <c r="E22" s="50">
        <v>12.4</v>
      </c>
      <c r="F22" s="50">
        <v>12.4</v>
      </c>
      <c r="G22" s="50">
        <v>12.4</v>
      </c>
      <c r="H22" s="50">
        <v>12.4</v>
      </c>
      <c r="I22" s="50">
        <v>12.4</v>
      </c>
      <c r="J22" s="50">
        <v>12.4</v>
      </c>
      <c r="K22" s="50">
        <v>12.4</v>
      </c>
      <c r="L22" s="50">
        <v>12.4</v>
      </c>
      <c r="M22" s="50">
        <v>12.4</v>
      </c>
      <c r="N22" s="50">
        <v>12.4</v>
      </c>
      <c r="O22" s="50">
        <v>12.4</v>
      </c>
      <c r="P22" s="50">
        <v>12.4</v>
      </c>
      <c r="Q22" s="50">
        <v>12.4</v>
      </c>
      <c r="R22" s="50">
        <v>12.4</v>
      </c>
      <c r="S22" s="50">
        <v>12.4</v>
      </c>
      <c r="T22" s="50">
        <v>12.4</v>
      </c>
      <c r="U22" s="50">
        <v>12.4</v>
      </c>
      <c r="V22" s="50">
        <v>12.4</v>
      </c>
      <c r="W22" s="50">
        <v>12.4</v>
      </c>
      <c r="X22" s="50">
        <v>12.4</v>
      </c>
      <c r="Y22" s="50">
        <v>12.4</v>
      </c>
      <c r="Z22" s="50">
        <v>12.4</v>
      </c>
      <c r="AA22" s="50">
        <v>12.4</v>
      </c>
      <c r="AB22" s="50">
        <v>12.4</v>
      </c>
      <c r="AC22" s="50">
        <v>12.4</v>
      </c>
      <c r="AD22" s="50">
        <v>12.4</v>
      </c>
      <c r="AE22" s="50">
        <v>12.4</v>
      </c>
      <c r="AF22" s="50">
        <v>12.4</v>
      </c>
      <c r="AG22" s="55">
        <v>25</v>
      </c>
      <c r="AH22" s="52">
        <f t="shared" si="2"/>
        <v>12.4</v>
      </c>
      <c r="AI22" s="53">
        <f t="shared" si="3"/>
        <v>12.4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8.1999999999999993</v>
      </c>
      <c r="C26" s="50">
        <v>8.1999999999999993</v>
      </c>
      <c r="D26" s="50">
        <v>8.1999999999999993</v>
      </c>
      <c r="E26" s="50">
        <v>8.1999999999999993</v>
      </c>
      <c r="F26" s="50">
        <v>8.1999999999999993</v>
      </c>
      <c r="G26" s="50">
        <v>8.1999999999999993</v>
      </c>
      <c r="H26" s="50">
        <v>8.1999999999999993</v>
      </c>
      <c r="I26" s="50">
        <v>8.1999999999999993</v>
      </c>
      <c r="J26" s="50">
        <v>8.1999999999999993</v>
      </c>
      <c r="K26" s="50">
        <v>8.1999999999999993</v>
      </c>
      <c r="L26" s="50">
        <v>8.1999999999999993</v>
      </c>
      <c r="M26" s="50">
        <v>8.1999999999999993</v>
      </c>
      <c r="N26" s="50">
        <v>8.1999999999999993</v>
      </c>
      <c r="O26" s="50">
        <v>8.1999999999999993</v>
      </c>
      <c r="P26" s="50">
        <v>8.1999999999999993</v>
      </c>
      <c r="Q26" s="50">
        <v>8.1999999999999993</v>
      </c>
      <c r="R26" s="50">
        <v>8.1999999999999993</v>
      </c>
      <c r="S26" s="50">
        <v>8.1999999999999993</v>
      </c>
      <c r="T26" s="50">
        <v>8.1999999999999993</v>
      </c>
      <c r="U26" s="50">
        <v>8.1999999999999993</v>
      </c>
      <c r="V26" s="50">
        <v>8.1999999999999993</v>
      </c>
      <c r="W26" s="50">
        <v>8.1999999999999993</v>
      </c>
      <c r="X26" s="50">
        <v>8.1999999999999993</v>
      </c>
      <c r="Y26" s="50">
        <v>8.1999999999999993</v>
      </c>
      <c r="Z26" s="50">
        <v>8.1999999999999993</v>
      </c>
      <c r="AA26" s="50">
        <v>8.1999999999999993</v>
      </c>
      <c r="AB26" s="50">
        <v>8.1999999999999993</v>
      </c>
      <c r="AC26" s="50">
        <v>8.1999999999999993</v>
      </c>
      <c r="AD26" s="50">
        <v>8.1999999999999993</v>
      </c>
      <c r="AE26" s="50">
        <v>8.1999999999999993</v>
      </c>
      <c r="AF26" s="50">
        <v>8.1999999999999993</v>
      </c>
      <c r="AG26" s="55">
        <v>23.5</v>
      </c>
      <c r="AH26" s="52">
        <f t="shared" si="2"/>
        <v>8.1999999999999993</v>
      </c>
      <c r="AI26" s="53">
        <f t="shared" si="3"/>
        <v>8.1999999999999993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7</v>
      </c>
      <c r="T27" s="50">
        <v>7</v>
      </c>
      <c r="U27" s="50">
        <v>7</v>
      </c>
      <c r="V27" s="50">
        <v>7</v>
      </c>
      <c r="W27" s="50">
        <v>7</v>
      </c>
      <c r="X27" s="50">
        <v>7</v>
      </c>
      <c r="Y27" s="50">
        <v>7</v>
      </c>
      <c r="Z27" s="50">
        <v>7</v>
      </c>
      <c r="AA27" s="50">
        <v>7</v>
      </c>
      <c r="AB27" s="50">
        <v>7</v>
      </c>
      <c r="AC27" s="50">
        <v>7</v>
      </c>
      <c r="AD27" s="50">
        <v>7</v>
      </c>
      <c r="AE27" s="50">
        <v>7</v>
      </c>
      <c r="AF27" s="50">
        <v>7</v>
      </c>
      <c r="AG27" s="55">
        <v>22.2</v>
      </c>
      <c r="AH27" s="52">
        <f t="shared" si="2"/>
        <v>7</v>
      </c>
      <c r="AI27" s="53">
        <f t="shared" si="3"/>
        <v>7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11.5</v>
      </c>
      <c r="C30" s="50">
        <v>11.5</v>
      </c>
      <c r="D30" s="50">
        <v>11.5</v>
      </c>
      <c r="E30" s="50">
        <v>11.5</v>
      </c>
      <c r="F30" s="50">
        <v>11.5</v>
      </c>
      <c r="G30" s="50">
        <v>11.5</v>
      </c>
      <c r="H30" s="50">
        <v>11.5</v>
      </c>
      <c r="I30" s="50">
        <v>11.5</v>
      </c>
      <c r="J30" s="50">
        <v>11.5</v>
      </c>
      <c r="K30" s="50">
        <v>11.5</v>
      </c>
      <c r="L30" s="50">
        <v>11.5</v>
      </c>
      <c r="M30" s="50">
        <v>11.5</v>
      </c>
      <c r="N30" s="50">
        <v>11.5</v>
      </c>
      <c r="O30" s="50">
        <v>11.5</v>
      </c>
      <c r="P30" s="50">
        <v>11.5</v>
      </c>
      <c r="Q30" s="50">
        <v>11.5</v>
      </c>
      <c r="R30" s="50">
        <v>11.5</v>
      </c>
      <c r="S30" s="50">
        <v>11.5</v>
      </c>
      <c r="T30" s="50">
        <v>11.5</v>
      </c>
      <c r="U30" s="50">
        <v>11.5</v>
      </c>
      <c r="V30" s="50">
        <v>11.5</v>
      </c>
      <c r="W30" s="50">
        <v>11.5</v>
      </c>
      <c r="X30" s="50">
        <v>11.5</v>
      </c>
      <c r="Y30" s="50">
        <v>11.5</v>
      </c>
      <c r="Z30" s="50">
        <v>11.5</v>
      </c>
      <c r="AA30" s="50">
        <v>11.5</v>
      </c>
      <c r="AB30" s="50">
        <v>11.5</v>
      </c>
      <c r="AC30" s="50">
        <v>11.5</v>
      </c>
      <c r="AD30" s="50">
        <v>11.5</v>
      </c>
      <c r="AE30" s="50">
        <v>11.5</v>
      </c>
      <c r="AF30" s="50">
        <v>11.5</v>
      </c>
      <c r="AG30" s="55">
        <v>22</v>
      </c>
      <c r="AH30" s="52">
        <f t="shared" si="2"/>
        <v>11.5</v>
      </c>
      <c r="AI30" s="53">
        <f t="shared" si="3"/>
        <v>11.5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12</v>
      </c>
      <c r="C38" s="50">
        <v>12</v>
      </c>
      <c r="D38" s="50">
        <v>12</v>
      </c>
      <c r="E38" s="50">
        <v>12</v>
      </c>
      <c r="F38" s="50">
        <v>12</v>
      </c>
      <c r="G38" s="50">
        <v>12</v>
      </c>
      <c r="H38" s="50">
        <v>12</v>
      </c>
      <c r="I38" s="50">
        <v>12</v>
      </c>
      <c r="J38" s="50">
        <v>12</v>
      </c>
      <c r="K38" s="50">
        <v>12</v>
      </c>
      <c r="L38" s="50">
        <v>12</v>
      </c>
      <c r="M38" s="50">
        <v>12</v>
      </c>
      <c r="N38" s="50">
        <v>12</v>
      </c>
      <c r="O38" s="50">
        <v>12</v>
      </c>
      <c r="P38" s="50">
        <v>12</v>
      </c>
      <c r="Q38" s="50">
        <v>12</v>
      </c>
      <c r="R38" s="50">
        <v>12</v>
      </c>
      <c r="S38" s="50">
        <v>12</v>
      </c>
      <c r="T38" s="50">
        <v>12</v>
      </c>
      <c r="U38" s="50">
        <v>12</v>
      </c>
      <c r="V38" s="50">
        <v>12</v>
      </c>
      <c r="W38" s="50">
        <v>12</v>
      </c>
      <c r="X38" s="50">
        <v>12</v>
      </c>
      <c r="Y38" s="50">
        <v>12</v>
      </c>
      <c r="Z38" s="50">
        <v>12</v>
      </c>
      <c r="AA38" s="50">
        <v>12</v>
      </c>
      <c r="AB38" s="50">
        <v>12</v>
      </c>
      <c r="AC38" s="50">
        <v>12</v>
      </c>
      <c r="AD38" s="50">
        <v>12</v>
      </c>
      <c r="AE38" s="50">
        <v>12</v>
      </c>
      <c r="AF38" s="50">
        <v>12</v>
      </c>
      <c r="AG38" s="55">
        <v>12</v>
      </c>
      <c r="AH38" s="52">
        <f t="shared" si="2"/>
        <v>12</v>
      </c>
      <c r="AI38" s="53">
        <f t="shared" si="3"/>
        <v>12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4.9000000000000004</v>
      </c>
      <c r="C41" s="50">
        <v>4.9000000000000004</v>
      </c>
      <c r="D41" s="50">
        <v>4.9000000000000004</v>
      </c>
      <c r="E41" s="50">
        <v>4.9000000000000004</v>
      </c>
      <c r="F41" s="50">
        <v>4.9000000000000004</v>
      </c>
      <c r="G41" s="50">
        <v>4.9000000000000004</v>
      </c>
      <c r="H41" s="50">
        <v>4.9000000000000004</v>
      </c>
      <c r="I41" s="50">
        <v>4.9000000000000004</v>
      </c>
      <c r="J41" s="50">
        <v>4.9000000000000004</v>
      </c>
      <c r="K41" s="50">
        <v>4.9000000000000004</v>
      </c>
      <c r="L41" s="50">
        <v>4.9000000000000004</v>
      </c>
      <c r="M41" s="50">
        <v>4.9000000000000004</v>
      </c>
      <c r="N41" s="50">
        <v>4.9000000000000004</v>
      </c>
      <c r="O41" s="50">
        <v>4.9000000000000004</v>
      </c>
      <c r="P41" s="50">
        <v>4.9000000000000004</v>
      </c>
      <c r="Q41" s="50">
        <v>4.9000000000000004</v>
      </c>
      <c r="R41" s="50">
        <v>4.9000000000000004</v>
      </c>
      <c r="S41" s="50">
        <v>4.9000000000000004</v>
      </c>
      <c r="T41" s="50">
        <v>4.9000000000000004</v>
      </c>
      <c r="U41" s="50">
        <v>4.9000000000000004</v>
      </c>
      <c r="V41" s="50">
        <v>4.9000000000000004</v>
      </c>
      <c r="W41" s="50">
        <v>4.9000000000000004</v>
      </c>
      <c r="X41" s="50">
        <v>4.9000000000000004</v>
      </c>
      <c r="Y41" s="50">
        <v>4.9000000000000004</v>
      </c>
      <c r="Z41" s="50">
        <v>4.9000000000000004</v>
      </c>
      <c r="AA41" s="50">
        <v>4.9000000000000004</v>
      </c>
      <c r="AB41" s="50">
        <v>4.9000000000000004</v>
      </c>
      <c r="AC41" s="50">
        <v>4.9000000000000004</v>
      </c>
      <c r="AD41" s="50">
        <v>4.9000000000000004</v>
      </c>
      <c r="AE41" s="50">
        <v>4.9000000000000004</v>
      </c>
      <c r="AF41" s="50">
        <v>4.9000000000000004</v>
      </c>
      <c r="AG41" s="56">
        <v>11.88</v>
      </c>
      <c r="AH41" s="52">
        <f t="shared" si="2"/>
        <v>4.9000000000000004</v>
      </c>
      <c r="AI41" s="53">
        <f t="shared" si="3"/>
        <v>4.9000000000000004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200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358</v>
      </c>
      <c r="C48" s="67">
        <f t="shared" si="4"/>
        <v>358</v>
      </c>
      <c r="D48" s="67">
        <f t="shared" si="4"/>
        <v>358</v>
      </c>
      <c r="E48" s="67">
        <f t="shared" si="4"/>
        <v>358</v>
      </c>
      <c r="F48" s="67">
        <f t="shared" ref="F48:H48" si="5">SUM(F12:F46)</f>
        <v>358</v>
      </c>
      <c r="G48" s="67">
        <f t="shared" si="5"/>
        <v>358</v>
      </c>
      <c r="H48" s="67">
        <f t="shared" si="5"/>
        <v>358</v>
      </c>
      <c r="I48" s="67">
        <f t="shared" ref="I48:J48" si="6">SUM(I12:I46)</f>
        <v>358</v>
      </c>
      <c r="J48" s="67">
        <f t="shared" si="6"/>
        <v>358</v>
      </c>
      <c r="K48" s="67">
        <f t="shared" si="4"/>
        <v>358</v>
      </c>
      <c r="L48" s="67">
        <f t="shared" si="4"/>
        <v>358</v>
      </c>
      <c r="M48" s="67">
        <f t="shared" si="4"/>
        <v>359.3</v>
      </c>
      <c r="N48" s="67">
        <f t="shared" si="4"/>
        <v>359.3</v>
      </c>
      <c r="O48" s="67">
        <f t="shared" si="4"/>
        <v>359.3</v>
      </c>
      <c r="P48" s="67">
        <f t="shared" si="4"/>
        <v>359.3</v>
      </c>
      <c r="Q48" s="67">
        <f t="shared" si="4"/>
        <v>359.3</v>
      </c>
      <c r="R48" s="67">
        <f t="shared" si="4"/>
        <v>359.3</v>
      </c>
      <c r="S48" s="67">
        <f t="shared" si="4"/>
        <v>352.9</v>
      </c>
      <c r="T48" s="67">
        <f t="shared" si="4"/>
        <v>352.9</v>
      </c>
      <c r="U48" s="67">
        <f t="shared" si="4"/>
        <v>352.9</v>
      </c>
      <c r="V48" s="67">
        <f t="shared" si="4"/>
        <v>352.9</v>
      </c>
      <c r="W48" s="67">
        <f t="shared" si="4"/>
        <v>352.9</v>
      </c>
      <c r="X48" s="67">
        <f t="shared" si="4"/>
        <v>352.9</v>
      </c>
      <c r="Y48" s="67">
        <f t="shared" si="4"/>
        <v>352.9</v>
      </c>
      <c r="Z48" s="67">
        <f t="shared" si="4"/>
        <v>352.9</v>
      </c>
      <c r="AA48" s="67">
        <f t="shared" si="4"/>
        <v>352.9</v>
      </c>
      <c r="AB48" s="67">
        <f t="shared" si="4"/>
        <v>346.5</v>
      </c>
      <c r="AC48" s="67">
        <f t="shared" si="4"/>
        <v>346.6</v>
      </c>
      <c r="AD48" s="67">
        <f t="shared" si="4"/>
        <v>346.6</v>
      </c>
      <c r="AE48" s="67">
        <f t="shared" si="4"/>
        <v>346.6</v>
      </c>
      <c r="AF48" s="67">
        <f t="shared" si="4"/>
        <v>346.6</v>
      </c>
      <c r="AG48" s="68">
        <f t="shared" si="4"/>
        <v>990.68</v>
      </c>
      <c r="AH48" s="52">
        <f t="shared" si="2"/>
        <v>359.3</v>
      </c>
      <c r="AI48" s="53">
        <f t="shared" si="3"/>
        <v>346.5</v>
      </c>
      <c r="AK48" s="54"/>
    </row>
    <row r="49" spans="1:41" x14ac:dyDescent="0.25">
      <c r="A49" s="69" t="s">
        <v>53</v>
      </c>
      <c r="B49" s="50">
        <v>76</v>
      </c>
      <c r="C49" s="50">
        <v>70.599999999999994</v>
      </c>
      <c r="D49" s="50">
        <v>70</v>
      </c>
      <c r="E49" s="50">
        <v>45</v>
      </c>
      <c r="F49" s="50">
        <v>25</v>
      </c>
      <c r="G49" s="50">
        <v>15</v>
      </c>
      <c r="H49" s="50">
        <v>30</v>
      </c>
      <c r="I49" s="50">
        <v>30</v>
      </c>
      <c r="J49" s="50">
        <v>30</v>
      </c>
      <c r="K49" s="50">
        <v>90</v>
      </c>
      <c r="L49" s="50">
        <v>100</v>
      </c>
      <c r="M49" s="70">
        <v>100</v>
      </c>
      <c r="N49" s="70">
        <v>120</v>
      </c>
      <c r="O49" s="50">
        <v>50</v>
      </c>
      <c r="P49" s="50">
        <v>60</v>
      </c>
      <c r="Q49" s="50">
        <v>75</v>
      </c>
      <c r="R49" s="50">
        <v>50</v>
      </c>
      <c r="S49" s="50">
        <v>60</v>
      </c>
      <c r="T49" s="50">
        <v>50</v>
      </c>
      <c r="U49" s="50">
        <v>50</v>
      </c>
      <c r="V49" s="50">
        <v>20</v>
      </c>
      <c r="W49" s="50">
        <v>20</v>
      </c>
      <c r="X49" s="50">
        <v>50</v>
      </c>
      <c r="Y49" s="50">
        <v>80</v>
      </c>
      <c r="Z49" s="50">
        <v>200</v>
      </c>
      <c r="AA49" s="50">
        <v>160</v>
      </c>
      <c r="AB49" s="50">
        <v>190</v>
      </c>
      <c r="AC49" s="50">
        <v>190</v>
      </c>
      <c r="AD49" s="50">
        <v>190</v>
      </c>
      <c r="AE49" s="50">
        <v>120</v>
      </c>
      <c r="AF49" s="50">
        <v>120</v>
      </c>
      <c r="AG49" s="56">
        <v>456</v>
      </c>
      <c r="AH49" s="52">
        <f t="shared" si="2"/>
        <v>200</v>
      </c>
      <c r="AI49" s="53">
        <f t="shared" si="3"/>
        <v>15</v>
      </c>
      <c r="AK49" s="54"/>
    </row>
    <row r="50" spans="1:41" x14ac:dyDescent="0.25">
      <c r="A50" s="71" t="s">
        <v>54</v>
      </c>
      <c r="B50" s="72">
        <v>30</v>
      </c>
      <c r="C50" s="72">
        <v>30</v>
      </c>
      <c r="D50" s="72">
        <v>30</v>
      </c>
      <c r="E50" s="72">
        <v>30</v>
      </c>
      <c r="F50" s="72">
        <v>30</v>
      </c>
      <c r="G50" s="72">
        <v>30</v>
      </c>
      <c r="H50" s="72">
        <v>30</v>
      </c>
      <c r="I50" s="72">
        <v>30</v>
      </c>
      <c r="J50" s="72">
        <v>30</v>
      </c>
      <c r="K50" s="72">
        <v>30</v>
      </c>
      <c r="L50" s="72">
        <v>30</v>
      </c>
      <c r="M50" s="72">
        <v>30</v>
      </c>
      <c r="N50" s="72">
        <v>30</v>
      </c>
      <c r="O50" s="72">
        <v>30</v>
      </c>
      <c r="P50" s="72">
        <v>30</v>
      </c>
      <c r="Q50" s="72">
        <v>30</v>
      </c>
      <c r="R50" s="72">
        <v>30</v>
      </c>
      <c r="S50" s="72">
        <v>27.9</v>
      </c>
      <c r="T50" s="72">
        <v>27.9</v>
      </c>
      <c r="U50" s="72">
        <v>27.9</v>
      </c>
      <c r="V50" s="72">
        <v>27.9</v>
      </c>
      <c r="W50" s="72">
        <v>27.9</v>
      </c>
      <c r="X50" s="72">
        <v>27.9</v>
      </c>
      <c r="Y50" s="72">
        <v>27.9</v>
      </c>
      <c r="Z50" s="72">
        <v>27.9</v>
      </c>
      <c r="AA50" s="72">
        <v>27.9</v>
      </c>
      <c r="AB50" s="72">
        <v>27.9</v>
      </c>
      <c r="AC50" s="72">
        <v>27</v>
      </c>
      <c r="AD50" s="72">
        <v>27</v>
      </c>
      <c r="AE50" s="72">
        <v>27</v>
      </c>
      <c r="AF50" s="72">
        <v>27</v>
      </c>
      <c r="AG50" s="61">
        <v>60</v>
      </c>
      <c r="AH50" s="52">
        <f t="shared" si="2"/>
        <v>30</v>
      </c>
      <c r="AI50" s="53">
        <f t="shared" si="3"/>
        <v>27</v>
      </c>
      <c r="AK50" s="54"/>
    </row>
    <row r="51" spans="1:41" ht="15.75" thickBot="1" x14ac:dyDescent="0.3">
      <c r="A51" s="73" t="s">
        <v>55</v>
      </c>
      <c r="B51" s="74">
        <v>10.1</v>
      </c>
      <c r="C51" s="74">
        <v>10.1</v>
      </c>
      <c r="D51" s="74">
        <v>10.1</v>
      </c>
      <c r="E51" s="74">
        <v>10.1</v>
      </c>
      <c r="F51" s="74">
        <v>10.1</v>
      </c>
      <c r="G51" s="74">
        <v>10.1</v>
      </c>
      <c r="H51" s="74">
        <v>10.1</v>
      </c>
      <c r="I51" s="74">
        <v>10.1</v>
      </c>
      <c r="J51" s="74">
        <v>10.1</v>
      </c>
      <c r="K51" s="74">
        <v>10.1</v>
      </c>
      <c r="L51" s="74">
        <v>10.1</v>
      </c>
      <c r="M51" s="74">
        <v>10.1</v>
      </c>
      <c r="N51" s="74">
        <v>10.1</v>
      </c>
      <c r="O51" s="74">
        <v>10.1</v>
      </c>
      <c r="P51" s="74">
        <v>10.1</v>
      </c>
      <c r="Q51" s="74">
        <v>10.1</v>
      </c>
      <c r="R51" s="74">
        <v>10.1</v>
      </c>
      <c r="S51" s="74">
        <v>10.1</v>
      </c>
      <c r="T51" s="74">
        <v>10.1</v>
      </c>
      <c r="U51" s="74">
        <v>10.1</v>
      </c>
      <c r="V51" s="74">
        <v>10.1</v>
      </c>
      <c r="W51" s="74">
        <v>10.1</v>
      </c>
      <c r="X51" s="74">
        <v>10.1</v>
      </c>
      <c r="Y51" s="74">
        <v>10.1</v>
      </c>
      <c r="Z51" s="74">
        <v>10.1</v>
      </c>
      <c r="AA51" s="74">
        <v>10.1</v>
      </c>
      <c r="AB51" s="74">
        <v>10.1</v>
      </c>
      <c r="AC51" s="74">
        <v>10.1</v>
      </c>
      <c r="AD51" s="74">
        <v>10.1</v>
      </c>
      <c r="AE51" s="74">
        <v>10.1</v>
      </c>
      <c r="AF51" s="74">
        <v>10.1</v>
      </c>
      <c r="AG51" s="75">
        <v>22.1</v>
      </c>
      <c r="AH51" s="52">
        <f t="shared" si="2"/>
        <v>10.1</v>
      </c>
      <c r="AI51" s="53">
        <f t="shared" si="3"/>
        <v>10.1</v>
      </c>
      <c r="AK51" s="54"/>
    </row>
    <row r="52" spans="1:41" ht="15.75" thickBot="1" x14ac:dyDescent="0.3">
      <c r="A52" s="76" t="s">
        <v>56</v>
      </c>
      <c r="B52" s="67">
        <f t="shared" ref="B52:AG52" si="7">SUM(B49:B51)</f>
        <v>116.1</v>
      </c>
      <c r="C52" s="67">
        <f t="shared" si="7"/>
        <v>110.69999999999999</v>
      </c>
      <c r="D52" s="67">
        <f t="shared" si="7"/>
        <v>110.1</v>
      </c>
      <c r="E52" s="67">
        <f t="shared" si="7"/>
        <v>85.1</v>
      </c>
      <c r="F52" s="67">
        <f t="shared" si="7"/>
        <v>65.099999999999994</v>
      </c>
      <c r="G52" s="67">
        <f t="shared" ref="G52:H52" si="8">SUM(G49:G51)</f>
        <v>55.1</v>
      </c>
      <c r="H52" s="67">
        <f t="shared" si="8"/>
        <v>70.099999999999994</v>
      </c>
      <c r="I52" s="67">
        <f t="shared" ref="I52:J52" si="9">SUM(I49:I51)</f>
        <v>70.099999999999994</v>
      </c>
      <c r="J52" s="67">
        <f t="shared" si="9"/>
        <v>70.099999999999994</v>
      </c>
      <c r="K52" s="67">
        <f t="shared" si="7"/>
        <v>130.1</v>
      </c>
      <c r="L52" s="67">
        <f t="shared" si="7"/>
        <v>140.1</v>
      </c>
      <c r="M52" s="67">
        <f t="shared" si="7"/>
        <v>140.1</v>
      </c>
      <c r="N52" s="67">
        <f t="shared" si="7"/>
        <v>160.1</v>
      </c>
      <c r="O52" s="67">
        <f t="shared" si="7"/>
        <v>90.1</v>
      </c>
      <c r="P52" s="67">
        <f t="shared" si="7"/>
        <v>100.1</v>
      </c>
      <c r="Q52" s="67">
        <f t="shared" si="7"/>
        <v>115.1</v>
      </c>
      <c r="R52" s="67">
        <f t="shared" si="7"/>
        <v>90.1</v>
      </c>
      <c r="S52" s="67">
        <f t="shared" si="7"/>
        <v>98</v>
      </c>
      <c r="T52" s="67">
        <f t="shared" si="7"/>
        <v>88</v>
      </c>
      <c r="U52" s="67">
        <f t="shared" si="7"/>
        <v>88</v>
      </c>
      <c r="V52" s="67">
        <f t="shared" si="7"/>
        <v>58</v>
      </c>
      <c r="W52" s="67">
        <f t="shared" si="7"/>
        <v>58</v>
      </c>
      <c r="X52" s="67">
        <f t="shared" si="7"/>
        <v>88</v>
      </c>
      <c r="Y52" s="67">
        <f t="shared" si="7"/>
        <v>118</v>
      </c>
      <c r="Z52" s="67">
        <f t="shared" si="7"/>
        <v>238</v>
      </c>
      <c r="AA52" s="67">
        <f t="shared" si="7"/>
        <v>198</v>
      </c>
      <c r="AB52" s="67">
        <f t="shared" si="7"/>
        <v>228</v>
      </c>
      <c r="AC52" s="67">
        <f t="shared" si="7"/>
        <v>227.1</v>
      </c>
      <c r="AD52" s="67">
        <f t="shared" si="7"/>
        <v>227.1</v>
      </c>
      <c r="AE52" s="67">
        <f t="shared" si="7"/>
        <v>157.1</v>
      </c>
      <c r="AF52" s="67">
        <f t="shared" si="7"/>
        <v>157.1</v>
      </c>
      <c r="AG52" s="68">
        <f t="shared" si="7"/>
        <v>538.1</v>
      </c>
      <c r="AH52" s="52">
        <f t="shared" si="2"/>
        <v>238</v>
      </c>
      <c r="AI52" s="53">
        <f t="shared" si="3"/>
        <v>55.1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48</v>
      </c>
      <c r="K53" s="50">
        <v>107</v>
      </c>
      <c r="L53" s="50">
        <v>107.7</v>
      </c>
      <c r="M53" s="50">
        <v>123.6</v>
      </c>
      <c r="N53" s="50">
        <v>71.7</v>
      </c>
      <c r="O53" s="50">
        <v>71.7</v>
      </c>
      <c r="P53" s="50">
        <v>61.9</v>
      </c>
      <c r="Q53" s="50">
        <v>60.8</v>
      </c>
      <c r="R53" s="50">
        <v>61.6</v>
      </c>
      <c r="S53" s="50">
        <v>69.8</v>
      </c>
      <c r="T53" s="50">
        <v>69.8</v>
      </c>
      <c r="U53" s="50">
        <v>67.400000000000006</v>
      </c>
      <c r="V53" s="50">
        <v>72.099999999999994</v>
      </c>
      <c r="W53" s="50">
        <v>61.1</v>
      </c>
      <c r="X53" s="50">
        <v>60.9</v>
      </c>
      <c r="Y53" s="50">
        <v>100</v>
      </c>
      <c r="Z53" s="50">
        <v>140</v>
      </c>
      <c r="AA53" s="50">
        <v>115</v>
      </c>
      <c r="AB53" s="50">
        <v>115</v>
      </c>
      <c r="AC53" s="50">
        <v>133.80000000000001</v>
      </c>
      <c r="AD53" s="50">
        <v>61.3</v>
      </c>
      <c r="AE53" s="50">
        <v>58.8</v>
      </c>
      <c r="AF53" s="50">
        <v>23.6</v>
      </c>
      <c r="AG53" s="56">
        <v>144</v>
      </c>
      <c r="AH53" s="52">
        <f t="shared" si="2"/>
        <v>140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33.5</v>
      </c>
      <c r="C54" s="72">
        <v>30.8</v>
      </c>
      <c r="D54" s="72">
        <v>30.8</v>
      </c>
      <c r="E54" s="72">
        <v>24.8</v>
      </c>
      <c r="F54" s="72">
        <v>24.8</v>
      </c>
      <c r="G54" s="72">
        <v>24.8</v>
      </c>
      <c r="H54" s="72">
        <v>24.8</v>
      </c>
      <c r="I54" s="72">
        <v>24.8</v>
      </c>
      <c r="J54" s="72">
        <v>34.9</v>
      </c>
      <c r="K54" s="72">
        <v>34.9</v>
      </c>
      <c r="L54" s="72">
        <v>34.9</v>
      </c>
      <c r="M54" s="72">
        <v>34.9</v>
      </c>
      <c r="N54" s="72">
        <v>22.8</v>
      </c>
      <c r="O54" s="72">
        <v>33.6</v>
      </c>
      <c r="P54" s="72">
        <v>31.8</v>
      </c>
      <c r="Q54" s="72">
        <v>31.8</v>
      </c>
      <c r="R54" s="50">
        <v>29.6</v>
      </c>
      <c r="S54" s="50">
        <v>23</v>
      </c>
      <c r="T54" s="50">
        <v>23</v>
      </c>
      <c r="U54" s="50">
        <v>24.8</v>
      </c>
      <c r="V54" s="50">
        <v>24.8</v>
      </c>
      <c r="W54" s="50">
        <v>22</v>
      </c>
      <c r="X54" s="50">
        <v>21.8</v>
      </c>
      <c r="Y54" s="50">
        <v>21.8</v>
      </c>
      <c r="Z54" s="50">
        <v>34</v>
      </c>
      <c r="AA54" s="50">
        <v>25</v>
      </c>
      <c r="AB54" s="50">
        <v>25</v>
      </c>
      <c r="AC54" s="72">
        <v>19.8</v>
      </c>
      <c r="AD54" s="72">
        <v>19.899999999999999</v>
      </c>
      <c r="AE54" s="72">
        <v>19.8</v>
      </c>
      <c r="AF54" s="72">
        <v>20</v>
      </c>
      <c r="AG54" s="61">
        <v>70</v>
      </c>
      <c r="AH54" s="52">
        <f t="shared" si="2"/>
        <v>34.9</v>
      </c>
      <c r="AI54" s="53">
        <f t="shared" si="3"/>
        <v>19.8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24</v>
      </c>
      <c r="I55" s="72">
        <v>24</v>
      </c>
      <c r="J55" s="72">
        <v>46</v>
      </c>
      <c r="K55" s="72">
        <v>61.8</v>
      </c>
      <c r="L55" s="72">
        <v>61.8</v>
      </c>
      <c r="M55" s="72">
        <v>48.9</v>
      </c>
      <c r="N55" s="72">
        <v>46.2</v>
      </c>
      <c r="O55" s="72">
        <v>45</v>
      </c>
      <c r="P55" s="72">
        <v>30.9</v>
      </c>
      <c r="Q55" s="72">
        <v>30.9</v>
      </c>
      <c r="R55" s="50">
        <v>33.1</v>
      </c>
      <c r="S55" s="50">
        <v>32.9</v>
      </c>
      <c r="T55" s="50">
        <v>32.9</v>
      </c>
      <c r="U55" s="50">
        <v>45.3</v>
      </c>
      <c r="V55" s="50">
        <v>45.3</v>
      </c>
      <c r="W55" s="50">
        <v>33</v>
      </c>
      <c r="X55" s="50">
        <v>33</v>
      </c>
      <c r="Y55" s="50">
        <v>57</v>
      </c>
      <c r="Z55" s="50">
        <v>68</v>
      </c>
      <c r="AA55" s="50">
        <v>57</v>
      </c>
      <c r="AB55" s="50">
        <v>57</v>
      </c>
      <c r="AC55" s="72">
        <v>51.7</v>
      </c>
      <c r="AD55" s="72">
        <v>51.5</v>
      </c>
      <c r="AE55" s="72">
        <v>35.1</v>
      </c>
      <c r="AF55" s="72">
        <v>21.7</v>
      </c>
      <c r="AG55" s="61">
        <v>69</v>
      </c>
      <c r="AH55" s="52">
        <f t="shared" si="2"/>
        <v>68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36.299999999999997</v>
      </c>
      <c r="C56" s="72">
        <v>39.299999999999997</v>
      </c>
      <c r="D56" s="72">
        <v>28</v>
      </c>
      <c r="E56" s="72">
        <v>28</v>
      </c>
      <c r="F56" s="72">
        <v>37</v>
      </c>
      <c r="G56" s="72">
        <v>37</v>
      </c>
      <c r="H56" s="72">
        <v>37</v>
      </c>
      <c r="I56" s="72">
        <v>37</v>
      </c>
      <c r="J56" s="72">
        <v>37.799999999999997</v>
      </c>
      <c r="K56" s="72">
        <v>38</v>
      </c>
      <c r="L56" s="72">
        <v>38</v>
      </c>
      <c r="M56" s="72">
        <v>37.799999999999997</v>
      </c>
      <c r="N56" s="72">
        <v>37</v>
      </c>
      <c r="O56" s="72">
        <v>37</v>
      </c>
      <c r="P56" s="72">
        <v>36</v>
      </c>
      <c r="Q56" s="72">
        <v>36</v>
      </c>
      <c r="R56" s="72">
        <v>36</v>
      </c>
      <c r="S56" s="72">
        <v>36</v>
      </c>
      <c r="T56" s="72">
        <v>36</v>
      </c>
      <c r="U56" s="72">
        <v>36</v>
      </c>
      <c r="V56" s="72">
        <v>36</v>
      </c>
      <c r="W56" s="72">
        <v>36</v>
      </c>
      <c r="X56" s="50">
        <v>35.799999999999997</v>
      </c>
      <c r="Y56" s="50">
        <v>35.799999999999997</v>
      </c>
      <c r="Z56" s="50">
        <v>35.799999999999997</v>
      </c>
      <c r="AA56" s="50">
        <v>35</v>
      </c>
      <c r="AB56" s="50">
        <v>35</v>
      </c>
      <c r="AC56" s="72">
        <v>34.5</v>
      </c>
      <c r="AD56" s="72">
        <v>34.5</v>
      </c>
      <c r="AE56" s="72">
        <v>35</v>
      </c>
      <c r="AF56" s="72">
        <v>35</v>
      </c>
      <c r="AG56" s="61">
        <v>60</v>
      </c>
      <c r="AH56" s="52">
        <f t="shared" si="2"/>
        <v>39.299999999999997</v>
      </c>
      <c r="AI56" s="53">
        <f t="shared" si="3"/>
        <v>28</v>
      </c>
      <c r="AK56" s="54"/>
    </row>
    <row r="57" spans="1:41" x14ac:dyDescent="0.25">
      <c r="A57" s="60" t="s">
        <v>61</v>
      </c>
      <c r="B57" s="72">
        <v>10</v>
      </c>
      <c r="C57" s="72">
        <v>10</v>
      </c>
      <c r="D57" s="72">
        <v>10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0</v>
      </c>
      <c r="K57" s="72">
        <v>0</v>
      </c>
      <c r="L57" s="72">
        <v>0</v>
      </c>
      <c r="M57" s="72">
        <v>10</v>
      </c>
      <c r="N57" s="72">
        <v>10</v>
      </c>
      <c r="O57" s="72">
        <v>10</v>
      </c>
      <c r="P57" s="72">
        <v>10</v>
      </c>
      <c r="Q57" s="72">
        <v>10</v>
      </c>
      <c r="R57" s="72">
        <v>10</v>
      </c>
      <c r="S57" s="72">
        <v>0</v>
      </c>
      <c r="T57" s="72">
        <v>0</v>
      </c>
      <c r="U57" s="72">
        <v>10</v>
      </c>
      <c r="V57" s="72">
        <v>10</v>
      </c>
      <c r="W57" s="72">
        <v>10</v>
      </c>
      <c r="X57" s="50">
        <v>10</v>
      </c>
      <c r="Y57" s="50">
        <v>20</v>
      </c>
      <c r="Z57" s="50">
        <v>30</v>
      </c>
      <c r="AA57" s="50">
        <v>30</v>
      </c>
      <c r="AB57" s="50">
        <v>25</v>
      </c>
      <c r="AC57" s="72">
        <v>15</v>
      </c>
      <c r="AD57" s="72">
        <v>10</v>
      </c>
      <c r="AE57" s="72">
        <v>10</v>
      </c>
      <c r="AF57" s="72">
        <v>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8</v>
      </c>
      <c r="T58" s="72">
        <v>8</v>
      </c>
      <c r="U58" s="72">
        <v>8</v>
      </c>
      <c r="V58" s="72">
        <v>8</v>
      </c>
      <c r="W58" s="72">
        <v>8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8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9.6</v>
      </c>
      <c r="C61" s="72">
        <v>9.6</v>
      </c>
      <c r="D61" s="72">
        <v>9.6</v>
      </c>
      <c r="E61" s="72">
        <v>9.6</v>
      </c>
      <c r="F61" s="72">
        <v>9.6</v>
      </c>
      <c r="G61" s="72">
        <v>9.6</v>
      </c>
      <c r="H61" s="72">
        <v>9.6</v>
      </c>
      <c r="I61" s="72">
        <v>9.6</v>
      </c>
      <c r="J61" s="72">
        <v>9.6</v>
      </c>
      <c r="K61" s="72">
        <v>9.6</v>
      </c>
      <c r="L61" s="72">
        <v>9.6</v>
      </c>
      <c r="M61" s="72">
        <v>9.6</v>
      </c>
      <c r="N61" s="72">
        <v>9.6</v>
      </c>
      <c r="O61" s="72">
        <v>9.6</v>
      </c>
      <c r="P61" s="72">
        <v>9.6</v>
      </c>
      <c r="Q61" s="72">
        <v>9.6</v>
      </c>
      <c r="R61" s="72">
        <v>9.6</v>
      </c>
      <c r="S61" s="72">
        <v>9.6</v>
      </c>
      <c r="T61" s="72">
        <v>9.6</v>
      </c>
      <c r="U61" s="72">
        <v>9.6</v>
      </c>
      <c r="V61" s="72">
        <v>9.6</v>
      </c>
      <c r="W61" s="72">
        <v>9.6</v>
      </c>
      <c r="X61" s="72">
        <v>9.6</v>
      </c>
      <c r="Y61" s="72">
        <v>9.6</v>
      </c>
      <c r="Z61" s="72">
        <v>9.6</v>
      </c>
      <c r="AA61" s="72">
        <v>9.6</v>
      </c>
      <c r="AB61" s="72">
        <v>9.6</v>
      </c>
      <c r="AC61" s="72">
        <v>9.6</v>
      </c>
      <c r="AD61" s="72">
        <v>9.6</v>
      </c>
      <c r="AE61" s="72">
        <v>9.6</v>
      </c>
      <c r="AF61" s="72">
        <v>9.6</v>
      </c>
      <c r="AG61" s="61">
        <v>14.1</v>
      </c>
      <c r="AH61" s="52">
        <f t="shared" si="2"/>
        <v>9.6</v>
      </c>
      <c r="AI61" s="53">
        <f t="shared" si="3"/>
        <v>9.6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4.8</v>
      </c>
      <c r="C62" s="72">
        <v>4.8</v>
      </c>
      <c r="D62" s="72">
        <v>4.8</v>
      </c>
      <c r="E62" s="72">
        <v>4.8</v>
      </c>
      <c r="F62" s="72">
        <v>4.8</v>
      </c>
      <c r="G62" s="72">
        <v>4.8</v>
      </c>
      <c r="H62" s="72">
        <v>4.8</v>
      </c>
      <c r="I62" s="72">
        <v>4.8</v>
      </c>
      <c r="J62" s="72">
        <v>4.8</v>
      </c>
      <c r="K62" s="72">
        <v>4.8</v>
      </c>
      <c r="L62" s="72">
        <v>4.8</v>
      </c>
      <c r="M62" s="72">
        <v>4.8</v>
      </c>
      <c r="N62" s="72">
        <v>4.8</v>
      </c>
      <c r="O62" s="72">
        <v>4.8</v>
      </c>
      <c r="P62" s="72">
        <v>4.8</v>
      </c>
      <c r="Q62" s="72">
        <v>4.8</v>
      </c>
      <c r="R62" s="72">
        <v>4.8</v>
      </c>
      <c r="S62" s="72">
        <v>4.8</v>
      </c>
      <c r="T62" s="72">
        <v>4.8</v>
      </c>
      <c r="U62" s="72">
        <v>4.8</v>
      </c>
      <c r="V62" s="72">
        <v>4.8</v>
      </c>
      <c r="W62" s="72">
        <v>4.8</v>
      </c>
      <c r="X62" s="72">
        <v>4.8</v>
      </c>
      <c r="Y62" s="72">
        <v>4.8</v>
      </c>
      <c r="Z62" s="72">
        <v>4.8</v>
      </c>
      <c r="AA62" s="72">
        <v>4.8</v>
      </c>
      <c r="AB62" s="72">
        <v>4.8</v>
      </c>
      <c r="AC62" s="72">
        <v>4.8</v>
      </c>
      <c r="AD62" s="72">
        <v>4.8</v>
      </c>
      <c r="AE62" s="72">
        <v>4.8</v>
      </c>
      <c r="AF62" s="72">
        <v>4.8</v>
      </c>
      <c r="AG62" s="61">
        <v>14</v>
      </c>
      <c r="AH62" s="52">
        <f t="shared" si="2"/>
        <v>4.8</v>
      </c>
      <c r="AI62" s="53">
        <f t="shared" si="3"/>
        <v>4.8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4</v>
      </c>
      <c r="AA63" s="72">
        <v>4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4</v>
      </c>
      <c r="AI63" s="53">
        <f t="shared" si="3"/>
        <v>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0">SUM(B53:B65)</f>
        <v>121.74</v>
      </c>
      <c r="C66" s="67">
        <f t="shared" si="10"/>
        <v>122.03999999999999</v>
      </c>
      <c r="D66" s="67">
        <f t="shared" si="10"/>
        <v>110.74</v>
      </c>
      <c r="E66" s="67">
        <f t="shared" si="10"/>
        <v>94.74</v>
      </c>
      <c r="F66" s="67">
        <f t="shared" si="10"/>
        <v>103.74</v>
      </c>
      <c r="G66" s="67">
        <f t="shared" ref="G66:H66" si="11">SUM(G53:G65)</f>
        <v>103.74</v>
      </c>
      <c r="H66" s="67">
        <f t="shared" si="11"/>
        <v>127.74</v>
      </c>
      <c r="I66" s="67">
        <f t="shared" ref="I66:J66" si="12">SUM(I53:I65)</f>
        <v>127.74</v>
      </c>
      <c r="J66" s="67">
        <f t="shared" si="12"/>
        <v>208.64</v>
      </c>
      <c r="K66" s="67">
        <f t="shared" si="10"/>
        <v>283.64000000000004</v>
      </c>
      <c r="L66" s="67">
        <f t="shared" si="10"/>
        <v>284.34000000000003</v>
      </c>
      <c r="M66" s="67">
        <f t="shared" si="10"/>
        <v>297.14000000000004</v>
      </c>
      <c r="N66" s="67">
        <f t="shared" si="10"/>
        <v>229.64</v>
      </c>
      <c r="O66" s="67">
        <f t="shared" si="10"/>
        <v>239.24</v>
      </c>
      <c r="P66" s="67">
        <f t="shared" si="10"/>
        <v>212.54</v>
      </c>
      <c r="Q66" s="67">
        <f t="shared" si="10"/>
        <v>211.44</v>
      </c>
      <c r="R66" s="67">
        <f t="shared" si="10"/>
        <v>212.24</v>
      </c>
      <c r="S66" s="67">
        <f t="shared" si="10"/>
        <v>211.64</v>
      </c>
      <c r="T66" s="67">
        <f t="shared" si="10"/>
        <v>211.64</v>
      </c>
      <c r="U66" s="67">
        <f t="shared" si="10"/>
        <v>233.44</v>
      </c>
      <c r="V66" s="67">
        <f t="shared" si="10"/>
        <v>238.14</v>
      </c>
      <c r="W66" s="67">
        <f t="shared" si="10"/>
        <v>212.04</v>
      </c>
      <c r="X66" s="67">
        <f t="shared" si="10"/>
        <v>203.44</v>
      </c>
      <c r="Y66" s="67">
        <f t="shared" si="10"/>
        <v>276.54000000000008</v>
      </c>
      <c r="Z66" s="67">
        <f t="shared" si="10"/>
        <v>349.74000000000007</v>
      </c>
      <c r="AA66" s="67">
        <f t="shared" si="10"/>
        <v>303.94000000000005</v>
      </c>
      <c r="AB66" s="67">
        <f t="shared" si="10"/>
        <v>298.94000000000005</v>
      </c>
      <c r="AC66" s="67">
        <f t="shared" si="10"/>
        <v>296.74000000000007</v>
      </c>
      <c r="AD66" s="67">
        <f t="shared" si="10"/>
        <v>219.14</v>
      </c>
      <c r="AE66" s="67">
        <f t="shared" si="10"/>
        <v>200.64</v>
      </c>
      <c r="AF66" s="67">
        <f t="shared" si="10"/>
        <v>142.24</v>
      </c>
      <c r="AG66" s="68">
        <f t="shared" si="10"/>
        <v>489.91</v>
      </c>
      <c r="AH66" s="52">
        <f t="shared" si="2"/>
        <v>349.74000000000007</v>
      </c>
      <c r="AI66" s="53">
        <f t="shared" si="3"/>
        <v>94.74</v>
      </c>
      <c r="AK66" s="54"/>
    </row>
    <row r="67" spans="1:40" x14ac:dyDescent="0.25">
      <c r="A67" s="49" t="s">
        <v>71</v>
      </c>
      <c r="B67" s="50">
        <v>30</v>
      </c>
      <c r="C67" s="50">
        <v>30</v>
      </c>
      <c r="D67" s="50">
        <v>30</v>
      </c>
      <c r="E67" s="50">
        <v>30</v>
      </c>
      <c r="F67" s="50">
        <v>30</v>
      </c>
      <c r="G67" s="50">
        <v>30</v>
      </c>
      <c r="H67" s="50">
        <v>30</v>
      </c>
      <c r="I67" s="50">
        <v>30</v>
      </c>
      <c r="J67" s="50">
        <v>30</v>
      </c>
      <c r="K67" s="50">
        <v>30</v>
      </c>
      <c r="L67" s="50">
        <v>30</v>
      </c>
      <c r="M67" s="50">
        <v>14</v>
      </c>
      <c r="N67" s="50">
        <v>25</v>
      </c>
      <c r="O67" s="50">
        <v>60</v>
      </c>
      <c r="P67" s="50">
        <v>60</v>
      </c>
      <c r="Q67" s="50">
        <v>60.5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34</v>
      </c>
      <c r="X67" s="50">
        <v>40</v>
      </c>
      <c r="Y67" s="50">
        <v>50</v>
      </c>
      <c r="Z67" s="50">
        <v>60</v>
      </c>
      <c r="AA67" s="50">
        <v>60</v>
      </c>
      <c r="AB67" s="50">
        <v>50</v>
      </c>
      <c r="AC67" s="50">
        <v>60</v>
      </c>
      <c r="AD67" s="50">
        <v>50</v>
      </c>
      <c r="AE67" s="50">
        <v>50</v>
      </c>
      <c r="AF67" s="50">
        <v>50</v>
      </c>
      <c r="AG67" s="56">
        <v>60</v>
      </c>
      <c r="AH67" s="52">
        <f t="shared" si="2"/>
        <v>60.5</v>
      </c>
      <c r="AI67" s="53">
        <f t="shared" si="3"/>
        <v>14</v>
      </c>
      <c r="AK67" s="54"/>
    </row>
    <row r="68" spans="1:40" x14ac:dyDescent="0.25">
      <c r="A68" s="60" t="s">
        <v>72</v>
      </c>
      <c r="B68" s="72">
        <v>13.3</v>
      </c>
      <c r="C68" s="72">
        <v>13.3</v>
      </c>
      <c r="D68" s="72">
        <v>13.3</v>
      </c>
      <c r="E68" s="72">
        <v>13.3</v>
      </c>
      <c r="F68" s="72">
        <v>13.3</v>
      </c>
      <c r="G68" s="72">
        <v>13.3</v>
      </c>
      <c r="H68" s="72">
        <v>13.3</v>
      </c>
      <c r="I68" s="72">
        <v>13.3</v>
      </c>
      <c r="J68" s="72">
        <v>13.3</v>
      </c>
      <c r="K68" s="72">
        <v>13.3</v>
      </c>
      <c r="L68" s="72">
        <v>13.3</v>
      </c>
      <c r="M68" s="72">
        <v>10.3</v>
      </c>
      <c r="N68" s="72">
        <v>12.2</v>
      </c>
      <c r="O68" s="72">
        <v>22</v>
      </c>
      <c r="P68" s="72">
        <v>26.5</v>
      </c>
      <c r="Q68" s="72">
        <v>26.5</v>
      </c>
      <c r="R68" s="72">
        <v>26.5</v>
      </c>
      <c r="S68" s="72">
        <v>27.9</v>
      </c>
      <c r="T68" s="72">
        <v>27.9</v>
      </c>
      <c r="U68" s="72">
        <v>27.9</v>
      </c>
      <c r="V68" s="72">
        <v>27.9</v>
      </c>
      <c r="W68" s="72">
        <v>13.5</v>
      </c>
      <c r="X68" s="72">
        <v>18.600000000000001</v>
      </c>
      <c r="Y68" s="72">
        <v>18.600000000000001</v>
      </c>
      <c r="Z68" s="72">
        <v>28</v>
      </c>
      <c r="AA68" s="72">
        <v>28</v>
      </c>
      <c r="AB68" s="72">
        <v>23.6</v>
      </c>
      <c r="AC68" s="72">
        <v>23.6</v>
      </c>
      <c r="AD68" s="72">
        <v>23.3</v>
      </c>
      <c r="AE68" s="72">
        <v>27.9</v>
      </c>
      <c r="AF68" s="50">
        <v>21.5</v>
      </c>
      <c r="AG68" s="61">
        <v>32</v>
      </c>
      <c r="AH68" s="52">
        <f t="shared" si="2"/>
        <v>28</v>
      </c>
      <c r="AI68" s="53">
        <f t="shared" si="3"/>
        <v>10.3</v>
      </c>
      <c r="AK68" s="54"/>
    </row>
    <row r="69" spans="1:40" ht="15.75" thickBot="1" x14ac:dyDescent="0.3">
      <c r="A69" s="78" t="s">
        <v>73</v>
      </c>
      <c r="B69" s="74">
        <v>4.9000000000000004</v>
      </c>
      <c r="C69" s="74">
        <v>5</v>
      </c>
      <c r="D69" s="74">
        <v>5</v>
      </c>
      <c r="E69" s="74">
        <v>5</v>
      </c>
      <c r="F69" s="74">
        <v>5</v>
      </c>
      <c r="G69" s="74">
        <v>5</v>
      </c>
      <c r="H69" s="74">
        <v>5</v>
      </c>
      <c r="I69" s="74">
        <v>5</v>
      </c>
      <c r="J69" s="74">
        <v>5</v>
      </c>
      <c r="K69" s="74">
        <v>5</v>
      </c>
      <c r="L69" s="74">
        <v>5</v>
      </c>
      <c r="M69" s="74">
        <v>3.8</v>
      </c>
      <c r="N69" s="74">
        <v>4.4000000000000004</v>
      </c>
      <c r="O69" s="74">
        <v>8</v>
      </c>
      <c r="P69" s="74">
        <v>9.6999999999999993</v>
      </c>
      <c r="Q69" s="74">
        <v>9.6999999999999993</v>
      </c>
      <c r="R69" s="74">
        <v>9.6999999999999993</v>
      </c>
      <c r="S69" s="74">
        <v>9.6999999999999993</v>
      </c>
      <c r="T69" s="74">
        <v>9.6999999999999993</v>
      </c>
      <c r="U69" s="74">
        <v>9.6999999999999993</v>
      </c>
      <c r="V69" s="74">
        <v>9.6999999999999993</v>
      </c>
      <c r="W69" s="74">
        <v>4.9000000000000004</v>
      </c>
      <c r="X69" s="74">
        <v>6.8</v>
      </c>
      <c r="Y69" s="74">
        <v>6.8</v>
      </c>
      <c r="Z69" s="74">
        <v>10</v>
      </c>
      <c r="AA69" s="74">
        <v>10</v>
      </c>
      <c r="AB69" s="74">
        <v>10</v>
      </c>
      <c r="AC69" s="74">
        <v>10</v>
      </c>
      <c r="AD69" s="74">
        <v>8.5</v>
      </c>
      <c r="AE69" s="74">
        <v>10.199999999999999</v>
      </c>
      <c r="AF69" s="50">
        <v>7.8</v>
      </c>
      <c r="AG69" s="75">
        <v>14</v>
      </c>
      <c r="AH69" s="52">
        <f t="shared" si="2"/>
        <v>10.199999999999999</v>
      </c>
      <c r="AI69" s="53">
        <f t="shared" si="3"/>
        <v>3.8</v>
      </c>
      <c r="AK69" s="54"/>
    </row>
    <row r="70" spans="1:40" ht="15.75" thickBot="1" x14ac:dyDescent="0.3">
      <c r="A70" s="81" t="s">
        <v>74</v>
      </c>
      <c r="B70" s="67">
        <f t="shared" ref="B70" si="13">B67+B68+B69</f>
        <v>48.199999999999996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48.3</v>
      </c>
      <c r="M70" s="67">
        <f t="shared" ref="M70:AF70" si="14">M67+M68+M69</f>
        <v>28.1</v>
      </c>
      <c r="N70" s="67">
        <f t="shared" si="14"/>
        <v>41.6</v>
      </c>
      <c r="O70" s="67">
        <f t="shared" si="14"/>
        <v>90</v>
      </c>
      <c r="P70" s="67">
        <f t="shared" si="14"/>
        <v>96.2</v>
      </c>
      <c r="Q70" s="67">
        <f t="shared" si="14"/>
        <v>96.7</v>
      </c>
      <c r="R70" s="67">
        <f t="shared" si="14"/>
        <v>96.2</v>
      </c>
      <c r="S70" s="67">
        <f t="shared" si="14"/>
        <v>97.600000000000009</v>
      </c>
      <c r="T70" s="67">
        <f t="shared" si="14"/>
        <v>97.600000000000009</v>
      </c>
      <c r="U70" s="67">
        <f t="shared" si="14"/>
        <v>97.600000000000009</v>
      </c>
      <c r="V70" s="67">
        <f t="shared" si="14"/>
        <v>97.600000000000009</v>
      </c>
      <c r="W70" s="67">
        <f t="shared" si="14"/>
        <v>52.4</v>
      </c>
      <c r="X70" s="67">
        <f t="shared" si="14"/>
        <v>65.400000000000006</v>
      </c>
      <c r="Y70" s="67">
        <f t="shared" si="14"/>
        <v>75.399999999999991</v>
      </c>
      <c r="Z70" s="67">
        <f t="shared" si="14"/>
        <v>98</v>
      </c>
      <c r="AA70" s="67">
        <f t="shared" si="14"/>
        <v>98</v>
      </c>
      <c r="AB70" s="67">
        <f t="shared" si="14"/>
        <v>83.6</v>
      </c>
      <c r="AC70" s="67">
        <f t="shared" si="14"/>
        <v>93.6</v>
      </c>
      <c r="AD70" s="67">
        <f t="shared" si="14"/>
        <v>81.8</v>
      </c>
      <c r="AE70" s="67">
        <f t="shared" si="14"/>
        <v>88.100000000000009</v>
      </c>
      <c r="AF70" s="67">
        <f t="shared" si="14"/>
        <v>79.3</v>
      </c>
      <c r="AG70" s="68">
        <f>SUM(AG67:AG69)</f>
        <v>106</v>
      </c>
      <c r="AH70" s="52">
        <f t="shared" si="2"/>
        <v>98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62</v>
      </c>
      <c r="C71" s="50">
        <v>65</v>
      </c>
      <c r="D71" s="50">
        <v>64</v>
      </c>
      <c r="E71" s="50">
        <v>64</v>
      </c>
      <c r="F71" s="50">
        <v>64</v>
      </c>
      <c r="G71" s="50">
        <v>64</v>
      </c>
      <c r="H71" s="50">
        <v>65</v>
      </c>
      <c r="I71" s="50">
        <v>65</v>
      </c>
      <c r="J71" s="50">
        <v>65.099999999999994</v>
      </c>
      <c r="K71" s="50">
        <v>50</v>
      </c>
      <c r="L71" s="50">
        <v>50.7</v>
      </c>
      <c r="M71" s="50">
        <v>48.2</v>
      </c>
      <c r="N71" s="50">
        <v>65</v>
      </c>
      <c r="O71" s="50">
        <v>67.900000000000006</v>
      </c>
      <c r="P71" s="50">
        <v>65</v>
      </c>
      <c r="Q71" s="50">
        <v>64.8</v>
      </c>
      <c r="R71" s="50">
        <v>62.8</v>
      </c>
      <c r="S71" s="50">
        <v>70.900000000000006</v>
      </c>
      <c r="T71" s="50">
        <v>70.900000000000006</v>
      </c>
      <c r="U71" s="50">
        <v>74</v>
      </c>
      <c r="V71" s="50">
        <v>70</v>
      </c>
      <c r="W71" s="50">
        <v>64</v>
      </c>
      <c r="X71" s="50">
        <v>65.400000000000006</v>
      </c>
      <c r="Y71" s="50">
        <v>58.7</v>
      </c>
      <c r="Z71" s="50">
        <v>73</v>
      </c>
      <c r="AA71" s="50">
        <v>65</v>
      </c>
      <c r="AB71" s="50">
        <v>61.9</v>
      </c>
      <c r="AC71" s="50">
        <v>65.599999999999994</v>
      </c>
      <c r="AD71" s="50">
        <v>63</v>
      </c>
      <c r="AE71" s="50">
        <v>61</v>
      </c>
      <c r="AF71" s="50">
        <v>52</v>
      </c>
      <c r="AG71" s="56"/>
      <c r="AH71" s="52">
        <f t="shared" si="2"/>
        <v>74</v>
      </c>
      <c r="AI71" s="53">
        <f t="shared" si="3"/>
        <v>48.2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319.7</v>
      </c>
      <c r="C73" s="72">
        <v>308.2</v>
      </c>
      <c r="D73" s="72">
        <v>312</v>
      </c>
      <c r="E73" s="72">
        <v>290</v>
      </c>
      <c r="F73" s="72">
        <v>280</v>
      </c>
      <c r="G73" s="72">
        <v>340</v>
      </c>
      <c r="H73" s="72">
        <v>350</v>
      </c>
      <c r="I73" s="72">
        <v>320</v>
      </c>
      <c r="J73" s="72">
        <v>280</v>
      </c>
      <c r="K73" s="72">
        <v>250</v>
      </c>
      <c r="L73" s="72">
        <v>264</v>
      </c>
      <c r="M73" s="72">
        <v>288.39999999999998</v>
      </c>
      <c r="N73" s="72">
        <v>330.8</v>
      </c>
      <c r="O73" s="72">
        <v>357.6</v>
      </c>
      <c r="P73" s="72">
        <v>345</v>
      </c>
      <c r="Q73" s="72">
        <v>335</v>
      </c>
      <c r="R73" s="72">
        <v>340</v>
      </c>
      <c r="S73" s="72">
        <v>341.6</v>
      </c>
      <c r="T73" s="72">
        <v>353</v>
      </c>
      <c r="U73" s="72">
        <v>334</v>
      </c>
      <c r="V73" s="72">
        <v>353.2</v>
      </c>
      <c r="W73" s="72">
        <v>358</v>
      </c>
      <c r="X73" s="72">
        <v>336.3</v>
      </c>
      <c r="Y73" s="72">
        <v>346</v>
      </c>
      <c r="Z73" s="72">
        <v>273</v>
      </c>
      <c r="AA73" s="72">
        <v>275</v>
      </c>
      <c r="AB73" s="72">
        <v>263.2</v>
      </c>
      <c r="AC73" s="72">
        <v>279.5</v>
      </c>
      <c r="AD73" s="72">
        <v>283.7</v>
      </c>
      <c r="AE73" s="72">
        <v>291.2</v>
      </c>
      <c r="AF73" s="72">
        <v>300.60000000000002</v>
      </c>
      <c r="AG73" s="82"/>
      <c r="AH73" s="52">
        <f t="shared" si="2"/>
        <v>358</v>
      </c>
      <c r="AI73" s="53">
        <f t="shared" si="3"/>
        <v>250</v>
      </c>
      <c r="AK73" s="54"/>
    </row>
    <row r="74" spans="1:40" x14ac:dyDescent="0.25">
      <c r="A74" s="60" t="s">
        <v>78</v>
      </c>
      <c r="B74" s="72">
        <v>0</v>
      </c>
      <c r="C74" s="72">
        <v>7</v>
      </c>
      <c r="D74" s="72">
        <v>7</v>
      </c>
      <c r="E74" s="72">
        <v>42</v>
      </c>
      <c r="F74" s="72">
        <v>52</v>
      </c>
      <c r="G74" s="72">
        <v>56</v>
      </c>
      <c r="H74" s="72">
        <v>60</v>
      </c>
      <c r="I74" s="72">
        <v>58</v>
      </c>
      <c r="J74" s="72">
        <v>60</v>
      </c>
      <c r="K74" s="72">
        <v>62</v>
      </c>
      <c r="L74" s="83">
        <v>62</v>
      </c>
      <c r="M74" s="83">
        <v>62</v>
      </c>
      <c r="N74" s="83">
        <v>67</v>
      </c>
      <c r="O74" s="83">
        <v>61.8</v>
      </c>
      <c r="P74" s="83">
        <v>62.2</v>
      </c>
      <c r="Q74" s="83">
        <v>62.2</v>
      </c>
      <c r="R74" s="83">
        <v>59.6</v>
      </c>
      <c r="S74" s="83">
        <v>59.6</v>
      </c>
      <c r="T74" s="83">
        <v>59.6</v>
      </c>
      <c r="U74" s="83">
        <v>61</v>
      </c>
      <c r="V74" s="83">
        <v>15</v>
      </c>
      <c r="W74" s="83">
        <v>35</v>
      </c>
      <c r="X74" s="83">
        <v>54.5</v>
      </c>
      <c r="Y74" s="83">
        <v>57</v>
      </c>
      <c r="Z74" s="83">
        <v>57</v>
      </c>
      <c r="AA74" s="72">
        <v>58</v>
      </c>
      <c r="AB74" s="72">
        <v>55</v>
      </c>
      <c r="AC74" s="72">
        <v>56</v>
      </c>
      <c r="AD74" s="72">
        <v>52.2</v>
      </c>
      <c r="AE74" s="72">
        <v>54.1</v>
      </c>
      <c r="AF74" s="72">
        <v>56</v>
      </c>
      <c r="AG74" s="82"/>
      <c r="AH74" s="52">
        <f t="shared" si="2"/>
        <v>67</v>
      </c>
      <c r="AI74" s="53">
        <f t="shared" si="3"/>
        <v>0</v>
      </c>
      <c r="AK74" s="54"/>
    </row>
    <row r="75" spans="1:40" x14ac:dyDescent="0.25">
      <c r="A75" s="60" t="s">
        <v>79</v>
      </c>
      <c r="B75" s="50">
        <v>24.4</v>
      </c>
      <c r="C75" s="50">
        <v>24.8</v>
      </c>
      <c r="D75" s="50">
        <v>22.5</v>
      </c>
      <c r="E75" s="50">
        <v>22.5</v>
      </c>
      <c r="F75" s="50">
        <v>22.5</v>
      </c>
      <c r="G75" s="50">
        <v>22.5</v>
      </c>
      <c r="H75" s="50">
        <v>22.5</v>
      </c>
      <c r="I75" s="50">
        <v>22.5</v>
      </c>
      <c r="J75" s="50">
        <v>23.3</v>
      </c>
      <c r="K75" s="50">
        <v>26</v>
      </c>
      <c r="L75" s="50">
        <v>26</v>
      </c>
      <c r="M75" s="50">
        <v>27.4</v>
      </c>
      <c r="N75" s="50">
        <v>30.3</v>
      </c>
      <c r="O75" s="50">
        <v>36.299999999999997</v>
      </c>
      <c r="P75" s="50">
        <v>38</v>
      </c>
      <c r="Q75" s="50">
        <v>38</v>
      </c>
      <c r="R75" s="50">
        <v>34.6</v>
      </c>
      <c r="S75" s="50">
        <v>34.5</v>
      </c>
      <c r="T75" s="50">
        <v>34.5</v>
      </c>
      <c r="U75" s="50">
        <v>32</v>
      </c>
      <c r="V75" s="50">
        <v>26.1</v>
      </c>
      <c r="W75" s="50">
        <v>25</v>
      </c>
      <c r="X75" s="50">
        <v>25</v>
      </c>
      <c r="Y75" s="50">
        <v>20</v>
      </c>
      <c r="Z75" s="50">
        <v>19</v>
      </c>
      <c r="AA75" s="50">
        <v>21</v>
      </c>
      <c r="AB75" s="50">
        <v>23</v>
      </c>
      <c r="AC75" s="50">
        <v>23.6</v>
      </c>
      <c r="AD75" s="50">
        <v>22.9</v>
      </c>
      <c r="AE75" s="50">
        <v>23.6</v>
      </c>
      <c r="AF75" s="50">
        <v>26.1</v>
      </c>
      <c r="AG75" s="82"/>
      <c r="AH75" s="52">
        <f t="shared" ref="AH75:AH117" si="15">MAX(B75:AF75)</f>
        <v>38</v>
      </c>
      <c r="AI75" s="53">
        <f t="shared" ref="AI75:AI117" si="16">MIN(B75:AF75)</f>
        <v>19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5"/>
        <v>0</v>
      </c>
      <c r="AI76" s="53">
        <f t="shared" si="16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5"/>
        <v>0</v>
      </c>
      <c r="AI77" s="53">
        <f t="shared" si="16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5"/>
        <v>0</v>
      </c>
      <c r="AI78" s="53">
        <f t="shared" si="16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5"/>
        <v>0</v>
      </c>
      <c r="AI79" s="53">
        <f t="shared" si="16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5"/>
        <v>0</v>
      </c>
      <c r="AI80" s="53">
        <f t="shared" si="16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5"/>
        <v>0</v>
      </c>
      <c r="AI81" s="53">
        <f t="shared" si="16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7">SUMIF(B71:B81,"&gt;0")</f>
        <v>406.09999999999997</v>
      </c>
      <c r="C82" s="67">
        <f t="shared" si="17"/>
        <v>405</v>
      </c>
      <c r="D82" s="67">
        <f t="shared" si="17"/>
        <v>405.5</v>
      </c>
      <c r="E82" s="67">
        <f t="shared" si="17"/>
        <v>418.5</v>
      </c>
      <c r="F82" s="67">
        <f t="shared" si="17"/>
        <v>418.5</v>
      </c>
      <c r="G82" s="67">
        <f t="shared" ref="G82:H82" si="18">SUMIF(G71:G81,"&gt;0")</f>
        <v>482.5</v>
      </c>
      <c r="H82" s="67">
        <f t="shared" si="18"/>
        <v>497.5</v>
      </c>
      <c r="I82" s="67">
        <f t="shared" ref="I82:J82" si="19">SUMIF(I71:I81,"&gt;0")</f>
        <v>465.5</v>
      </c>
      <c r="J82" s="67">
        <f t="shared" si="19"/>
        <v>428.40000000000003</v>
      </c>
      <c r="K82" s="67">
        <f t="shared" si="17"/>
        <v>388</v>
      </c>
      <c r="L82" s="67">
        <f t="shared" si="17"/>
        <v>402.7</v>
      </c>
      <c r="M82" s="67">
        <f t="shared" si="17"/>
        <v>425.99999999999994</v>
      </c>
      <c r="N82" s="67">
        <f t="shared" si="17"/>
        <v>493.1</v>
      </c>
      <c r="O82" s="67">
        <f t="shared" si="17"/>
        <v>523.6</v>
      </c>
      <c r="P82" s="67">
        <f t="shared" si="17"/>
        <v>510.2</v>
      </c>
      <c r="Q82" s="67">
        <f t="shared" si="17"/>
        <v>500</v>
      </c>
      <c r="R82" s="67">
        <f t="shared" si="17"/>
        <v>497.00000000000006</v>
      </c>
      <c r="S82" s="67">
        <f t="shared" si="17"/>
        <v>506.6</v>
      </c>
      <c r="T82" s="67">
        <f t="shared" si="17"/>
        <v>518</v>
      </c>
      <c r="U82" s="67">
        <f t="shared" si="17"/>
        <v>501</v>
      </c>
      <c r="V82" s="67">
        <f t="shared" si="17"/>
        <v>464.3</v>
      </c>
      <c r="W82" s="67">
        <f t="shared" si="17"/>
        <v>482</v>
      </c>
      <c r="X82" s="67">
        <f t="shared" si="17"/>
        <v>481.20000000000005</v>
      </c>
      <c r="Y82" s="67">
        <f t="shared" si="17"/>
        <v>481.7</v>
      </c>
      <c r="Z82" s="67">
        <f t="shared" si="17"/>
        <v>422</v>
      </c>
      <c r="AA82" s="67">
        <f t="shared" si="17"/>
        <v>419</v>
      </c>
      <c r="AB82" s="67">
        <f t="shared" si="17"/>
        <v>403.09999999999997</v>
      </c>
      <c r="AC82" s="67">
        <f t="shared" si="17"/>
        <v>424.70000000000005</v>
      </c>
      <c r="AD82" s="67">
        <f t="shared" si="17"/>
        <v>421.79999999999995</v>
      </c>
      <c r="AE82" s="67">
        <f t="shared" si="17"/>
        <v>429.90000000000003</v>
      </c>
      <c r="AF82" s="67">
        <f t="shared" si="17"/>
        <v>434.70000000000005</v>
      </c>
      <c r="AG82" s="95">
        <f>SUM(AG71:AG81)</f>
        <v>0</v>
      </c>
      <c r="AH82" s="52">
        <f t="shared" si="15"/>
        <v>523.6</v>
      </c>
      <c r="AI82" s="53">
        <f t="shared" si="16"/>
        <v>388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5"/>
        <v>0</v>
      </c>
      <c r="AI83" s="53">
        <f t="shared" si="16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5"/>
        <v>0</v>
      </c>
      <c r="AI84" s="53">
        <f t="shared" si="16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5"/>
        <v>0</v>
      </c>
      <c r="AI85" s="53">
        <f t="shared" si="16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5"/>
        <v>0</v>
      </c>
      <c r="AI86" s="53">
        <f t="shared" si="16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20">B48+B52+B70+B66+B82+B86</f>
        <v>1050.1400000000001</v>
      </c>
      <c r="C87" s="102">
        <f t="shared" si="20"/>
        <v>995.74</v>
      </c>
      <c r="D87" s="102">
        <f t="shared" si="20"/>
        <v>984.34</v>
      </c>
      <c r="E87" s="102">
        <f t="shared" si="20"/>
        <v>956.34</v>
      </c>
      <c r="F87" s="102">
        <f t="shared" si="20"/>
        <v>945.34</v>
      </c>
      <c r="G87" s="102">
        <f t="shared" ref="G87:H87" si="21">G48+G52+G70+G66+G82+G86</f>
        <v>999.34</v>
      </c>
      <c r="H87" s="102">
        <f t="shared" si="21"/>
        <v>1053.3400000000001</v>
      </c>
      <c r="I87" s="102">
        <f t="shared" ref="I87:J87" si="22">I48+I52+I70+I66+I82+I86</f>
        <v>1021.34</v>
      </c>
      <c r="J87" s="102">
        <f t="shared" si="22"/>
        <v>1065.1400000000001</v>
      </c>
      <c r="K87" s="102">
        <f t="shared" si="20"/>
        <v>1159.74</v>
      </c>
      <c r="L87" s="102">
        <f t="shared" si="20"/>
        <v>1233.44</v>
      </c>
      <c r="M87" s="102">
        <f t="shared" si="20"/>
        <v>1250.6400000000001</v>
      </c>
      <c r="N87" s="102">
        <f t="shared" si="20"/>
        <v>1283.74</v>
      </c>
      <c r="O87" s="102">
        <f t="shared" si="20"/>
        <v>1302.24</v>
      </c>
      <c r="P87" s="102">
        <f t="shared" si="20"/>
        <v>1278.3399999999999</v>
      </c>
      <c r="Q87" s="102">
        <f t="shared" si="20"/>
        <v>1282.54</v>
      </c>
      <c r="R87" s="102">
        <f t="shared" si="20"/>
        <v>1254.8400000000001</v>
      </c>
      <c r="S87" s="102">
        <f t="shared" si="20"/>
        <v>1266.74</v>
      </c>
      <c r="T87" s="102">
        <f t="shared" si="20"/>
        <v>1268.1399999999999</v>
      </c>
      <c r="U87" s="102">
        <f t="shared" si="20"/>
        <v>1272.94</v>
      </c>
      <c r="V87" s="102">
        <f t="shared" si="20"/>
        <v>1210.94</v>
      </c>
      <c r="W87" s="102">
        <f t="shared" si="20"/>
        <v>1157.3399999999999</v>
      </c>
      <c r="X87" s="102">
        <f t="shared" si="20"/>
        <v>1190.94</v>
      </c>
      <c r="Y87" s="102">
        <f t="shared" si="20"/>
        <v>1304.54</v>
      </c>
      <c r="Z87" s="102">
        <f t="shared" si="20"/>
        <v>1460.64</v>
      </c>
      <c r="AA87" s="102">
        <f t="shared" si="20"/>
        <v>1371.8400000000001</v>
      </c>
      <c r="AB87" s="102">
        <f t="shared" si="20"/>
        <v>1360.14</v>
      </c>
      <c r="AC87" s="102">
        <f t="shared" si="20"/>
        <v>1388.7400000000002</v>
      </c>
      <c r="AD87" s="102">
        <f t="shared" si="20"/>
        <v>1296.44</v>
      </c>
      <c r="AE87" s="102">
        <f t="shared" si="20"/>
        <v>1222.3400000000001</v>
      </c>
      <c r="AF87" s="102">
        <f t="shared" si="20"/>
        <v>1159.94</v>
      </c>
      <c r="AG87" s="68">
        <f t="shared" si="20"/>
        <v>2180.09</v>
      </c>
      <c r="AH87" s="52">
        <f>MAX(B87:AF87)</f>
        <v>1460.64</v>
      </c>
      <c r="AI87" s="53">
        <f>MIN(B87:AF87)</f>
        <v>945.34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120</v>
      </c>
      <c r="L88" s="104">
        <v>120</v>
      </c>
      <c r="M88" s="104">
        <v>120</v>
      </c>
      <c r="N88" s="104"/>
      <c r="O88" s="104"/>
      <c r="P88" s="104"/>
      <c r="Q88" s="104"/>
      <c r="R88" s="104"/>
      <c r="S88" s="104"/>
      <c r="T88" s="104"/>
      <c r="U88" s="104"/>
      <c r="V88" s="104"/>
      <c r="W88" s="104">
        <v>50</v>
      </c>
      <c r="X88" s="104">
        <v>100</v>
      </c>
      <c r="Y88" s="104">
        <v>100</v>
      </c>
      <c r="Z88" s="104">
        <v>100</v>
      </c>
      <c r="AA88" s="104">
        <v>100</v>
      </c>
      <c r="AB88" s="104">
        <v>100</v>
      </c>
      <c r="AC88" s="104">
        <v>100</v>
      </c>
      <c r="AD88" s="104">
        <v>80</v>
      </c>
      <c r="AE88" s="104"/>
      <c r="AF88" s="104"/>
      <c r="AG88" s="95"/>
      <c r="AH88" s="52">
        <f t="shared" si="15"/>
        <v>120</v>
      </c>
      <c r="AI88" s="53">
        <f t="shared" si="16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23">B87+B88</f>
        <v>1050.1400000000001</v>
      </c>
      <c r="C89" s="102">
        <f t="shared" si="23"/>
        <v>995.74</v>
      </c>
      <c r="D89" s="102">
        <f t="shared" si="23"/>
        <v>984.34</v>
      </c>
      <c r="E89" s="102">
        <f t="shared" si="23"/>
        <v>956.34</v>
      </c>
      <c r="F89" s="102">
        <f t="shared" si="23"/>
        <v>945.34</v>
      </c>
      <c r="G89" s="102">
        <f t="shared" ref="G89:H89" si="24">G87+G88</f>
        <v>999.34</v>
      </c>
      <c r="H89" s="102">
        <f t="shared" si="24"/>
        <v>1053.3400000000001</v>
      </c>
      <c r="I89" s="102">
        <f t="shared" ref="I89:J89" si="25">I87+I88</f>
        <v>1021.34</v>
      </c>
      <c r="J89" s="102">
        <f t="shared" si="25"/>
        <v>1065.1400000000001</v>
      </c>
      <c r="K89" s="102">
        <f t="shared" si="23"/>
        <v>1279.74</v>
      </c>
      <c r="L89" s="102">
        <f t="shared" si="23"/>
        <v>1353.44</v>
      </c>
      <c r="M89" s="102">
        <f t="shared" si="23"/>
        <v>1370.64</v>
      </c>
      <c r="N89" s="102">
        <f t="shared" si="23"/>
        <v>1283.74</v>
      </c>
      <c r="O89" s="102">
        <f t="shared" si="23"/>
        <v>1302.24</v>
      </c>
      <c r="P89" s="102">
        <f t="shared" si="23"/>
        <v>1278.3399999999999</v>
      </c>
      <c r="Q89" s="102">
        <f t="shared" si="23"/>
        <v>1282.54</v>
      </c>
      <c r="R89" s="102">
        <f t="shared" si="23"/>
        <v>1254.8400000000001</v>
      </c>
      <c r="S89" s="102">
        <f t="shared" si="23"/>
        <v>1266.74</v>
      </c>
      <c r="T89" s="102">
        <f t="shared" si="23"/>
        <v>1268.1399999999999</v>
      </c>
      <c r="U89" s="102">
        <f t="shared" si="23"/>
        <v>1272.94</v>
      </c>
      <c r="V89" s="102">
        <f t="shared" si="23"/>
        <v>1210.94</v>
      </c>
      <c r="W89" s="102">
        <f t="shared" si="23"/>
        <v>1207.3399999999999</v>
      </c>
      <c r="X89" s="102">
        <f t="shared" si="23"/>
        <v>1290.94</v>
      </c>
      <c r="Y89" s="102">
        <f t="shared" si="23"/>
        <v>1404.54</v>
      </c>
      <c r="Z89" s="102">
        <f t="shared" si="23"/>
        <v>1560.64</v>
      </c>
      <c r="AA89" s="102">
        <f t="shared" si="23"/>
        <v>1471.8400000000001</v>
      </c>
      <c r="AB89" s="102">
        <f t="shared" si="23"/>
        <v>1460.14</v>
      </c>
      <c r="AC89" s="102">
        <f t="shared" si="23"/>
        <v>1488.7400000000002</v>
      </c>
      <c r="AD89" s="102">
        <f t="shared" si="23"/>
        <v>1376.44</v>
      </c>
      <c r="AE89" s="102">
        <f t="shared" si="23"/>
        <v>1222.3400000000001</v>
      </c>
      <c r="AF89" s="102">
        <f t="shared" si="23"/>
        <v>1159.94</v>
      </c>
      <c r="AG89" s="95">
        <f>AG86+AG82+AG70+AG66+AG48+AG88</f>
        <v>1641.99</v>
      </c>
      <c r="AH89" s="52">
        <f t="shared" si="15"/>
        <v>1560.64</v>
      </c>
      <c r="AI89" s="53">
        <f t="shared" si="16"/>
        <v>945.34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26">B89-B97</f>
        <v>1050.1400000000001</v>
      </c>
      <c r="C90" s="102">
        <f t="shared" si="26"/>
        <v>995.74</v>
      </c>
      <c r="D90" s="102">
        <f t="shared" si="26"/>
        <v>984.34</v>
      </c>
      <c r="E90" s="102">
        <f t="shared" si="26"/>
        <v>956.34</v>
      </c>
      <c r="F90" s="102">
        <f t="shared" si="26"/>
        <v>945.34</v>
      </c>
      <c r="G90" s="102">
        <f t="shared" ref="G90:H90" si="27">G89-G97</f>
        <v>999.34</v>
      </c>
      <c r="H90" s="102">
        <f t="shared" si="27"/>
        <v>1053.3400000000001</v>
      </c>
      <c r="I90" s="102">
        <f t="shared" ref="I90:J90" si="28">I89-I97</f>
        <v>1021.34</v>
      </c>
      <c r="J90" s="102">
        <f t="shared" si="28"/>
        <v>1065.1400000000001</v>
      </c>
      <c r="K90" s="102">
        <f t="shared" si="26"/>
        <v>1279.74</v>
      </c>
      <c r="L90" s="102">
        <f t="shared" si="26"/>
        <v>1353.44</v>
      </c>
      <c r="M90" s="102">
        <f t="shared" si="26"/>
        <v>1370.64</v>
      </c>
      <c r="N90" s="102">
        <f t="shared" si="26"/>
        <v>1283.74</v>
      </c>
      <c r="O90" s="102">
        <f t="shared" si="26"/>
        <v>1302.24</v>
      </c>
      <c r="P90" s="102">
        <f t="shared" si="26"/>
        <v>1278.3399999999999</v>
      </c>
      <c r="Q90" s="102">
        <f t="shared" si="26"/>
        <v>1282.54</v>
      </c>
      <c r="R90" s="102">
        <f t="shared" si="26"/>
        <v>1254.8400000000001</v>
      </c>
      <c r="S90" s="102">
        <f t="shared" si="26"/>
        <v>1266.74</v>
      </c>
      <c r="T90" s="102">
        <f t="shared" si="26"/>
        <v>1268.1399999999999</v>
      </c>
      <c r="U90" s="102">
        <f t="shared" si="26"/>
        <v>1272.94</v>
      </c>
      <c r="V90" s="102">
        <f t="shared" si="26"/>
        <v>1210.94</v>
      </c>
      <c r="W90" s="102">
        <f t="shared" si="26"/>
        <v>1207.3399999999999</v>
      </c>
      <c r="X90" s="102">
        <f t="shared" si="26"/>
        <v>1290.94</v>
      </c>
      <c r="Y90" s="102">
        <f t="shared" si="26"/>
        <v>1404.54</v>
      </c>
      <c r="Z90" s="102">
        <f t="shared" si="26"/>
        <v>1560.64</v>
      </c>
      <c r="AA90" s="102">
        <f t="shared" si="26"/>
        <v>1471.8400000000001</v>
      </c>
      <c r="AB90" s="102">
        <f t="shared" si="26"/>
        <v>1460.14</v>
      </c>
      <c r="AC90" s="102">
        <f t="shared" si="26"/>
        <v>1488.7400000000002</v>
      </c>
      <c r="AD90" s="102">
        <f t="shared" si="26"/>
        <v>1376.44</v>
      </c>
      <c r="AE90" s="102">
        <f t="shared" si="26"/>
        <v>1222.3400000000001</v>
      </c>
      <c r="AF90" s="102">
        <f t="shared" si="26"/>
        <v>1159.94</v>
      </c>
      <c r="AG90" s="95"/>
      <c r="AH90" s="52">
        <f t="shared" si="15"/>
        <v>1560.64</v>
      </c>
      <c r="AI90" s="53">
        <f t="shared" si="16"/>
        <v>945.34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5"/>
        <v>0</v>
      </c>
      <c r="AI91" s="53">
        <f t="shared" si="16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5"/>
        <v>0</v>
      </c>
      <c r="AI92" s="53">
        <f t="shared" si="16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5"/>
        <v>0</v>
      </c>
      <c r="AI93" s="53">
        <f t="shared" si="16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5"/>
        <v>0</v>
      </c>
      <c r="AI94" s="53">
        <f t="shared" si="16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5"/>
        <v>0</v>
      </c>
      <c r="AI95" s="53">
        <f t="shared" si="16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5"/>
        <v>0</v>
      </c>
      <c r="AI96" s="53">
        <f t="shared" si="16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5"/>
        <v>0</v>
      </c>
      <c r="AI97" s="53">
        <f t="shared" si="16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9">B82-B97</f>
        <v>406.09999999999997</v>
      </c>
      <c r="C98" s="67">
        <f t="shared" si="29"/>
        <v>405</v>
      </c>
      <c r="D98" s="67">
        <f t="shared" si="29"/>
        <v>405.5</v>
      </c>
      <c r="E98" s="67">
        <f t="shared" si="29"/>
        <v>418.5</v>
      </c>
      <c r="F98" s="67">
        <f t="shared" si="29"/>
        <v>418.5</v>
      </c>
      <c r="G98" s="67">
        <f t="shared" si="29"/>
        <v>482.5</v>
      </c>
      <c r="H98" s="67">
        <f t="shared" si="29"/>
        <v>497.5</v>
      </c>
      <c r="I98" s="67">
        <f t="shared" si="29"/>
        <v>465.5</v>
      </c>
      <c r="J98" s="67">
        <f t="shared" si="29"/>
        <v>428.40000000000003</v>
      </c>
      <c r="K98" s="67">
        <f t="shared" si="29"/>
        <v>388</v>
      </c>
      <c r="L98" s="67">
        <f t="shared" si="29"/>
        <v>402.7</v>
      </c>
      <c r="M98" s="67">
        <f t="shared" si="29"/>
        <v>425.99999999999994</v>
      </c>
      <c r="N98" s="67">
        <f t="shared" si="29"/>
        <v>493.1</v>
      </c>
      <c r="O98" s="67">
        <f t="shared" si="29"/>
        <v>523.6</v>
      </c>
      <c r="P98" s="67">
        <f t="shared" si="29"/>
        <v>510.2</v>
      </c>
      <c r="Q98" s="67">
        <f t="shared" si="29"/>
        <v>500</v>
      </c>
      <c r="R98" s="67">
        <f t="shared" si="29"/>
        <v>497.00000000000006</v>
      </c>
      <c r="S98" s="67">
        <f t="shared" si="29"/>
        <v>506.6</v>
      </c>
      <c r="T98" s="67">
        <f t="shared" si="29"/>
        <v>518</v>
      </c>
      <c r="U98" s="67">
        <f t="shared" si="29"/>
        <v>501</v>
      </c>
      <c r="V98" s="67">
        <f t="shared" si="29"/>
        <v>464.3</v>
      </c>
      <c r="W98" s="67">
        <f t="shared" si="29"/>
        <v>482</v>
      </c>
      <c r="X98" s="67">
        <f t="shared" si="29"/>
        <v>481.20000000000005</v>
      </c>
      <c r="Y98" s="67">
        <f t="shared" si="29"/>
        <v>481.7</v>
      </c>
      <c r="Z98" s="67">
        <f t="shared" si="29"/>
        <v>422</v>
      </c>
      <c r="AA98" s="67">
        <f t="shared" si="29"/>
        <v>419</v>
      </c>
      <c r="AB98" s="67">
        <f t="shared" si="29"/>
        <v>403.09999999999997</v>
      </c>
      <c r="AC98" s="67">
        <f t="shared" si="29"/>
        <v>424.70000000000005</v>
      </c>
      <c r="AD98" s="67">
        <f t="shared" si="29"/>
        <v>421.79999999999995</v>
      </c>
      <c r="AE98" s="67">
        <f t="shared" si="29"/>
        <v>429.90000000000003</v>
      </c>
      <c r="AF98" s="67">
        <f t="shared" si="29"/>
        <v>434.70000000000005</v>
      </c>
      <c r="AG98" s="95"/>
      <c r="AH98" s="52">
        <f t="shared" si="15"/>
        <v>523.6</v>
      </c>
      <c r="AI98" s="53">
        <f t="shared" si="16"/>
        <v>388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49.981999999999999</v>
      </c>
      <c r="C99" s="108">
        <v>49.97</v>
      </c>
      <c r="D99" s="108">
        <v>49.917999999999999</v>
      </c>
      <c r="E99" s="108">
        <v>49.98</v>
      </c>
      <c r="F99" s="108">
        <v>49.9</v>
      </c>
      <c r="G99" s="108">
        <v>49.9</v>
      </c>
      <c r="H99" s="108">
        <v>49.9</v>
      </c>
      <c r="I99" s="108">
        <v>49.9</v>
      </c>
      <c r="J99" s="108">
        <v>50.07</v>
      </c>
      <c r="K99" s="108">
        <v>50.09</v>
      </c>
      <c r="L99" s="108">
        <v>50</v>
      </c>
      <c r="M99" s="108">
        <v>50.106999999999999</v>
      </c>
      <c r="N99" s="108">
        <v>49.975999999999999</v>
      </c>
      <c r="O99" s="108">
        <v>50.05</v>
      </c>
      <c r="P99" s="108">
        <v>49.957999999999998</v>
      </c>
      <c r="Q99" s="108">
        <v>50.018000000000001</v>
      </c>
      <c r="R99" s="108">
        <v>49.884</v>
      </c>
      <c r="S99" s="108">
        <v>50.102699999999999</v>
      </c>
      <c r="T99" s="108">
        <v>50.102699999999999</v>
      </c>
      <c r="U99" s="108">
        <v>49.938000000000002</v>
      </c>
      <c r="V99" s="108">
        <v>49.802999999999997</v>
      </c>
      <c r="W99" s="108">
        <v>50.061999999999998</v>
      </c>
      <c r="X99" s="108">
        <v>50</v>
      </c>
      <c r="Y99" s="108">
        <v>50.118000000000002</v>
      </c>
      <c r="Z99" s="108">
        <v>50.048000000000002</v>
      </c>
      <c r="AA99" s="108">
        <v>50.01</v>
      </c>
      <c r="AB99" s="108">
        <v>50.067999999999998</v>
      </c>
      <c r="AC99" s="108">
        <v>49.941000000000003</v>
      </c>
      <c r="AD99" s="108">
        <v>49.856000000000002</v>
      </c>
      <c r="AE99" s="108">
        <v>50.000999999999998</v>
      </c>
      <c r="AF99" s="108">
        <v>49.99</v>
      </c>
      <c r="AG99" s="109"/>
      <c r="AH99" s="52">
        <f t="shared" si="15"/>
        <v>50.118000000000002</v>
      </c>
      <c r="AI99" s="53">
        <f t="shared" si="16"/>
        <v>49.802999999999997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126.6</v>
      </c>
      <c r="C100" s="72">
        <v>126.6</v>
      </c>
      <c r="D100" s="72">
        <v>128</v>
      </c>
      <c r="E100" s="72">
        <v>128</v>
      </c>
      <c r="F100" s="72">
        <v>128.69999999999999</v>
      </c>
      <c r="G100" s="72">
        <v>128.69999999999999</v>
      </c>
      <c r="H100" s="72">
        <v>128.69999999999999</v>
      </c>
      <c r="I100" s="72">
        <v>128.69999999999999</v>
      </c>
      <c r="J100" s="72">
        <v>127.3</v>
      </c>
      <c r="K100" s="72">
        <v>127.8</v>
      </c>
      <c r="L100" s="72">
        <v>127.2</v>
      </c>
      <c r="M100" s="72">
        <v>125.7</v>
      </c>
      <c r="N100" s="72">
        <v>126.1</v>
      </c>
      <c r="O100" s="72">
        <v>126.2</v>
      </c>
      <c r="P100" s="72">
        <v>126.5</v>
      </c>
      <c r="Q100" s="72">
        <v>126.2</v>
      </c>
      <c r="R100" s="72">
        <v>127</v>
      </c>
      <c r="S100" s="72">
        <v>126.6</v>
      </c>
      <c r="T100" s="72">
        <v>126.6</v>
      </c>
      <c r="U100" s="72">
        <v>128.30000000000001</v>
      </c>
      <c r="V100" s="72">
        <v>128.19999999999999</v>
      </c>
      <c r="W100" s="72">
        <v>127.8</v>
      </c>
      <c r="X100" s="72">
        <v>127.8</v>
      </c>
      <c r="Y100" s="72">
        <v>129</v>
      </c>
      <c r="Z100" s="72">
        <v>128.30000000000001</v>
      </c>
      <c r="AA100" s="72">
        <v>130.19999999999999</v>
      </c>
      <c r="AB100" s="72">
        <v>129.69999999999999</v>
      </c>
      <c r="AC100" s="72">
        <v>128.5</v>
      </c>
      <c r="AD100" s="72">
        <v>127.8</v>
      </c>
      <c r="AE100" s="72">
        <v>129</v>
      </c>
      <c r="AF100" s="72">
        <v>127.8</v>
      </c>
      <c r="AG100" s="111"/>
      <c r="AH100" s="52">
        <f t="shared" si="15"/>
        <v>130.19999999999999</v>
      </c>
      <c r="AI100" s="53">
        <f t="shared" si="16"/>
        <v>125.7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130.69999999999999</v>
      </c>
      <c r="C101" s="72">
        <v>130.69999999999999</v>
      </c>
      <c r="D101" s="72">
        <v>131.80000000000001</v>
      </c>
      <c r="E101" s="72">
        <v>131.80000000000001</v>
      </c>
      <c r="F101" s="72">
        <v>132.9</v>
      </c>
      <c r="G101" s="72">
        <v>132.9</v>
      </c>
      <c r="H101" s="72">
        <v>132.9</v>
      </c>
      <c r="I101" s="72">
        <v>132.9</v>
      </c>
      <c r="J101" s="72">
        <v>129.69999999999999</v>
      </c>
      <c r="K101" s="72">
        <v>129.69999999999999</v>
      </c>
      <c r="L101" s="72">
        <v>129.4</v>
      </c>
      <c r="M101" s="72">
        <v>127.8</v>
      </c>
      <c r="N101" s="72">
        <v>128.69999999999999</v>
      </c>
      <c r="O101" s="72">
        <v>128.69999999999999</v>
      </c>
      <c r="P101" s="72">
        <v>129.5</v>
      </c>
      <c r="Q101" s="72">
        <v>129.5</v>
      </c>
      <c r="R101" s="72">
        <v>129.80000000000001</v>
      </c>
      <c r="S101" s="72">
        <v>129.69999999999999</v>
      </c>
      <c r="T101" s="72">
        <v>129.69999999999999</v>
      </c>
      <c r="U101" s="72">
        <v>130.80000000000001</v>
      </c>
      <c r="V101" s="72">
        <v>130.5</v>
      </c>
      <c r="W101" s="72">
        <v>130.1</v>
      </c>
      <c r="X101" s="72">
        <v>130.1</v>
      </c>
      <c r="Y101" s="72">
        <v>130.4</v>
      </c>
      <c r="Z101" s="72">
        <v>130</v>
      </c>
      <c r="AA101" s="72">
        <v>131.6</v>
      </c>
      <c r="AB101" s="72">
        <v>131.80000000000001</v>
      </c>
      <c r="AC101" s="72">
        <v>131.19999999999999</v>
      </c>
      <c r="AD101" s="72">
        <v>131.4</v>
      </c>
      <c r="AE101" s="72">
        <v>132.69999999999999</v>
      </c>
      <c r="AF101" s="72">
        <v>131.69999999999999</v>
      </c>
      <c r="AG101" s="111"/>
      <c r="AH101" s="52">
        <f t="shared" si="15"/>
        <v>132.9</v>
      </c>
      <c r="AI101" s="53">
        <f t="shared" si="16"/>
        <v>127.8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</v>
      </c>
      <c r="C102" s="72">
        <v>130</v>
      </c>
      <c r="D102" s="72">
        <v>131.9</v>
      </c>
      <c r="E102" s="72">
        <v>131.9</v>
      </c>
      <c r="F102" s="72">
        <v>132.6</v>
      </c>
      <c r="G102" s="72">
        <v>132.6</v>
      </c>
      <c r="H102" s="72">
        <v>132.6</v>
      </c>
      <c r="I102" s="72">
        <v>132.6</v>
      </c>
      <c r="J102" s="72">
        <v>129.30000000000001</v>
      </c>
      <c r="K102" s="72">
        <v>129.19999999999999</v>
      </c>
      <c r="L102" s="72">
        <v>128.30000000000001</v>
      </c>
      <c r="M102" s="72">
        <v>128.19999999999999</v>
      </c>
      <c r="N102" s="72">
        <v>124.9</v>
      </c>
      <c r="O102" s="72">
        <v>124.9</v>
      </c>
      <c r="P102" s="72">
        <v>129.30000000000001</v>
      </c>
      <c r="Q102" s="72">
        <v>129.30000000000001</v>
      </c>
      <c r="R102" s="72">
        <v>128.69999999999999</v>
      </c>
      <c r="S102" s="72">
        <v>130.9</v>
      </c>
      <c r="T102" s="72">
        <v>130.9</v>
      </c>
      <c r="U102" s="72">
        <v>133.69999999999999</v>
      </c>
      <c r="V102" s="72">
        <v>129.69999999999999</v>
      </c>
      <c r="W102" s="72">
        <v>131.19999999999999</v>
      </c>
      <c r="X102" s="72">
        <v>131.19999999999999</v>
      </c>
      <c r="Y102" s="72">
        <v>126.8</v>
      </c>
      <c r="Z102" s="72">
        <v>128</v>
      </c>
      <c r="AA102" s="72">
        <v>131.5</v>
      </c>
      <c r="AB102" s="72">
        <v>129.4</v>
      </c>
      <c r="AC102" s="72">
        <v>132.4</v>
      </c>
      <c r="AD102" s="72">
        <v>131.69999999999999</v>
      </c>
      <c r="AE102" s="72">
        <v>130.19999999999999</v>
      </c>
      <c r="AF102" s="72">
        <v>129.80000000000001</v>
      </c>
      <c r="AG102" s="111"/>
      <c r="AH102" s="52">
        <f t="shared" si="15"/>
        <v>133.69999999999999</v>
      </c>
      <c r="AI102" s="53">
        <f t="shared" si="16"/>
        <v>124.9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5"/>
        <v>0</v>
      </c>
      <c r="AI103" s="53">
        <f t="shared" si="16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130</v>
      </c>
      <c r="C104" s="113">
        <v>130</v>
      </c>
      <c r="D104" s="113">
        <v>129</v>
      </c>
      <c r="E104" s="113">
        <v>129</v>
      </c>
      <c r="F104" s="113">
        <v>134.9</v>
      </c>
      <c r="G104" s="113">
        <v>134.9</v>
      </c>
      <c r="H104" s="113">
        <v>134.9</v>
      </c>
      <c r="I104" s="113">
        <v>134.9</v>
      </c>
      <c r="J104" s="113">
        <v>133.6</v>
      </c>
      <c r="K104" s="113">
        <v>134.5</v>
      </c>
      <c r="L104" s="113">
        <v>133.9</v>
      </c>
      <c r="M104" s="113">
        <v>133.30000000000001</v>
      </c>
      <c r="N104" s="113">
        <v>131</v>
      </c>
      <c r="O104" s="113">
        <v>131</v>
      </c>
      <c r="P104" s="113">
        <v>131.6</v>
      </c>
      <c r="Q104" s="113">
        <v>131.6</v>
      </c>
      <c r="R104" s="113">
        <v>132.80000000000001</v>
      </c>
      <c r="S104" s="113">
        <v>131.69999999999999</v>
      </c>
      <c r="T104" s="113">
        <v>131.69999999999999</v>
      </c>
      <c r="U104" s="113">
        <v>134.19999999999999</v>
      </c>
      <c r="V104" s="113">
        <v>132</v>
      </c>
      <c r="W104" s="113">
        <v>131.69999999999999</v>
      </c>
      <c r="X104" s="113">
        <v>131.69999999999999</v>
      </c>
      <c r="Y104" s="113">
        <v>134</v>
      </c>
      <c r="Z104" s="113">
        <v>134.9</v>
      </c>
      <c r="AA104" s="113">
        <v>136.4</v>
      </c>
      <c r="AB104" s="113">
        <v>136</v>
      </c>
      <c r="AC104" s="113">
        <v>133.9</v>
      </c>
      <c r="AD104" s="113">
        <v>133.69999999999999</v>
      </c>
      <c r="AE104" s="113">
        <v>132.6</v>
      </c>
      <c r="AF104" s="113">
        <v>129.9</v>
      </c>
      <c r="AG104" s="114"/>
      <c r="AH104" s="52">
        <f t="shared" si="15"/>
        <v>136.4</v>
      </c>
      <c r="AI104" s="53">
        <f t="shared" si="16"/>
        <v>129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131.4</v>
      </c>
      <c r="C105" s="72">
        <v>131.4</v>
      </c>
      <c r="D105" s="72">
        <v>131</v>
      </c>
      <c r="E105" s="72">
        <v>131</v>
      </c>
      <c r="F105" s="72">
        <v>134.6</v>
      </c>
      <c r="G105" s="72">
        <v>134.6</v>
      </c>
      <c r="H105" s="72">
        <v>134.6</v>
      </c>
      <c r="I105" s="72">
        <v>134.6</v>
      </c>
      <c r="J105" s="72">
        <v>131.1</v>
      </c>
      <c r="K105" s="72">
        <v>130.80000000000001</v>
      </c>
      <c r="L105" s="72">
        <v>131.19999999999999</v>
      </c>
      <c r="M105" s="72">
        <v>129.80000000000001</v>
      </c>
      <c r="N105" s="72">
        <v>127</v>
      </c>
      <c r="O105" s="72">
        <v>127</v>
      </c>
      <c r="P105" s="72">
        <v>129.80000000000001</v>
      </c>
      <c r="Q105" s="72">
        <v>129.80000000000001</v>
      </c>
      <c r="R105" s="72">
        <v>130.80000000000001</v>
      </c>
      <c r="S105" s="72">
        <v>133.80000000000001</v>
      </c>
      <c r="T105" s="72">
        <v>133.80000000000001</v>
      </c>
      <c r="U105" s="72">
        <v>128.4</v>
      </c>
      <c r="V105" s="72">
        <v>127</v>
      </c>
      <c r="W105" s="72">
        <v>135.69999999999999</v>
      </c>
      <c r="X105" s="72">
        <v>135.69999999999999</v>
      </c>
      <c r="Y105" s="72">
        <v>132.4</v>
      </c>
      <c r="Z105" s="72">
        <v>127.1</v>
      </c>
      <c r="AA105" s="72">
        <v>134.9</v>
      </c>
      <c r="AB105" s="72">
        <v>136.5</v>
      </c>
      <c r="AC105" s="72">
        <v>137.6</v>
      </c>
      <c r="AD105" s="72"/>
      <c r="AE105" s="72"/>
      <c r="AF105" s="72"/>
      <c r="AG105" s="111"/>
      <c r="AH105" s="52">
        <f t="shared" si="15"/>
        <v>137.6</v>
      </c>
      <c r="AI105" s="53">
        <f t="shared" si="16"/>
        <v>127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65.900000000000006</v>
      </c>
      <c r="C106" s="99">
        <v>65.900000000000006</v>
      </c>
      <c r="D106" s="99">
        <v>66.3</v>
      </c>
      <c r="E106" s="99">
        <v>66.3</v>
      </c>
      <c r="F106" s="99">
        <v>66.7</v>
      </c>
      <c r="G106" s="99">
        <v>66.7</v>
      </c>
      <c r="H106" s="99">
        <v>66.7</v>
      </c>
      <c r="I106" s="99">
        <v>66.7</v>
      </c>
      <c r="J106" s="99">
        <v>65.3</v>
      </c>
      <c r="K106" s="99">
        <v>64.8</v>
      </c>
      <c r="L106" s="99">
        <v>64.900000000000006</v>
      </c>
      <c r="M106" s="99">
        <v>63.9</v>
      </c>
      <c r="N106" s="99">
        <v>64.7</v>
      </c>
      <c r="O106" s="99">
        <v>64.7</v>
      </c>
      <c r="P106" s="99">
        <v>64.900000000000006</v>
      </c>
      <c r="Q106" s="99">
        <v>64.900000000000006</v>
      </c>
      <c r="R106" s="99">
        <v>65.2</v>
      </c>
      <c r="S106" s="99">
        <v>65</v>
      </c>
      <c r="T106" s="99">
        <v>65</v>
      </c>
      <c r="U106" s="99">
        <v>65.5</v>
      </c>
      <c r="V106" s="99">
        <v>65.400000000000006</v>
      </c>
      <c r="W106" s="99">
        <v>65.2</v>
      </c>
      <c r="X106" s="99">
        <v>65.2</v>
      </c>
      <c r="Y106" s="99">
        <v>65.3</v>
      </c>
      <c r="Z106" s="99">
        <v>65</v>
      </c>
      <c r="AA106" s="99">
        <v>65.900000000000006</v>
      </c>
      <c r="AB106" s="99">
        <v>66</v>
      </c>
      <c r="AC106" s="99">
        <v>65.7</v>
      </c>
      <c r="AD106" s="99">
        <v>66</v>
      </c>
      <c r="AE106" s="99">
        <v>66.400000000000006</v>
      </c>
      <c r="AF106" s="99">
        <v>66.099999999999994</v>
      </c>
      <c r="AG106" s="115"/>
      <c r="AH106" s="52">
        <f t="shared" si="15"/>
        <v>66.7</v>
      </c>
      <c r="AI106" s="53">
        <f t="shared" si="16"/>
        <v>63.9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5"/>
        <v>0</v>
      </c>
      <c r="AI107" s="53">
        <f t="shared" si="16"/>
        <v>0</v>
      </c>
    </row>
    <row r="108" spans="1:88" ht="15.75" thickBot="1" x14ac:dyDescent="0.3">
      <c r="A108" s="117" t="s">
        <v>112</v>
      </c>
      <c r="B108" s="118">
        <f t="shared" ref="B108:AF108" si="30">SUM(B18,B24,B27:B28,B56,B58:B59,B61,B63,B109:B113,B135,B141,B147,B156,B158,B170,B177,B180:B181,B188,B190,B192,B196:B198,B200:B202,B207,B213:B214,B216:B218,B226,B231)</f>
        <v>102.3</v>
      </c>
      <c r="C108" s="118">
        <f t="shared" si="30"/>
        <v>93.54</v>
      </c>
      <c r="D108" s="118">
        <f t="shared" si="30"/>
        <v>95.539999999999978</v>
      </c>
      <c r="E108" s="118">
        <f t="shared" ref="E108:F108" si="31">SUM(E18,E24,E27:E28,E56,E58:E59,E61,E63,E109:E113,E135,E141,E147,E156,E158,E170,E177,E180:E181,E188,E190,E192,E196:E198,E200:E202,E207,E213:E214,E216:E218,E226,E231)</f>
        <v>95.539999999999978</v>
      </c>
      <c r="F108" s="118">
        <f t="shared" si="31"/>
        <v>94.239999999999981</v>
      </c>
      <c r="G108" s="118">
        <f t="shared" ref="G108:J108" si="32">SUM(G18,G24,G27:G28,G56,G58:G59,G61,G63,G109:G113,G135,G141,G147,G156,G158,G170,G177,G180:G181,G188,G190,G192,G196:G198,G200:G202,G207,G213:G214,G216:G218,G226,G231)</f>
        <v>94.239999999999981</v>
      </c>
      <c r="H108" s="118">
        <f t="shared" si="32"/>
        <v>94.239999999999981</v>
      </c>
      <c r="I108" s="118">
        <f t="shared" si="32"/>
        <v>94.239999999999981</v>
      </c>
      <c r="J108" s="118">
        <f t="shared" si="32"/>
        <v>202.74</v>
      </c>
      <c r="K108" s="118">
        <f t="shared" si="30"/>
        <v>180.94</v>
      </c>
      <c r="L108" s="118">
        <f t="shared" si="30"/>
        <v>179.23999999999998</v>
      </c>
      <c r="M108" s="118">
        <f t="shared" si="30"/>
        <v>301.04000000000002</v>
      </c>
      <c r="N108" s="118">
        <f t="shared" si="30"/>
        <v>261.54000000000002</v>
      </c>
      <c r="O108" s="118">
        <f t="shared" si="30"/>
        <v>252.53999999999996</v>
      </c>
      <c r="P108" s="118">
        <v>42</v>
      </c>
      <c r="Q108" s="118">
        <f t="shared" si="30"/>
        <v>239.2</v>
      </c>
      <c r="R108" s="118">
        <f t="shared" si="30"/>
        <v>236.29999999999998</v>
      </c>
      <c r="S108" s="118">
        <f t="shared" si="30"/>
        <v>242.2</v>
      </c>
      <c r="T108" s="118">
        <f t="shared" si="30"/>
        <v>242.2</v>
      </c>
      <c r="U108" s="118">
        <f t="shared" si="30"/>
        <v>257.39999999999998</v>
      </c>
      <c r="V108" s="118">
        <f t="shared" si="30"/>
        <v>267.7</v>
      </c>
      <c r="W108" s="118">
        <f t="shared" si="30"/>
        <v>271.2</v>
      </c>
      <c r="X108" s="118">
        <f t="shared" si="30"/>
        <v>272.10000000000002</v>
      </c>
      <c r="Y108" s="118">
        <f t="shared" si="30"/>
        <v>337.29999999999995</v>
      </c>
      <c r="Z108" s="118">
        <f t="shared" si="30"/>
        <v>366</v>
      </c>
      <c r="AA108" s="118">
        <f t="shared" si="30"/>
        <v>337</v>
      </c>
      <c r="AB108" s="118">
        <f t="shared" si="30"/>
        <v>272.39999999999998</v>
      </c>
      <c r="AC108" s="118">
        <f t="shared" si="30"/>
        <v>248.49999999999997</v>
      </c>
      <c r="AD108" s="118">
        <f t="shared" si="30"/>
        <v>214.8</v>
      </c>
      <c r="AE108" s="118">
        <f t="shared" si="30"/>
        <v>194.7</v>
      </c>
      <c r="AF108" s="118">
        <f t="shared" si="30"/>
        <v>-81.900000000000006</v>
      </c>
      <c r="AG108" s="119"/>
      <c r="AH108" s="52">
        <f t="shared" si="15"/>
        <v>366</v>
      </c>
      <c r="AI108" s="53">
        <f t="shared" si="16"/>
        <v>-81.900000000000006</v>
      </c>
    </row>
    <row r="109" spans="1:88" x14ac:dyDescent="0.25">
      <c r="A109" s="107" t="s">
        <v>113</v>
      </c>
      <c r="B109" s="120">
        <v>-26.4</v>
      </c>
      <c r="C109" s="120">
        <v>-28.5</v>
      </c>
      <c r="D109" s="120">
        <v>-18.899999999999999</v>
      </c>
      <c r="E109" s="120">
        <v>-18.899999999999999</v>
      </c>
      <c r="F109" s="120">
        <v>-13.4</v>
      </c>
      <c r="G109" s="120">
        <v>-13.4</v>
      </c>
      <c r="H109" s="120">
        <v>-13.4</v>
      </c>
      <c r="I109" s="120">
        <v>-13.4</v>
      </c>
      <c r="J109" s="120">
        <v>-7.6</v>
      </c>
      <c r="K109" s="120">
        <v>-24.4</v>
      </c>
      <c r="L109" s="120">
        <v>-24.5</v>
      </c>
      <c r="M109" s="120">
        <v>26.9</v>
      </c>
      <c r="N109" s="120">
        <v>10.4</v>
      </c>
      <c r="O109" s="120">
        <v>6.5</v>
      </c>
      <c r="P109" s="120">
        <v>2.2999999999999998</v>
      </c>
      <c r="Q109" s="120">
        <v>0</v>
      </c>
      <c r="R109" s="120">
        <v>1.8</v>
      </c>
      <c r="S109" s="120">
        <v>-3.3</v>
      </c>
      <c r="T109" s="120">
        <v>-3.3</v>
      </c>
      <c r="U109" s="120">
        <v>2.2000000000000002</v>
      </c>
      <c r="V109" s="120">
        <v>0</v>
      </c>
      <c r="W109" s="120">
        <v>1.3</v>
      </c>
      <c r="X109" s="120">
        <v>1</v>
      </c>
      <c r="Y109" s="120">
        <v>15.8</v>
      </c>
      <c r="Z109" s="120">
        <v>23.7</v>
      </c>
      <c r="AA109" s="120">
        <v>22</v>
      </c>
      <c r="AB109" s="120">
        <v>9.9</v>
      </c>
      <c r="AC109" s="120">
        <v>7.5</v>
      </c>
      <c r="AD109" s="120">
        <v>6.7</v>
      </c>
      <c r="AE109" s="120">
        <v>-1.8</v>
      </c>
      <c r="AF109" s="120">
        <v>-17.399999999999999</v>
      </c>
      <c r="AG109" s="121">
        <v>75</v>
      </c>
      <c r="AH109" s="52">
        <f t="shared" si="15"/>
        <v>26.9</v>
      </c>
      <c r="AI109" s="53">
        <f t="shared" si="16"/>
        <v>-28.5</v>
      </c>
    </row>
    <row r="110" spans="1:88" x14ac:dyDescent="0.25">
      <c r="A110" s="110" t="s">
        <v>114</v>
      </c>
      <c r="B110" s="122">
        <v>-32.1</v>
      </c>
      <c r="C110" s="122">
        <v>-33.799999999999997</v>
      </c>
      <c r="D110" s="122">
        <v>-22.3</v>
      </c>
      <c r="E110" s="122">
        <v>-22.3</v>
      </c>
      <c r="F110" s="122">
        <v>-16.399999999999999</v>
      </c>
      <c r="G110" s="122">
        <v>-16.399999999999999</v>
      </c>
      <c r="H110" s="122">
        <v>-16.399999999999999</v>
      </c>
      <c r="I110" s="122">
        <v>-16.399999999999999</v>
      </c>
      <c r="J110" s="122">
        <v>-9</v>
      </c>
      <c r="K110" s="122">
        <v>-26.5</v>
      </c>
      <c r="L110" s="122">
        <v>-26.5</v>
      </c>
      <c r="M110" s="122">
        <v>30.9</v>
      </c>
      <c r="N110" s="122">
        <v>9.1999999999999993</v>
      </c>
      <c r="O110" s="122">
        <v>5.6</v>
      </c>
      <c r="P110" s="122">
        <v>2.2999999999999998</v>
      </c>
      <c r="Q110" s="122">
        <v>-1.4</v>
      </c>
      <c r="R110" s="122">
        <v>2.2999999999999998</v>
      </c>
      <c r="S110" s="122">
        <v>-4.0999999999999996</v>
      </c>
      <c r="T110" s="122">
        <v>-4.0999999999999996</v>
      </c>
      <c r="U110" s="122">
        <v>2.2999999999999998</v>
      </c>
      <c r="V110" s="122">
        <v>-5.2</v>
      </c>
      <c r="W110" s="122">
        <v>-4</v>
      </c>
      <c r="X110" s="122">
        <v>-4.9000000000000004</v>
      </c>
      <c r="Y110" s="122">
        <v>12.8</v>
      </c>
      <c r="Z110" s="122">
        <v>24.6</v>
      </c>
      <c r="AA110" s="122">
        <v>23.1</v>
      </c>
      <c r="AB110" s="122">
        <v>5.4</v>
      </c>
      <c r="AC110" s="122">
        <v>2.5</v>
      </c>
      <c r="AD110" s="122">
        <v>2.7</v>
      </c>
      <c r="AE110" s="122">
        <v>-4.2</v>
      </c>
      <c r="AF110" s="122">
        <v>-24</v>
      </c>
      <c r="AG110" s="121">
        <v>240</v>
      </c>
      <c r="AH110" s="52">
        <f t="shared" si="15"/>
        <v>30.9</v>
      </c>
      <c r="AI110" s="53">
        <f t="shared" si="16"/>
        <v>-33.799999999999997</v>
      </c>
    </row>
    <row r="111" spans="1:88" x14ac:dyDescent="0.25">
      <c r="A111" s="110" t="s">
        <v>115</v>
      </c>
      <c r="B111" s="122">
        <v>-41</v>
      </c>
      <c r="C111" s="122">
        <v>-47</v>
      </c>
      <c r="D111" s="122">
        <v>-51.6</v>
      </c>
      <c r="E111" s="122">
        <v>-51.6</v>
      </c>
      <c r="F111" s="122">
        <f>-33.9-20.4</f>
        <v>-54.3</v>
      </c>
      <c r="G111" s="122">
        <f t="shared" ref="G111:I111" si="33">-33.9-20.4</f>
        <v>-54.3</v>
      </c>
      <c r="H111" s="122">
        <f t="shared" si="33"/>
        <v>-54.3</v>
      </c>
      <c r="I111" s="122">
        <f t="shared" si="33"/>
        <v>-54.3</v>
      </c>
      <c r="J111" s="122">
        <f>-11.1+4.3</f>
        <v>-6.8</v>
      </c>
      <c r="K111" s="122">
        <f>-5.4+10.4</f>
        <v>5</v>
      </c>
      <c r="L111" s="122">
        <f>-9.5+9</f>
        <v>-0.5</v>
      </c>
      <c r="M111" s="122">
        <v>20</v>
      </c>
      <c r="N111" s="122">
        <v>0.4</v>
      </c>
      <c r="O111" s="122">
        <v>2.2999999999999998</v>
      </c>
      <c r="P111" s="122">
        <v>5.2</v>
      </c>
      <c r="Q111" s="122">
        <v>7.4</v>
      </c>
      <c r="R111" s="122">
        <v>6.1</v>
      </c>
      <c r="S111" s="122">
        <v>9</v>
      </c>
      <c r="T111" s="122">
        <v>9</v>
      </c>
      <c r="U111" s="122">
        <v>14</v>
      </c>
      <c r="V111" s="122">
        <v>29</v>
      </c>
      <c r="W111" s="122">
        <v>28</v>
      </c>
      <c r="X111" s="122">
        <v>38</v>
      </c>
      <c r="Y111" s="122">
        <v>49</v>
      </c>
      <c r="Z111" s="122">
        <v>53</v>
      </c>
      <c r="AA111" s="122">
        <v>40</v>
      </c>
      <c r="AB111" s="122">
        <v>3.2</v>
      </c>
      <c r="AC111" s="122">
        <v>-12</v>
      </c>
      <c r="AD111" s="122">
        <v>-28.8</v>
      </c>
      <c r="AE111" s="122">
        <v>-61</v>
      </c>
      <c r="AF111" s="122">
        <v>-60</v>
      </c>
      <c r="AG111" s="121">
        <v>240</v>
      </c>
      <c r="AH111" s="52">
        <f t="shared" si="15"/>
        <v>53</v>
      </c>
      <c r="AI111" s="53">
        <f t="shared" si="16"/>
        <v>-61</v>
      </c>
    </row>
    <row r="112" spans="1:88" x14ac:dyDescent="0.25">
      <c r="A112" s="110" t="s">
        <v>116</v>
      </c>
      <c r="B112" s="122">
        <v>16.3</v>
      </c>
      <c r="C112" s="122">
        <v>14.5</v>
      </c>
      <c r="D112" s="122">
        <v>11.2</v>
      </c>
      <c r="E112" s="122">
        <v>11.2</v>
      </c>
      <c r="F112" s="122">
        <v>12.2</v>
      </c>
      <c r="G112" s="122">
        <v>12.2</v>
      </c>
      <c r="H112" s="122">
        <v>12.2</v>
      </c>
      <c r="I112" s="122">
        <v>12.2</v>
      </c>
      <c r="J112" s="122">
        <v>28.2</v>
      </c>
      <c r="K112" s="122">
        <v>36.299999999999997</v>
      </c>
      <c r="L112" s="122">
        <v>37.5</v>
      </c>
      <c r="M112" s="122">
        <v>27.1</v>
      </c>
      <c r="N112" s="122">
        <v>37.700000000000003</v>
      </c>
      <c r="O112" s="122">
        <v>39.299999999999997</v>
      </c>
      <c r="P112" s="122">
        <v>40.6</v>
      </c>
      <c r="Q112" s="122">
        <v>42</v>
      </c>
      <c r="R112" s="122">
        <v>42.8</v>
      </c>
      <c r="S112" s="122">
        <v>39.700000000000003</v>
      </c>
      <c r="T112" s="122">
        <v>39.700000000000003</v>
      </c>
      <c r="U112" s="122">
        <v>42</v>
      </c>
      <c r="V112" s="122">
        <v>44</v>
      </c>
      <c r="W112" s="122">
        <v>42</v>
      </c>
      <c r="X112" s="122">
        <v>44.4</v>
      </c>
      <c r="Y112" s="122">
        <v>58</v>
      </c>
      <c r="Z112" s="122">
        <v>60</v>
      </c>
      <c r="AA112" s="122">
        <v>57</v>
      </c>
      <c r="AB112" s="122">
        <v>48.5</v>
      </c>
      <c r="AC112" s="122">
        <v>51.5</v>
      </c>
      <c r="AD112" s="122">
        <v>35.799999999999997</v>
      </c>
      <c r="AE112" s="122">
        <v>84.2</v>
      </c>
      <c r="AF112" s="122">
        <v>21.8</v>
      </c>
      <c r="AG112" s="121">
        <v>60</v>
      </c>
      <c r="AH112" s="52">
        <f t="shared" si="15"/>
        <v>84.2</v>
      </c>
      <c r="AI112" s="53">
        <f t="shared" si="16"/>
        <v>11.2</v>
      </c>
    </row>
    <row r="113" spans="1:37" x14ac:dyDescent="0.25">
      <c r="A113" s="123" t="s">
        <v>117</v>
      </c>
      <c r="B113" s="124">
        <v>94</v>
      </c>
      <c r="C113" s="124">
        <v>92.9</v>
      </c>
      <c r="D113" s="124">
        <v>93</v>
      </c>
      <c r="E113" s="124">
        <v>93</v>
      </c>
      <c r="F113" s="124">
        <v>73</v>
      </c>
      <c r="G113" s="124">
        <v>73</v>
      </c>
      <c r="H113" s="124">
        <v>73</v>
      </c>
      <c r="I113" s="124">
        <v>73</v>
      </c>
      <c r="J113" s="124">
        <v>104</v>
      </c>
      <c r="K113" s="124">
        <v>96.4</v>
      </c>
      <c r="L113" s="124">
        <v>99.1</v>
      </c>
      <c r="M113" s="124">
        <v>101.5</v>
      </c>
      <c r="N113" s="124">
        <v>110</v>
      </c>
      <c r="O113" s="124">
        <v>105</v>
      </c>
      <c r="P113" s="124">
        <v>100.2</v>
      </c>
      <c r="Q113" s="124">
        <v>99.3</v>
      </c>
      <c r="R113" s="124">
        <v>91.4</v>
      </c>
      <c r="S113" s="124">
        <v>101</v>
      </c>
      <c r="T113" s="124">
        <v>101</v>
      </c>
      <c r="U113" s="124">
        <v>97</v>
      </c>
      <c r="V113" s="124">
        <v>100</v>
      </c>
      <c r="W113" s="124">
        <v>104</v>
      </c>
      <c r="X113" s="124">
        <v>101.9</v>
      </c>
      <c r="Y113" s="124">
        <v>110</v>
      </c>
      <c r="Z113" s="124">
        <v>113</v>
      </c>
      <c r="AA113" s="124">
        <v>104</v>
      </c>
      <c r="AB113" s="124">
        <v>114.5</v>
      </c>
      <c r="AC113" s="124">
        <v>108.6</v>
      </c>
      <c r="AD113" s="124">
        <v>108</v>
      </c>
      <c r="AE113" s="124">
        <v>86.6</v>
      </c>
      <c r="AF113" s="124">
        <v>-93.2</v>
      </c>
      <c r="AG113" s="125">
        <v>120</v>
      </c>
      <c r="AH113" s="52">
        <f t="shared" si="15"/>
        <v>114.5</v>
      </c>
      <c r="AI113" s="53">
        <f t="shared" si="16"/>
        <v>-93.2</v>
      </c>
    </row>
    <row r="114" spans="1:37" x14ac:dyDescent="0.25">
      <c r="A114" s="123" t="s">
        <v>118</v>
      </c>
      <c r="B114" s="124">
        <v>97.6</v>
      </c>
      <c r="C114" s="124">
        <v>102</v>
      </c>
      <c r="D114" s="124">
        <v>104</v>
      </c>
      <c r="E114" s="124">
        <v>104</v>
      </c>
      <c r="F114" s="124">
        <v>84.3</v>
      </c>
      <c r="G114" s="124">
        <v>84.3</v>
      </c>
      <c r="H114" s="124">
        <v>84.3</v>
      </c>
      <c r="I114" s="124">
        <v>84.3</v>
      </c>
      <c r="J114" s="124">
        <v>95.8</v>
      </c>
      <c r="K114" s="124">
        <v>79.599999999999994</v>
      </c>
      <c r="L114" s="124">
        <v>82.6</v>
      </c>
      <c r="M114" s="124">
        <v>84.1</v>
      </c>
      <c r="N114" s="124">
        <v>100</v>
      </c>
      <c r="O114" s="124">
        <v>95.3</v>
      </c>
      <c r="P114" s="124">
        <v>94.4</v>
      </c>
      <c r="Q114" s="124">
        <v>92.2</v>
      </c>
      <c r="R114" s="124">
        <v>88.7</v>
      </c>
      <c r="S114" s="124">
        <v>94</v>
      </c>
      <c r="T114" s="124">
        <v>94</v>
      </c>
      <c r="U114" s="124">
        <v>92</v>
      </c>
      <c r="V114" s="124">
        <v>91</v>
      </c>
      <c r="W114" s="124">
        <v>96</v>
      </c>
      <c r="X114" s="124">
        <v>86.6</v>
      </c>
      <c r="Y114" s="124">
        <v>86</v>
      </c>
      <c r="Z114" s="124">
        <v>82</v>
      </c>
      <c r="AA114" s="124">
        <v>78</v>
      </c>
      <c r="AB114" s="124">
        <v>86.7</v>
      </c>
      <c r="AC114" s="124">
        <v>91.5</v>
      </c>
      <c r="AD114" s="124">
        <v>98.3</v>
      </c>
      <c r="AE114" s="124">
        <v>87.9</v>
      </c>
      <c r="AF114" s="124">
        <v>96.5</v>
      </c>
      <c r="AG114" s="125"/>
      <c r="AH114" s="52">
        <f t="shared" si="15"/>
        <v>104</v>
      </c>
      <c r="AI114" s="53">
        <f t="shared" si="16"/>
        <v>78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>
        <v>20.8</v>
      </c>
      <c r="S115" s="124"/>
      <c r="T115" s="124"/>
      <c r="U115" s="124">
        <v>22</v>
      </c>
      <c r="V115" s="124">
        <v>28</v>
      </c>
      <c r="W115" s="124">
        <v>19.3</v>
      </c>
      <c r="X115" s="124">
        <v>24.9</v>
      </c>
      <c r="Y115" s="124">
        <v>11</v>
      </c>
      <c r="Z115" s="124"/>
      <c r="AA115" s="124">
        <v>10</v>
      </c>
      <c r="AB115" s="124">
        <v>8</v>
      </c>
      <c r="AC115" s="124"/>
      <c r="AD115" s="124">
        <v>21.5</v>
      </c>
      <c r="AE115" s="124"/>
      <c r="AF115" s="124"/>
      <c r="AG115" s="126"/>
      <c r="AH115" s="52">
        <f t="shared" si="15"/>
        <v>28</v>
      </c>
      <c r="AI115" s="53">
        <f t="shared" si="16"/>
        <v>8</v>
      </c>
    </row>
    <row r="116" spans="1:37" x14ac:dyDescent="0.25">
      <c r="A116" s="127" t="s">
        <v>120</v>
      </c>
      <c r="B116" s="113">
        <v>15</v>
      </c>
      <c r="C116" s="113">
        <v>17.5</v>
      </c>
      <c r="D116" s="113">
        <v>19</v>
      </c>
      <c r="E116" s="113">
        <v>21</v>
      </c>
      <c r="F116" s="113">
        <v>34</v>
      </c>
      <c r="G116" s="113">
        <v>34</v>
      </c>
      <c r="H116" s="113">
        <v>34</v>
      </c>
      <c r="I116" s="113">
        <v>34</v>
      </c>
      <c r="J116" s="113">
        <v>-7.4</v>
      </c>
      <c r="K116" s="113">
        <v>-14.7</v>
      </c>
      <c r="L116" s="113">
        <v>-18.399999999999999</v>
      </c>
      <c r="M116" s="113">
        <v>-21.8</v>
      </c>
      <c r="N116" s="113">
        <v>-7.4</v>
      </c>
      <c r="O116" s="113">
        <v>1.2</v>
      </c>
      <c r="P116" s="113">
        <v>3.6</v>
      </c>
      <c r="Q116" s="113">
        <v>5.4</v>
      </c>
      <c r="R116" s="113">
        <v>-4</v>
      </c>
      <c r="S116" s="113">
        <v>-6.5</v>
      </c>
      <c r="T116" s="113">
        <v>-6.5</v>
      </c>
      <c r="U116" s="113">
        <v>-11</v>
      </c>
      <c r="V116" s="113">
        <v>-12</v>
      </c>
      <c r="W116" s="113">
        <v>-13.5</v>
      </c>
      <c r="X116" s="113">
        <v>-18.5</v>
      </c>
      <c r="Y116" s="113">
        <v>-65</v>
      </c>
      <c r="Z116" s="113">
        <v>-56.2</v>
      </c>
      <c r="AA116" s="113">
        <v>-38</v>
      </c>
      <c r="AB116" s="113">
        <v>-27.7</v>
      </c>
      <c r="AC116" s="113">
        <v>-21</v>
      </c>
      <c r="AD116" s="113">
        <v>-12.4</v>
      </c>
      <c r="AE116" s="113">
        <v>1.3</v>
      </c>
      <c r="AF116" s="113">
        <v>4.4000000000000004</v>
      </c>
      <c r="AG116" s="126"/>
      <c r="AH116" s="52">
        <f t="shared" si="15"/>
        <v>34</v>
      </c>
      <c r="AI116" s="53">
        <f t="shared" si="16"/>
        <v>-65</v>
      </c>
    </row>
    <row r="117" spans="1:37" ht="15.75" thickBot="1" x14ac:dyDescent="0.3">
      <c r="A117" s="127" t="s">
        <v>121</v>
      </c>
      <c r="B117" s="113">
        <v>60.2</v>
      </c>
      <c r="C117" s="113">
        <v>48.4</v>
      </c>
      <c r="D117" s="113">
        <v>53.8</v>
      </c>
      <c r="E117" s="113">
        <v>53.8</v>
      </c>
      <c r="F117" s="113">
        <v>42.5</v>
      </c>
      <c r="G117" s="113">
        <v>42.5</v>
      </c>
      <c r="H117" s="113">
        <v>42.5</v>
      </c>
      <c r="I117" s="113">
        <v>42.5</v>
      </c>
      <c r="J117" s="113">
        <v>62.7</v>
      </c>
      <c r="K117" s="113">
        <v>67.2</v>
      </c>
      <c r="L117" s="113">
        <v>67.8</v>
      </c>
      <c r="M117" s="113">
        <v>69.900000000000006</v>
      </c>
      <c r="N117" s="113">
        <v>86.4</v>
      </c>
      <c r="O117" s="113">
        <v>80.599999999999994</v>
      </c>
      <c r="P117" s="113">
        <v>79.8</v>
      </c>
      <c r="Q117" s="113">
        <v>76.7</v>
      </c>
      <c r="R117" s="113">
        <v>76.7</v>
      </c>
      <c r="S117" s="113">
        <v>77.3</v>
      </c>
      <c r="T117" s="113">
        <v>77.3</v>
      </c>
      <c r="U117" s="113">
        <v>78.400000000000006</v>
      </c>
      <c r="V117" s="113">
        <v>66</v>
      </c>
      <c r="W117" s="113">
        <v>67</v>
      </c>
      <c r="X117" s="113">
        <v>75.8</v>
      </c>
      <c r="Y117" s="113">
        <v>95</v>
      </c>
      <c r="Z117" s="113">
        <v>100</v>
      </c>
      <c r="AA117" s="113">
        <v>97</v>
      </c>
      <c r="AB117" s="113">
        <v>96</v>
      </c>
      <c r="AC117" s="113">
        <v>89.7</v>
      </c>
      <c r="AD117" s="113">
        <v>86.8</v>
      </c>
      <c r="AE117" s="113">
        <v>83.3</v>
      </c>
      <c r="AF117" s="113">
        <v>78.2</v>
      </c>
      <c r="AG117" s="126"/>
      <c r="AH117" s="52">
        <f t="shared" si="15"/>
        <v>100</v>
      </c>
      <c r="AI117" s="53">
        <f t="shared" si="16"/>
        <v>42.5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34">SUM(B119:B223)</f>
        <v>0</v>
      </c>
      <c r="C224" s="144">
        <f t="shared" si="34"/>
        <v>0</v>
      </c>
      <c r="D224" s="144">
        <f t="shared" si="34"/>
        <v>0</v>
      </c>
      <c r="E224" s="144">
        <f t="shared" si="34"/>
        <v>0</v>
      </c>
      <c r="F224" s="144">
        <f t="shared" si="34"/>
        <v>0</v>
      </c>
      <c r="G224" s="144">
        <f t="shared" si="34"/>
        <v>0</v>
      </c>
      <c r="H224" s="144">
        <f t="shared" si="34"/>
        <v>0</v>
      </c>
      <c r="I224" s="144">
        <f t="shared" si="34"/>
        <v>0</v>
      </c>
      <c r="J224" s="144">
        <f t="shared" si="34"/>
        <v>0</v>
      </c>
      <c r="K224" s="144">
        <f t="shared" si="34"/>
        <v>0</v>
      </c>
      <c r="L224" s="144">
        <f t="shared" si="34"/>
        <v>0</v>
      </c>
      <c r="M224" s="144">
        <f t="shared" si="34"/>
        <v>0</v>
      </c>
      <c r="N224" s="144">
        <f t="shared" si="34"/>
        <v>0</v>
      </c>
      <c r="O224" s="144">
        <f t="shared" si="34"/>
        <v>0</v>
      </c>
      <c r="P224" s="144">
        <f t="shared" si="34"/>
        <v>0</v>
      </c>
      <c r="Q224" s="144">
        <f t="shared" si="34"/>
        <v>0</v>
      </c>
      <c r="R224" s="144">
        <f t="shared" si="34"/>
        <v>0</v>
      </c>
      <c r="S224" s="144">
        <f t="shared" si="34"/>
        <v>0</v>
      </c>
      <c r="T224" s="144">
        <f t="shared" si="34"/>
        <v>0</v>
      </c>
      <c r="U224" s="144">
        <f t="shared" si="34"/>
        <v>0</v>
      </c>
      <c r="V224" s="144">
        <f t="shared" si="34"/>
        <v>0</v>
      </c>
      <c r="W224" s="144">
        <f t="shared" si="34"/>
        <v>0</v>
      </c>
      <c r="X224" s="144">
        <f t="shared" si="34"/>
        <v>0</v>
      </c>
      <c r="Y224" s="144">
        <f t="shared" si="34"/>
        <v>0</v>
      </c>
      <c r="Z224" s="144">
        <f t="shared" si="34"/>
        <v>0</v>
      </c>
      <c r="AA224" s="144">
        <f t="shared" si="34"/>
        <v>0</v>
      </c>
      <c r="AB224" s="144">
        <f t="shared" si="34"/>
        <v>0</v>
      </c>
      <c r="AC224" s="144">
        <f t="shared" si="34"/>
        <v>0</v>
      </c>
      <c r="AD224" s="144">
        <f t="shared" si="34"/>
        <v>0</v>
      </c>
      <c r="AE224" s="144">
        <f t="shared" si="34"/>
        <v>0</v>
      </c>
      <c r="AF224" s="145">
        <f t="shared" si="34"/>
        <v>0</v>
      </c>
      <c r="AG224" s="146">
        <f t="shared" si="34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35">AF226</f>
        <v>0</v>
      </c>
      <c r="C226" s="149">
        <v>0.3</v>
      </c>
      <c r="D226" s="149">
        <f t="shared" ref="D226:P231" si="36">C226</f>
        <v>0.3</v>
      </c>
      <c r="E226" s="149">
        <f t="shared" si="36"/>
        <v>0.3</v>
      </c>
      <c r="F226" s="149">
        <f t="shared" si="36"/>
        <v>0.3</v>
      </c>
      <c r="G226" s="149">
        <f t="shared" si="36"/>
        <v>0.3</v>
      </c>
      <c r="H226" s="149">
        <f t="shared" si="36"/>
        <v>0.3</v>
      </c>
      <c r="I226" s="149">
        <f t="shared" si="36"/>
        <v>0.3</v>
      </c>
      <c r="J226" s="149">
        <f t="shared" si="36"/>
        <v>0.3</v>
      </c>
      <c r="K226" s="149">
        <f t="shared" si="36"/>
        <v>0.3</v>
      </c>
      <c r="L226" s="149">
        <f t="shared" si="36"/>
        <v>0.3</v>
      </c>
      <c r="M226" s="149">
        <f t="shared" si="36"/>
        <v>0.3</v>
      </c>
      <c r="N226" s="149">
        <f t="shared" si="36"/>
        <v>0.3</v>
      </c>
      <c r="O226" s="149">
        <f t="shared" si="36"/>
        <v>0.3</v>
      </c>
      <c r="P226" s="149">
        <f t="shared" si="36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35"/>
        <v>0</v>
      </c>
      <c r="C227" s="136">
        <v>0.4</v>
      </c>
      <c r="D227" s="136">
        <f t="shared" si="36"/>
        <v>0.4</v>
      </c>
      <c r="E227" s="136">
        <f t="shared" si="36"/>
        <v>0.4</v>
      </c>
      <c r="F227" s="136">
        <f t="shared" si="36"/>
        <v>0.4</v>
      </c>
      <c r="G227" s="136">
        <f t="shared" si="36"/>
        <v>0.4</v>
      </c>
      <c r="H227" s="136">
        <f t="shared" si="36"/>
        <v>0.4</v>
      </c>
      <c r="I227" s="136">
        <f t="shared" si="36"/>
        <v>0.4</v>
      </c>
      <c r="J227" s="136">
        <f t="shared" si="36"/>
        <v>0.4</v>
      </c>
      <c r="K227" s="136">
        <f t="shared" si="36"/>
        <v>0.4</v>
      </c>
      <c r="L227" s="136">
        <f t="shared" si="36"/>
        <v>0.4</v>
      </c>
      <c r="M227" s="136">
        <f t="shared" si="36"/>
        <v>0.4</v>
      </c>
      <c r="N227" s="136">
        <f t="shared" si="36"/>
        <v>0.4</v>
      </c>
      <c r="O227" s="136">
        <f t="shared" si="36"/>
        <v>0.4</v>
      </c>
      <c r="P227" s="136">
        <f t="shared" si="36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35"/>
        <v>0</v>
      </c>
      <c r="C228" s="136">
        <v>1.5</v>
      </c>
      <c r="D228" s="136">
        <f t="shared" si="36"/>
        <v>1.5</v>
      </c>
      <c r="E228" s="136">
        <f t="shared" si="36"/>
        <v>1.5</v>
      </c>
      <c r="F228" s="136">
        <f t="shared" si="36"/>
        <v>1.5</v>
      </c>
      <c r="G228" s="136">
        <f t="shared" si="36"/>
        <v>1.5</v>
      </c>
      <c r="H228" s="136">
        <f t="shared" si="36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6"/>
        <v>1.5</v>
      </c>
      <c r="K228" s="136">
        <f t="shared" ca="1" si="36"/>
        <v>1.5</v>
      </c>
      <c r="L228" s="136">
        <f t="shared" ca="1" si="36"/>
        <v>1.5</v>
      </c>
      <c r="M228" s="136">
        <f t="shared" ca="1" si="36"/>
        <v>1.5</v>
      </c>
      <c r="N228" s="136">
        <f t="shared" ca="1" si="36"/>
        <v>1.5</v>
      </c>
      <c r="O228" s="136">
        <f t="shared" ca="1" si="36"/>
        <v>1.5</v>
      </c>
      <c r="P228" s="136">
        <f t="shared" ca="1" si="36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35"/>
        <v>0</v>
      </c>
      <c r="C229" s="136">
        <v>0.3</v>
      </c>
      <c r="D229" s="136">
        <f t="shared" si="36"/>
        <v>0.3</v>
      </c>
      <c r="E229" s="136">
        <f t="shared" si="36"/>
        <v>0.3</v>
      </c>
      <c r="F229" s="136">
        <f t="shared" si="36"/>
        <v>0.3</v>
      </c>
      <c r="G229" s="136">
        <f t="shared" si="36"/>
        <v>0.3</v>
      </c>
      <c r="H229" s="136">
        <f t="shared" si="36"/>
        <v>0.3</v>
      </c>
      <c r="I229" s="136">
        <f t="shared" si="36"/>
        <v>0.3</v>
      </c>
      <c r="J229" s="136">
        <f t="shared" si="36"/>
        <v>0.3</v>
      </c>
      <c r="K229" s="136">
        <f t="shared" si="36"/>
        <v>0.3</v>
      </c>
      <c r="L229" s="136">
        <f t="shared" si="36"/>
        <v>0.3</v>
      </c>
      <c r="M229" s="136">
        <f t="shared" si="36"/>
        <v>0.3</v>
      </c>
      <c r="N229" s="136">
        <f t="shared" si="36"/>
        <v>0.3</v>
      </c>
      <c r="O229" s="136">
        <f t="shared" si="36"/>
        <v>0.3</v>
      </c>
      <c r="P229" s="136">
        <f t="shared" si="36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35"/>
        <v>0</v>
      </c>
      <c r="C230" s="136">
        <v>0.4</v>
      </c>
      <c r="D230" s="136">
        <f t="shared" si="36"/>
        <v>0.4</v>
      </c>
      <c r="E230" s="136">
        <f t="shared" si="36"/>
        <v>0.4</v>
      </c>
      <c r="F230" s="136">
        <f t="shared" si="36"/>
        <v>0.4</v>
      </c>
      <c r="G230" s="136">
        <f t="shared" si="36"/>
        <v>0.4</v>
      </c>
      <c r="H230" s="136">
        <f t="shared" si="36"/>
        <v>0.4</v>
      </c>
      <c r="I230" s="136">
        <f t="shared" si="36"/>
        <v>0.4</v>
      </c>
      <c r="J230" s="136">
        <f t="shared" si="36"/>
        <v>0.4</v>
      </c>
      <c r="K230" s="136">
        <f t="shared" si="36"/>
        <v>0.4</v>
      </c>
      <c r="L230" s="136">
        <f t="shared" si="36"/>
        <v>0.4</v>
      </c>
      <c r="M230" s="136">
        <f t="shared" si="36"/>
        <v>0.4</v>
      </c>
      <c r="N230" s="136">
        <f t="shared" si="36"/>
        <v>0.4</v>
      </c>
      <c r="O230" s="136">
        <f t="shared" si="36"/>
        <v>0.4</v>
      </c>
      <c r="P230" s="136">
        <f t="shared" si="36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35"/>
        <v>0</v>
      </c>
      <c r="C231" s="140">
        <v>0.64</v>
      </c>
      <c r="D231" s="140">
        <f t="shared" si="36"/>
        <v>0.64</v>
      </c>
      <c r="E231" s="140">
        <f t="shared" si="36"/>
        <v>0.64</v>
      </c>
      <c r="F231" s="140">
        <f t="shared" si="36"/>
        <v>0.64</v>
      </c>
      <c r="G231" s="140">
        <f t="shared" si="36"/>
        <v>0.64</v>
      </c>
      <c r="H231" s="140">
        <f t="shared" si="36"/>
        <v>0.64</v>
      </c>
      <c r="I231" s="140">
        <f t="shared" si="36"/>
        <v>0.64</v>
      </c>
      <c r="J231" s="140">
        <f t="shared" si="36"/>
        <v>0.64</v>
      </c>
      <c r="K231" s="140">
        <f t="shared" si="36"/>
        <v>0.64</v>
      </c>
      <c r="L231" s="140">
        <f t="shared" si="36"/>
        <v>0.64</v>
      </c>
      <c r="M231" s="140">
        <f t="shared" si="36"/>
        <v>0.64</v>
      </c>
      <c r="N231" s="140">
        <f t="shared" si="36"/>
        <v>0.64</v>
      </c>
      <c r="O231" s="140">
        <f t="shared" si="36"/>
        <v>0.64</v>
      </c>
      <c r="P231" s="140">
        <f t="shared" si="36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37">SUM(B226:B231)</f>
        <v>0</v>
      </c>
      <c r="C232" s="144">
        <f t="shared" si="37"/>
        <v>3.54</v>
      </c>
      <c r="D232" s="144">
        <f t="shared" si="37"/>
        <v>3.54</v>
      </c>
      <c r="E232" s="144">
        <f t="shared" si="37"/>
        <v>3.54</v>
      </c>
      <c r="F232" s="144">
        <f t="shared" si="37"/>
        <v>3.54</v>
      </c>
      <c r="G232" s="144">
        <f t="shared" si="37"/>
        <v>3.54</v>
      </c>
      <c r="H232" s="144">
        <f t="shared" si="37"/>
        <v>3.54</v>
      </c>
      <c r="I232" s="144">
        <f t="shared" ca="1" si="37"/>
        <v>3.54</v>
      </c>
      <c r="J232" s="144">
        <f t="shared" ca="1" si="37"/>
        <v>3.54</v>
      </c>
      <c r="K232" s="144">
        <f t="shared" ca="1" si="37"/>
        <v>3.54</v>
      </c>
      <c r="L232" s="144">
        <f t="shared" ca="1" si="37"/>
        <v>3.54</v>
      </c>
      <c r="M232" s="144">
        <f t="shared" ca="1" si="37"/>
        <v>3.54</v>
      </c>
      <c r="N232" s="144">
        <f t="shared" ca="1" si="37"/>
        <v>3.54</v>
      </c>
      <c r="O232" s="144">
        <f t="shared" ca="1" si="37"/>
        <v>3.54</v>
      </c>
      <c r="P232" s="144">
        <f t="shared" ca="1" si="37"/>
        <v>3.54</v>
      </c>
      <c r="Q232" s="144">
        <f t="shared" si="37"/>
        <v>0</v>
      </c>
      <c r="R232" s="144">
        <f t="shared" si="37"/>
        <v>0</v>
      </c>
      <c r="S232" s="144">
        <f t="shared" si="37"/>
        <v>0</v>
      </c>
      <c r="T232" s="144">
        <f t="shared" si="37"/>
        <v>0</v>
      </c>
      <c r="U232" s="144">
        <f t="shared" si="37"/>
        <v>0</v>
      </c>
      <c r="V232" s="144">
        <f t="shared" si="37"/>
        <v>0</v>
      </c>
      <c r="W232" s="144">
        <f t="shared" si="37"/>
        <v>0</v>
      </c>
      <c r="X232" s="144">
        <f t="shared" si="37"/>
        <v>0</v>
      </c>
      <c r="Y232" s="144">
        <f t="shared" si="37"/>
        <v>0</v>
      </c>
      <c r="Z232" s="144">
        <f t="shared" si="37"/>
        <v>0</v>
      </c>
      <c r="AA232" s="144">
        <f t="shared" si="37"/>
        <v>0</v>
      </c>
      <c r="AB232" s="144">
        <f t="shared" si="37"/>
        <v>0</v>
      </c>
      <c r="AC232" s="144">
        <f t="shared" si="37"/>
        <v>0</v>
      </c>
      <c r="AD232" s="144">
        <f t="shared" si="37"/>
        <v>0</v>
      </c>
      <c r="AE232" s="144">
        <f t="shared" si="37"/>
        <v>0</v>
      </c>
      <c r="AF232" s="144">
        <f t="shared" si="37"/>
        <v>0</v>
      </c>
      <c r="AG232" s="154">
        <f t="shared" si="37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1370.64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12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2079/12/12)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2079/12/12)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8">B89</f>
        <v>1050.1400000000001</v>
      </c>
      <c r="U246" s="180">
        <f t="shared" si="38"/>
        <v>995.74</v>
      </c>
      <c r="V246" s="180">
        <f t="shared" si="38"/>
        <v>984.34</v>
      </c>
      <c r="W246" s="180">
        <f t="shared" si="38"/>
        <v>956.34</v>
      </c>
      <c r="X246" s="180">
        <f t="shared" si="38"/>
        <v>945.34</v>
      </c>
      <c r="Y246" s="180">
        <f t="shared" si="38"/>
        <v>999.34</v>
      </c>
      <c r="Z246" s="180">
        <f t="shared" si="38"/>
        <v>1053.3400000000001</v>
      </c>
      <c r="AA246" s="180">
        <f t="shared" si="38"/>
        <v>1021.34</v>
      </c>
      <c r="AB246" s="180">
        <f t="shared" si="38"/>
        <v>1065.1400000000001</v>
      </c>
      <c r="AC246" s="180">
        <f t="shared" si="38"/>
        <v>1279.74</v>
      </c>
      <c r="AD246" s="180">
        <f t="shared" si="38"/>
        <v>1353.44</v>
      </c>
      <c r="AE246" s="180">
        <f t="shared" si="38"/>
        <v>1370.64</v>
      </c>
      <c r="AF246" s="180">
        <f t="shared" si="38"/>
        <v>1283.74</v>
      </c>
      <c r="AG246" s="180">
        <f t="shared" si="38"/>
        <v>1302.24</v>
      </c>
      <c r="AH246" s="180">
        <f t="shared" si="38"/>
        <v>1278.3399999999999</v>
      </c>
      <c r="AI246" s="180">
        <f t="shared" si="38"/>
        <v>1282.54</v>
      </c>
      <c r="AJ246" s="180">
        <f t="shared" si="38"/>
        <v>1254.8400000000001</v>
      </c>
      <c r="AK246" s="180">
        <f t="shared" si="38"/>
        <v>1266.74</v>
      </c>
      <c r="AL246" s="180">
        <f t="shared" si="38"/>
        <v>1268.1399999999999</v>
      </c>
      <c r="AM246" s="180">
        <f t="shared" si="38"/>
        <v>1272.94</v>
      </c>
      <c r="AN246" s="180">
        <f t="shared" si="38"/>
        <v>1210.94</v>
      </c>
      <c r="AO246" s="180">
        <f t="shared" si="38"/>
        <v>1207.3399999999999</v>
      </c>
      <c r="AP246" s="180">
        <f t="shared" si="38"/>
        <v>1290.94</v>
      </c>
      <c r="AQ246" s="180">
        <f t="shared" si="38"/>
        <v>1404.54</v>
      </c>
      <c r="AR246" s="180">
        <f t="shared" si="38"/>
        <v>1560.64</v>
      </c>
      <c r="AS246" s="180">
        <f t="shared" si="38"/>
        <v>1471.8400000000001</v>
      </c>
      <c r="AT246" s="180">
        <f t="shared" si="38"/>
        <v>1460.14</v>
      </c>
      <c r="AU246" s="180">
        <f t="shared" si="38"/>
        <v>1488.7400000000002</v>
      </c>
      <c r="AV246" s="180">
        <f t="shared" si="38"/>
        <v>1376.44</v>
      </c>
      <c r="AW246" s="180">
        <f t="shared" si="38"/>
        <v>1222.3400000000001</v>
      </c>
      <c r="AX246" s="180">
        <f t="shared" si="38"/>
        <v>1159.94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9">C231</f>
        <v>0.64</v>
      </c>
      <c r="C267" s="183">
        <f t="shared" si="39"/>
        <v>0.64</v>
      </c>
      <c r="D267" s="183">
        <f t="shared" si="39"/>
        <v>0.64</v>
      </c>
      <c r="E267" s="183">
        <f t="shared" si="39"/>
        <v>0.64</v>
      </c>
      <c r="F267" s="183">
        <f t="shared" si="39"/>
        <v>0.64</v>
      </c>
      <c r="G267" s="183">
        <f t="shared" si="39"/>
        <v>0.64</v>
      </c>
      <c r="H267" s="183">
        <f t="shared" si="39"/>
        <v>0.64</v>
      </c>
      <c r="I267" s="183">
        <f t="shared" si="39"/>
        <v>0.64</v>
      </c>
      <c r="J267" s="183">
        <f t="shared" si="39"/>
        <v>0.64</v>
      </c>
      <c r="K267" s="183">
        <f t="shared" si="39"/>
        <v>0.64</v>
      </c>
      <c r="L267" s="183">
        <f t="shared" si="39"/>
        <v>0.64</v>
      </c>
      <c r="M267" s="183">
        <f t="shared" si="39"/>
        <v>0.64</v>
      </c>
      <c r="N267" s="183">
        <f t="shared" si="39"/>
        <v>0.64</v>
      </c>
      <c r="O267" s="183">
        <f t="shared" si="39"/>
        <v>0.64</v>
      </c>
      <c r="P267" s="183">
        <f t="shared" si="39"/>
        <v>0</v>
      </c>
      <c r="Q267" s="183">
        <f t="shared" si="39"/>
        <v>0</v>
      </c>
      <c r="R267" s="183">
        <f t="shared" si="39"/>
        <v>0</v>
      </c>
      <c r="S267" s="183">
        <f t="shared" si="39"/>
        <v>0</v>
      </c>
      <c r="T267" s="183">
        <f t="shared" si="39"/>
        <v>0</v>
      </c>
      <c r="U267" s="183">
        <f t="shared" si="39"/>
        <v>0</v>
      </c>
      <c r="V267" s="183">
        <f t="shared" si="39"/>
        <v>0</v>
      </c>
      <c r="W267" s="183">
        <f t="shared" si="39"/>
        <v>0</v>
      </c>
      <c r="X267" s="183">
        <f t="shared" si="39"/>
        <v>0</v>
      </c>
      <c r="Y267" s="183">
        <f t="shared" si="39"/>
        <v>0</v>
      </c>
      <c r="Z267" s="183">
        <f t="shared" si="39"/>
        <v>0</v>
      </c>
      <c r="AA267" s="183">
        <f t="shared" si="39"/>
        <v>0</v>
      </c>
      <c r="AB267" s="183">
        <f t="shared" si="39"/>
        <v>0</v>
      </c>
      <c r="AC267" s="183">
        <f t="shared" si="39"/>
        <v>0</v>
      </c>
      <c r="AD267" s="183">
        <f t="shared" si="39"/>
        <v>0</v>
      </c>
      <c r="AE267" s="183">
        <f t="shared" si="39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0">IF(B235&lt;100,"",B235-520)</f>
        <v/>
      </c>
      <c r="C268" s="184" t="str">
        <f t="shared" si="40"/>
        <v/>
      </c>
      <c r="D268" s="184" t="str">
        <f t="shared" si="40"/>
        <v/>
      </c>
      <c r="E268" s="184" t="str">
        <f t="shared" si="40"/>
        <v/>
      </c>
      <c r="F268" s="184" t="str">
        <f t="shared" si="40"/>
        <v/>
      </c>
      <c r="G268" s="184" t="str">
        <f t="shared" si="40"/>
        <v/>
      </c>
      <c r="H268" s="184" t="str">
        <f t="shared" si="40"/>
        <v/>
      </c>
      <c r="I268" s="184" t="str">
        <f t="shared" si="40"/>
        <v/>
      </c>
      <c r="J268" s="184" t="str">
        <f t="shared" si="40"/>
        <v/>
      </c>
      <c r="K268" s="184" t="str">
        <f t="shared" si="40"/>
        <v/>
      </c>
      <c r="L268" s="184" t="str">
        <f t="shared" si="40"/>
        <v/>
      </c>
      <c r="M268" s="184" t="str">
        <f t="shared" si="40"/>
        <v/>
      </c>
      <c r="N268" s="184" t="str">
        <f t="shared" si="40"/>
        <v/>
      </c>
      <c r="O268" s="184" t="str">
        <f t="shared" si="40"/>
        <v/>
      </c>
      <c r="P268" s="184" t="str">
        <f t="shared" si="40"/>
        <v/>
      </c>
      <c r="Q268" s="184" t="str">
        <f t="shared" si="40"/>
        <v/>
      </c>
      <c r="R268" s="184" t="str">
        <f t="shared" si="40"/>
        <v/>
      </c>
      <c r="S268" s="184" t="str">
        <f t="shared" si="40"/>
        <v/>
      </c>
      <c r="T268" s="184" t="str">
        <f t="shared" si="40"/>
        <v/>
      </c>
      <c r="U268" s="184" t="str">
        <f t="shared" si="40"/>
        <v/>
      </c>
      <c r="V268" s="184" t="str">
        <f t="shared" si="40"/>
        <v/>
      </c>
      <c r="W268" s="184" t="str">
        <f t="shared" si="40"/>
        <v/>
      </c>
      <c r="X268" s="184" t="str">
        <f t="shared" si="40"/>
        <v/>
      </c>
      <c r="Y268" s="184" t="str">
        <f t="shared" si="40"/>
        <v/>
      </c>
      <c r="Z268" s="184" t="str">
        <f t="shared" si="40"/>
        <v/>
      </c>
      <c r="AA268" s="184" t="str">
        <f t="shared" si="40"/>
        <v/>
      </c>
      <c r="AB268" s="184" t="str">
        <f t="shared" si="40"/>
        <v/>
      </c>
      <c r="AC268" s="184" t="str">
        <f t="shared" si="40"/>
        <v/>
      </c>
      <c r="AD268" s="184" t="str">
        <f t="shared" si="40"/>
        <v/>
      </c>
      <c r="AE268" s="184" t="str">
        <f t="shared" si="40"/>
        <v/>
      </c>
      <c r="AF268" s="184" t="str">
        <f t="shared" si="40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1">IF(B236&lt;100,"",B236-620)</f>
        <v/>
      </c>
      <c r="C269" s="184" t="str">
        <f t="shared" si="41"/>
        <v/>
      </c>
      <c r="D269" s="184" t="str">
        <f t="shared" si="41"/>
        <v/>
      </c>
      <c r="E269" s="184" t="str">
        <f t="shared" si="41"/>
        <v/>
      </c>
      <c r="F269" s="184" t="str">
        <f t="shared" si="41"/>
        <v/>
      </c>
      <c r="G269" s="184" t="str">
        <f t="shared" si="41"/>
        <v/>
      </c>
      <c r="H269" s="184" t="str">
        <f t="shared" si="41"/>
        <v/>
      </c>
      <c r="I269" s="184" t="str">
        <f t="shared" si="41"/>
        <v/>
      </c>
      <c r="J269" s="184" t="str">
        <f t="shared" si="41"/>
        <v/>
      </c>
      <c r="K269" s="184" t="str">
        <f t="shared" si="41"/>
        <v/>
      </c>
      <c r="L269" s="184" t="str">
        <f t="shared" si="41"/>
        <v/>
      </c>
      <c r="M269" s="184" t="str">
        <f t="shared" si="41"/>
        <v/>
      </c>
      <c r="N269" s="184" t="str">
        <f t="shared" si="41"/>
        <v/>
      </c>
      <c r="O269" s="184" t="str">
        <f t="shared" si="41"/>
        <v/>
      </c>
      <c r="P269" s="184" t="str">
        <f t="shared" si="41"/>
        <v/>
      </c>
      <c r="Q269" s="184" t="str">
        <f t="shared" si="41"/>
        <v/>
      </c>
      <c r="R269" s="184" t="str">
        <f t="shared" si="41"/>
        <v/>
      </c>
      <c r="S269" s="184" t="str">
        <f t="shared" si="41"/>
        <v/>
      </c>
      <c r="T269" s="184" t="str">
        <f t="shared" si="41"/>
        <v/>
      </c>
      <c r="U269" s="184" t="str">
        <f t="shared" si="41"/>
        <v/>
      </c>
      <c r="V269" s="184" t="str">
        <f t="shared" si="41"/>
        <v/>
      </c>
      <c r="W269" s="184" t="str">
        <f t="shared" si="41"/>
        <v/>
      </c>
      <c r="X269" s="184" t="str">
        <f t="shared" si="41"/>
        <v/>
      </c>
      <c r="Y269" s="184" t="str">
        <f t="shared" si="41"/>
        <v/>
      </c>
      <c r="Z269" s="184" t="str">
        <f t="shared" si="41"/>
        <v/>
      </c>
      <c r="AA269" s="184" t="str">
        <f t="shared" si="41"/>
        <v/>
      </c>
      <c r="AB269" s="184" t="str">
        <f t="shared" si="41"/>
        <v/>
      </c>
      <c r="AC269" s="184" t="str">
        <f t="shared" si="41"/>
        <v/>
      </c>
      <c r="AD269" s="184" t="str">
        <f t="shared" si="41"/>
        <v/>
      </c>
      <c r="AE269" s="184" t="str">
        <f t="shared" si="41"/>
        <v/>
      </c>
      <c r="AF269" s="184" t="str">
        <f t="shared" si="41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2">IF(B237&lt;100,"",B237-330)</f>
        <v/>
      </c>
      <c r="C270" s="184" t="str">
        <f t="shared" si="42"/>
        <v/>
      </c>
      <c r="D270" s="184" t="str">
        <f t="shared" si="42"/>
        <v/>
      </c>
      <c r="E270" s="184" t="str">
        <f t="shared" si="42"/>
        <v/>
      </c>
      <c r="F270" s="184" t="str">
        <f t="shared" si="42"/>
        <v/>
      </c>
      <c r="G270" s="184" t="str">
        <f t="shared" si="42"/>
        <v/>
      </c>
      <c r="H270" s="184" t="str">
        <f t="shared" si="42"/>
        <v/>
      </c>
      <c r="I270" s="184" t="str">
        <f t="shared" si="42"/>
        <v/>
      </c>
      <c r="J270" s="184" t="str">
        <f t="shared" si="42"/>
        <v/>
      </c>
      <c r="K270" s="184" t="str">
        <f t="shared" si="42"/>
        <v/>
      </c>
      <c r="L270" s="184" t="str">
        <f t="shared" si="42"/>
        <v/>
      </c>
      <c r="M270" s="184" t="str">
        <f t="shared" si="42"/>
        <v/>
      </c>
      <c r="N270" s="184" t="str">
        <f t="shared" si="42"/>
        <v/>
      </c>
      <c r="O270" s="184" t="str">
        <f t="shared" si="42"/>
        <v/>
      </c>
      <c r="P270" s="184" t="str">
        <f t="shared" si="42"/>
        <v/>
      </c>
      <c r="Q270" s="184" t="str">
        <f t="shared" si="42"/>
        <v/>
      </c>
      <c r="R270" s="184" t="str">
        <f t="shared" si="42"/>
        <v/>
      </c>
      <c r="S270" s="184" t="str">
        <f t="shared" si="42"/>
        <v/>
      </c>
      <c r="T270" s="184" t="str">
        <f t="shared" si="42"/>
        <v/>
      </c>
      <c r="U270" s="184" t="str">
        <f t="shared" si="42"/>
        <v/>
      </c>
      <c r="V270" s="184" t="str">
        <f t="shared" si="42"/>
        <v/>
      </c>
      <c r="W270" s="184" t="str">
        <f t="shared" si="42"/>
        <v/>
      </c>
      <c r="X270" s="184" t="str">
        <f t="shared" si="42"/>
        <v/>
      </c>
      <c r="Y270" s="184" t="str">
        <f t="shared" si="42"/>
        <v/>
      </c>
      <c r="Z270" s="184" t="str">
        <f t="shared" si="42"/>
        <v/>
      </c>
      <c r="AA270" s="184" t="str">
        <f t="shared" si="42"/>
        <v/>
      </c>
      <c r="AB270" s="184" t="str">
        <f t="shared" si="42"/>
        <v/>
      </c>
      <c r="AC270" s="184" t="str">
        <f t="shared" si="42"/>
        <v/>
      </c>
      <c r="AD270" s="184" t="str">
        <f t="shared" si="42"/>
        <v/>
      </c>
      <c r="AE270" s="184" t="str">
        <f t="shared" si="42"/>
        <v/>
      </c>
      <c r="AF270" s="184" t="str">
        <f t="shared" si="42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3">IF(B238&lt;100,"",B238-1500)</f>
        <v/>
      </c>
      <c r="C271" s="184" t="str">
        <f t="shared" si="43"/>
        <v/>
      </c>
      <c r="D271" s="184" t="str">
        <f t="shared" si="43"/>
        <v/>
      </c>
      <c r="E271" s="184" t="str">
        <f t="shared" si="43"/>
        <v/>
      </c>
      <c r="F271" s="184" t="str">
        <f t="shared" si="43"/>
        <v/>
      </c>
      <c r="G271" s="184" t="str">
        <f t="shared" si="43"/>
        <v/>
      </c>
      <c r="H271" s="184" t="str">
        <f t="shared" si="43"/>
        <v/>
      </c>
      <c r="I271" s="184" t="str">
        <f t="shared" si="43"/>
        <v/>
      </c>
      <c r="J271" s="184" t="str">
        <f t="shared" si="43"/>
        <v/>
      </c>
      <c r="K271" s="184" t="str">
        <f t="shared" si="43"/>
        <v/>
      </c>
      <c r="L271" s="184" t="str">
        <f t="shared" si="43"/>
        <v/>
      </c>
      <c r="M271" s="184" t="str">
        <f t="shared" si="43"/>
        <v/>
      </c>
      <c r="N271" s="184" t="str">
        <f t="shared" si="43"/>
        <v/>
      </c>
      <c r="O271" s="184" t="str">
        <f t="shared" si="43"/>
        <v/>
      </c>
      <c r="P271" s="184" t="str">
        <f t="shared" si="43"/>
        <v/>
      </c>
      <c r="Q271" s="184" t="str">
        <f t="shared" si="43"/>
        <v/>
      </c>
      <c r="R271" s="184" t="str">
        <f t="shared" si="43"/>
        <v/>
      </c>
      <c r="S271" s="184" t="str">
        <f t="shared" si="43"/>
        <v/>
      </c>
      <c r="T271" s="184" t="str">
        <f t="shared" si="43"/>
        <v/>
      </c>
      <c r="U271" s="184" t="str">
        <f t="shared" si="43"/>
        <v/>
      </c>
      <c r="V271" s="184" t="str">
        <f t="shared" si="43"/>
        <v/>
      </c>
      <c r="W271" s="184" t="str">
        <f t="shared" si="43"/>
        <v/>
      </c>
      <c r="X271" s="184" t="str">
        <f t="shared" si="43"/>
        <v/>
      </c>
      <c r="Y271" s="184" t="str">
        <f t="shared" si="43"/>
        <v/>
      </c>
      <c r="Z271" s="184" t="str">
        <f t="shared" si="43"/>
        <v/>
      </c>
      <c r="AA271" s="184" t="str">
        <f t="shared" si="43"/>
        <v/>
      </c>
      <c r="AB271" s="184" t="str">
        <f t="shared" si="43"/>
        <v/>
      </c>
      <c r="AC271" s="184" t="str">
        <f t="shared" si="43"/>
        <v/>
      </c>
      <c r="AD271" s="184" t="str">
        <f t="shared" si="43"/>
        <v/>
      </c>
      <c r="AE271" s="184" t="str">
        <f t="shared" si="43"/>
        <v/>
      </c>
      <c r="AF271" s="184" t="str">
        <f t="shared" si="43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7874" priority="349">
      <formula>B$9&gt;=20/24</formula>
    </cfRule>
    <cfRule type="expression" dxfId="7873" priority="350">
      <formula>AND(B$9&gt;=14/24,B$9&lt;20/24)</formula>
    </cfRule>
    <cfRule type="expression" dxfId="7872" priority="351">
      <formula>AND(B$9&gt;=8/24,B$9&lt;14/24)</formula>
    </cfRule>
    <cfRule type="expression" dxfId="7871" priority="352">
      <formula>B$9&lt;8/24</formula>
    </cfRule>
  </conditionalFormatting>
  <conditionalFormatting sqref="AL4:AL6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7870" priority="34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7869" priority="346">
      <formula>$AH12=0</formula>
    </cfRule>
  </conditionalFormatting>
  <conditionalFormatting sqref="A114">
    <cfRule type="expression" dxfId="7868" priority="345">
      <formula>$AH114=0</formula>
    </cfRule>
  </conditionalFormatting>
  <conditionalFormatting sqref="AL42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7867" priority="343">
      <formula>$AH45=0</formula>
    </cfRule>
  </conditionalFormatting>
  <conditionalFormatting sqref="A98">
    <cfRule type="expression" dxfId="7866" priority="342">
      <formula>$AH98=0</formula>
    </cfRule>
  </conditionalFormatting>
  <conditionalFormatting sqref="A18">
    <cfRule type="expression" dxfId="7865" priority="341">
      <formula>$AH18=0</formula>
    </cfRule>
  </conditionalFormatting>
  <conditionalFormatting sqref="A196:A201">
    <cfRule type="expression" dxfId="7864" priority="340">
      <formula>$AH196=0</formula>
    </cfRule>
  </conditionalFormatting>
  <conditionalFormatting sqref="A190:A195">
    <cfRule type="expression" dxfId="7863" priority="339">
      <formula>$AH190=0</formula>
    </cfRule>
  </conditionalFormatting>
  <conditionalFormatting sqref="A58">
    <cfRule type="expression" dxfId="7862" priority="338">
      <formula>$AH58=0</formula>
    </cfRule>
  </conditionalFormatting>
  <conditionalFormatting sqref="A94">
    <cfRule type="expression" dxfId="7861" priority="337">
      <formula>$AH94=0</formula>
    </cfRule>
  </conditionalFormatting>
  <conditionalFormatting sqref="AD99:AF99 K99:X99">
    <cfRule type="expression" dxfId="7860" priority="333">
      <formula>K$9&gt;=20/24</formula>
    </cfRule>
    <cfRule type="expression" dxfId="7859" priority="334">
      <formula>AND(K$9&gt;=14/24,K$9&lt;20/24)</formula>
    </cfRule>
    <cfRule type="expression" dxfId="7858" priority="335">
      <formula>AND(K$9&gt;=8/24,K$9&lt;14/24)</formula>
    </cfRule>
    <cfRule type="expression" dxfId="7857" priority="336">
      <formula>K$9&lt;8/24</formula>
    </cfRule>
  </conditionalFormatting>
  <conditionalFormatting sqref="AL4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856" priority="355">
      <formula>C$9&gt;=20/24</formula>
    </cfRule>
    <cfRule type="expression" dxfId="7855" priority="356">
      <formula>AND(C$9&gt;=14/24,C$9&lt;20/24)</formula>
    </cfRule>
    <cfRule type="expression" dxfId="7854" priority="357">
      <formula>AND(C$9&gt;=8/24,C$9&lt;14/24)</formula>
    </cfRule>
    <cfRule type="expression" dxfId="7853" priority="358">
      <formula>C$9&lt;8/24</formula>
    </cfRule>
  </conditionalFormatting>
  <conditionalFormatting sqref="A233">
    <cfRule type="expression" dxfId="7852" priority="359">
      <formula>$AH233=0</formula>
    </cfRule>
  </conditionalFormatting>
  <conditionalFormatting sqref="AG245">
    <cfRule type="expression" dxfId="7851" priority="360">
      <formula>B$9&gt;=20/24</formula>
    </cfRule>
    <cfRule type="expression" dxfId="7850" priority="361">
      <formula>AND(B$9&gt;=14/24,B$9&lt;20/24)</formula>
    </cfRule>
    <cfRule type="expression" dxfId="7849" priority="362">
      <formula>AND(B$9&gt;=8/24,B$9&lt;14/24)</formula>
    </cfRule>
    <cfRule type="expression" dxfId="7848" priority="363">
      <formula>B$9&lt;8/24</formula>
    </cfRule>
  </conditionalFormatting>
  <conditionalFormatting sqref="S8">
    <cfRule type="expression" dxfId="7847" priority="328">
      <formula>U$9&gt;=20/24</formula>
    </cfRule>
    <cfRule type="expression" dxfId="7846" priority="329">
      <formula>AND(U$9&gt;=14/24,U$9&lt;20/24)</formula>
    </cfRule>
    <cfRule type="expression" dxfId="7845" priority="330">
      <formula>AND(U$9&gt;=8/24,U$9&lt;14/24)</formula>
    </cfRule>
    <cfRule type="expression" dxfId="7844" priority="331">
      <formula>U$9&lt;8/24</formula>
    </cfRule>
  </conditionalFormatting>
  <conditionalFormatting sqref="AB8">
    <cfRule type="expression" dxfId="7843" priority="324">
      <formula>AD$9&gt;=20/24</formula>
    </cfRule>
    <cfRule type="expression" dxfId="7842" priority="325">
      <formula>AND(AD$9&gt;=14/24,AD$9&lt;20/24)</formula>
    </cfRule>
    <cfRule type="expression" dxfId="7841" priority="326">
      <formula>AND(AD$9&gt;=8/24,AD$9&lt;14/24)</formula>
    </cfRule>
    <cfRule type="expression" dxfId="7840" priority="327">
      <formula>AD$9&lt;8/24</formula>
    </cfRule>
  </conditionalFormatting>
  <conditionalFormatting sqref="AH245:AX245">
    <cfRule type="expression" dxfId="7839" priority="364">
      <formula>AG$9&gt;=20/24</formula>
    </cfRule>
    <cfRule type="expression" dxfId="7838" priority="365">
      <formula>AND(AG$9&gt;=14/24,AG$9&lt;20/24)</formula>
    </cfRule>
    <cfRule type="expression" dxfId="7837" priority="366">
      <formula>AND(AG$9&gt;=8/24,AG$9&lt;14/24)</formula>
    </cfRule>
    <cfRule type="expression" dxfId="7836" priority="367">
      <formula>AG$9&lt;8/24</formula>
    </cfRule>
  </conditionalFormatting>
  <conditionalFormatting sqref="T245">
    <cfRule type="expression" dxfId="7835" priority="368">
      <formula>AX$9&gt;=20/24</formula>
    </cfRule>
    <cfRule type="expression" dxfId="7834" priority="369">
      <formula>AND(AX$9&gt;=14/24,AX$9&lt;20/24)</formula>
    </cfRule>
    <cfRule type="expression" dxfId="7833" priority="370">
      <formula>AND(AX$9&gt;=8/24,AX$9&lt;14/24)</formula>
    </cfRule>
    <cfRule type="expression" dxfId="7832" priority="371">
      <formula>AX$9&lt;8/24</formula>
    </cfRule>
  </conditionalFormatting>
  <conditionalFormatting sqref="A115:A116">
    <cfRule type="expression" dxfId="7831" priority="323">
      <formula>$AH115=0</formula>
    </cfRule>
  </conditionalFormatting>
  <conditionalFormatting sqref="AC54:AF57 M54:P56 N57:P58 Q54:Q58 R56:W58 L71:AF71">
    <cfRule type="expression" dxfId="7830" priority="319">
      <formula>L$9&gt;=20/24</formula>
    </cfRule>
    <cfRule type="expression" dxfId="7829" priority="320">
      <formula>AND(L$9&gt;=14/24,L$9&lt;20/24)</formula>
    </cfRule>
    <cfRule type="expression" dxfId="7828" priority="321">
      <formula>AND(L$9&gt;=8/24,L$9&lt;14/24)</formula>
    </cfRule>
    <cfRule type="expression" dxfId="7827" priority="322">
      <formula>L$9&lt;8/24</formula>
    </cfRule>
  </conditionalFormatting>
  <conditionalFormatting sqref="AC53:AF53 M53:Q53">
    <cfRule type="expression" dxfId="7826" priority="315">
      <formula>M$9&gt;=20/24</formula>
    </cfRule>
    <cfRule type="expression" dxfId="7825" priority="316">
      <formula>AND(M$9&gt;=14/24,M$9&lt;20/24)</formula>
    </cfRule>
    <cfRule type="expression" dxfId="7824" priority="317">
      <formula>AND(M$9&gt;=8/24,M$9&lt;14/24)</formula>
    </cfRule>
    <cfRule type="expression" dxfId="7823" priority="318">
      <formula>M$9&lt;8/24</formula>
    </cfRule>
  </conditionalFormatting>
  <conditionalFormatting sqref="AC53:AF57 M53:Q53 N57:P58 M54:P56 Q54:Q58 R56:W58">
    <cfRule type="expression" dxfId="7822" priority="314">
      <formula>M53&gt;$AG53</formula>
    </cfRule>
  </conditionalFormatting>
  <conditionalFormatting sqref="X96:AF96 AD100:AF106 X47:AF47 D86:AF86 M100:X106 L72:Z73 AA72:AF74 X67:AF69">
    <cfRule type="expression" dxfId="7821" priority="310">
      <formula>D$9&gt;=20/24</formula>
    </cfRule>
    <cfRule type="expression" dxfId="7820" priority="311">
      <formula>AND(D$9&gt;=14/24,D$9&lt;20/24)</formula>
    </cfRule>
    <cfRule type="expression" dxfId="7819" priority="312">
      <formula>AND(D$9&gt;=8/24,D$9&lt;14/24)</formula>
    </cfRule>
    <cfRule type="expression" dxfId="7818" priority="313">
      <formula>D$9&lt;8/24</formula>
    </cfRule>
  </conditionalFormatting>
  <conditionalFormatting sqref="X47:AF47 X67:AF69">
    <cfRule type="expression" dxfId="7817" priority="309">
      <formula>X47&gt;$AG47</formula>
    </cfRule>
  </conditionalFormatting>
  <conditionalFormatting sqref="R53:W55 X53:AB58">
    <cfRule type="expression" dxfId="7816" priority="305">
      <formula>R$9&gt;=20/24</formula>
    </cfRule>
    <cfRule type="expression" dxfId="7815" priority="306">
      <formula>AND(R$9&gt;=14/24,R$9&lt;20/24)</formula>
    </cfRule>
    <cfRule type="expression" dxfId="7814" priority="307">
      <formula>AND(R$9&gt;=8/24,R$9&lt;14/24)</formula>
    </cfRule>
    <cfRule type="expression" dxfId="7813" priority="308">
      <formula>R$9&lt;8/24</formula>
    </cfRule>
  </conditionalFormatting>
  <conditionalFormatting sqref="R53:W55 X53:AB58">
    <cfRule type="expression" dxfId="7812" priority="304">
      <formula>R53&gt;$AG53</formula>
    </cfRule>
  </conditionalFormatting>
  <conditionalFormatting sqref="C97:AF97 D88:AF88">
    <cfRule type="expression" dxfId="7811" priority="300">
      <formula>C$9&gt;=20/24</formula>
    </cfRule>
    <cfRule type="expression" dxfId="7810" priority="301">
      <formula>AND(C$9&gt;=14/24,C$9&lt;20/24)</formula>
    </cfRule>
    <cfRule type="expression" dxfId="7809" priority="302">
      <formula>AND(C$9&gt;=8/24,C$9&lt;14/24)</formula>
    </cfRule>
    <cfRule type="expression" dxfId="7808" priority="303">
      <formula>C$9&lt;8/24</formula>
    </cfRule>
  </conditionalFormatting>
  <conditionalFormatting sqref="T47:W47">
    <cfRule type="expression" dxfId="7807" priority="296">
      <formula>T$9&gt;=20/24</formula>
    </cfRule>
    <cfRule type="expression" dxfId="7806" priority="297">
      <formula>AND(T$9&gt;=14/24,T$9&lt;20/24)</formula>
    </cfRule>
    <cfRule type="expression" dxfId="7805" priority="298">
      <formula>AND(T$9&gt;=8/24,T$9&lt;14/24)</formula>
    </cfRule>
    <cfRule type="expression" dxfId="7804" priority="299">
      <formula>T$9&lt;8/24</formula>
    </cfRule>
  </conditionalFormatting>
  <conditionalFormatting sqref="T47:W47">
    <cfRule type="expression" dxfId="7803" priority="295">
      <formula>T47&gt;$AG47</formula>
    </cfRule>
  </conditionalFormatting>
  <conditionalFormatting sqref="E54:L54">
    <cfRule type="expression" dxfId="7802" priority="291">
      <formula>E$9&gt;=20/24</formula>
    </cfRule>
    <cfRule type="expression" dxfId="7801" priority="292">
      <formula>AND(E$9&gt;=14/24,E$9&lt;20/24)</formula>
    </cfRule>
    <cfRule type="expression" dxfId="7800" priority="293">
      <formula>AND(E$9&gt;=8/24,E$9&lt;14/24)</formula>
    </cfRule>
    <cfRule type="expression" dxfId="7799" priority="294">
      <formula>E$9&lt;8/24</formula>
    </cfRule>
  </conditionalFormatting>
  <conditionalFormatting sqref="E53:L53">
    <cfRule type="expression" dxfId="7798" priority="287">
      <formula>E$9&gt;=20/24</formula>
    </cfRule>
    <cfRule type="expression" dxfId="7797" priority="288">
      <formula>AND(E$9&gt;=14/24,E$9&lt;20/24)</formula>
    </cfRule>
    <cfRule type="expression" dxfId="7796" priority="289">
      <formula>AND(E$9&gt;=8/24,E$9&lt;14/24)</formula>
    </cfRule>
    <cfRule type="expression" dxfId="7795" priority="290">
      <formula>E$9&lt;8/24</formula>
    </cfRule>
  </conditionalFormatting>
  <conditionalFormatting sqref="E53:L54">
    <cfRule type="expression" dxfId="7794" priority="286">
      <formula>E53&gt;$AG53</formula>
    </cfRule>
  </conditionalFormatting>
  <conditionalFormatting sqref="AG70 AG87 K100:L106 Q67:W67">
    <cfRule type="expression" dxfId="7793" priority="282">
      <formula>K$9&gt;=20/24</formula>
    </cfRule>
    <cfRule type="expression" dxfId="7792" priority="283">
      <formula>AND(K$9&gt;=14/24,K$9&lt;20/24)</formula>
    </cfRule>
    <cfRule type="expression" dxfId="7791" priority="284">
      <formula>AND(K$9&gt;=8/24,K$9&lt;14/24)</formula>
    </cfRule>
    <cfRule type="expression" dxfId="7790" priority="285">
      <formula>K$9&lt;8/24</formula>
    </cfRule>
  </conditionalFormatting>
  <conditionalFormatting sqref="AG48 AG66 AG70 Q67:W67">
    <cfRule type="expression" dxfId="7789" priority="281">
      <formula>Q48&gt;$AG48</formula>
    </cfRule>
  </conditionalFormatting>
  <conditionalFormatting sqref="AC58:AF58">
    <cfRule type="expression" dxfId="7788" priority="277">
      <formula>AC$9&gt;=20/24</formula>
    </cfRule>
    <cfRule type="expression" dxfId="7787" priority="278">
      <formula>AND(AC$9&gt;=14/24,AC$9&lt;20/24)</formula>
    </cfRule>
    <cfRule type="expression" dxfId="7786" priority="279">
      <formula>AND(AC$9&gt;=8/24,AC$9&lt;14/24)</formula>
    </cfRule>
    <cfRule type="expression" dxfId="7785" priority="280">
      <formula>AC$9&lt;8/24</formula>
    </cfRule>
  </conditionalFormatting>
  <conditionalFormatting sqref="AC58:AF58">
    <cfRule type="expression" dxfId="7784" priority="276">
      <formula>AC58&gt;$AG58</formula>
    </cfRule>
  </conditionalFormatting>
  <conditionalFormatting sqref="A43">
    <cfRule type="expression" dxfId="7783" priority="275">
      <formula>$AH43=0</formula>
    </cfRule>
  </conditionalFormatting>
  <conditionalFormatting sqref="X91:AF95">
    <cfRule type="expression" dxfId="7782" priority="271">
      <formula>X$9&gt;=20/24</formula>
    </cfRule>
    <cfRule type="expression" dxfId="7781" priority="272">
      <formula>AND(X$9&gt;=14/24,X$9&lt;20/24)</formula>
    </cfRule>
    <cfRule type="expression" dxfId="7780" priority="273">
      <formula>AND(X$9&gt;=8/24,X$9&lt;14/24)</formula>
    </cfRule>
    <cfRule type="expression" dxfId="7779" priority="274">
      <formula>X$9&lt;8/24</formula>
    </cfRule>
  </conditionalFormatting>
  <conditionalFormatting sqref="AL45 AL41 AL22:AL32 AL38:AL39 AL7:AL15 AL17:AL20 AL34:AL36">
    <cfRule type="iconSet" priority="372">
      <iconSet iconSet="3TrafficLights2" reverse="1">
        <cfvo type="percent" val="0"/>
        <cfvo type="num" val="1"/>
        <cfvo type="num" val="1"/>
      </iconSet>
    </cfRule>
  </conditionalFormatting>
  <conditionalFormatting sqref="K49:U49 M50:U51 V49:AF51">
    <cfRule type="expression" dxfId="7778" priority="267">
      <formula>K$9&gt;=20/24</formula>
    </cfRule>
    <cfRule type="expression" dxfId="7777" priority="268">
      <formula>AND(K$9&gt;=14/24,K$9&lt;20/24)</formula>
    </cfRule>
    <cfRule type="expression" dxfId="7776" priority="269">
      <formula>AND(K$9&gt;=8/24,K$9&lt;14/24)</formula>
    </cfRule>
    <cfRule type="expression" dxfId="7775" priority="270">
      <formula>K$9&lt;8/24</formula>
    </cfRule>
  </conditionalFormatting>
  <conditionalFormatting sqref="K49:U49 M50:U51 V49:AF51">
    <cfRule type="expression" dxfId="7774" priority="266">
      <formula>K49&gt;$AG49</formula>
    </cfRule>
  </conditionalFormatting>
  <conditionalFormatting sqref="AG52">
    <cfRule type="expression" dxfId="7773" priority="262">
      <formula>AG$9&gt;=20/24</formula>
    </cfRule>
    <cfRule type="expression" dxfId="7772" priority="263">
      <formula>AND(AG$9&gt;=14/24,AG$9&lt;20/24)</formula>
    </cfRule>
    <cfRule type="expression" dxfId="7771" priority="264">
      <formula>AND(AG$9&gt;=8/24,AG$9&lt;14/24)</formula>
    </cfRule>
    <cfRule type="expression" dxfId="7770" priority="265">
      <formula>AG$9&lt;8/24</formula>
    </cfRule>
  </conditionalFormatting>
  <conditionalFormatting sqref="AG52">
    <cfRule type="expression" dxfId="7769" priority="261">
      <formula>AG52&gt;$AG52</formula>
    </cfRule>
  </conditionalFormatting>
  <conditionalFormatting sqref="C107:AF107">
    <cfRule type="expression" dxfId="7768" priority="257">
      <formula>C$9&gt;=20/24</formula>
    </cfRule>
    <cfRule type="expression" dxfId="7767" priority="258">
      <formula>AND(C$9&gt;=14/24,C$9&lt;20/24)</formula>
    </cfRule>
    <cfRule type="expression" dxfId="7766" priority="259">
      <formula>AND(C$9&gt;=8/24,C$9&lt;14/24)</formula>
    </cfRule>
    <cfRule type="expression" dxfId="7765" priority="260">
      <formula>C$9&lt;8/24</formula>
    </cfRule>
  </conditionalFormatting>
  <conditionalFormatting sqref="AL40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764" priority="255">
      <formula>$AH40=0</formula>
    </cfRule>
  </conditionalFormatting>
  <conditionalFormatting sqref="A90">
    <cfRule type="expression" dxfId="7763" priority="253">
      <formula>$AH90=0</formula>
    </cfRule>
  </conditionalFormatting>
  <conditionalFormatting sqref="A87">
    <cfRule type="expression" dxfId="7762" priority="254">
      <formula>$AH87=0</formula>
    </cfRule>
  </conditionalFormatting>
  <conditionalFormatting sqref="D110:AF110">
    <cfRule type="expression" dxfId="7761" priority="249">
      <formula>D$9&gt;=20/24</formula>
    </cfRule>
    <cfRule type="expression" dxfId="7760" priority="250">
      <formula>AND(D$9&gt;=14/24,D$9&lt;20/24)</formula>
    </cfRule>
    <cfRule type="expression" dxfId="7759" priority="251">
      <formula>AND(D$9&gt;=8/24,D$9&lt;14/24)</formula>
    </cfRule>
    <cfRule type="expression" dxfId="7758" priority="252">
      <formula>D$9&lt;8/24</formula>
    </cfRule>
  </conditionalFormatting>
  <conditionalFormatting sqref="A110">
    <cfRule type="expression" dxfId="7757" priority="248">
      <formula>$AH110=0</formula>
    </cfRule>
  </conditionalFormatting>
  <conditionalFormatting sqref="A21">
    <cfRule type="expression" dxfId="7756" priority="246">
      <formula>$AH21=0</formula>
    </cfRule>
  </conditionalFormatting>
  <conditionalFormatting sqref="AL21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755" priority="244">
      <formula>$AH37=0</formula>
    </cfRule>
  </conditionalFormatting>
  <conditionalFormatting sqref="AL37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7754" priority="240">
      <formula>Y$9&gt;=20/24</formula>
    </cfRule>
    <cfRule type="expression" dxfId="7753" priority="241">
      <formula>AND(Y$9&gt;=14/24,Y$9&lt;20/24)</formula>
    </cfRule>
    <cfRule type="expression" dxfId="7752" priority="242">
      <formula>AND(Y$9&gt;=8/24,Y$9&lt;14/24)</formula>
    </cfRule>
    <cfRule type="expression" dxfId="7751" priority="243">
      <formula>Y$9&lt;8/24</formula>
    </cfRule>
  </conditionalFormatting>
  <conditionalFormatting sqref="Y100:AC106">
    <cfRule type="expression" dxfId="7750" priority="236">
      <formula>Y$9&gt;=20/24</formula>
    </cfRule>
    <cfRule type="expression" dxfId="7749" priority="237">
      <formula>AND(Y$9&gt;=14/24,Y$9&lt;20/24)</formula>
    </cfRule>
    <cfRule type="expression" dxfId="7748" priority="238">
      <formula>AND(Y$9&gt;=8/24,Y$9&lt;14/24)</formula>
    </cfRule>
    <cfRule type="expression" dxfId="7747" priority="239">
      <formula>Y$9&lt;8/24</formula>
    </cfRule>
  </conditionalFormatting>
  <conditionalFormatting sqref="C109 C111:C116 S17:Y17 Z34:AF43 Z17:AF32">
    <cfRule type="expression" dxfId="7746" priority="232">
      <formula>C$9&gt;=20/24</formula>
    </cfRule>
    <cfRule type="expression" dxfId="7745" priority="233">
      <formula>AND(C$9&gt;=14/24,C$9&lt;20/24)</formula>
    </cfRule>
    <cfRule type="expression" dxfId="7744" priority="234">
      <formula>AND(C$9&gt;=8/24,C$9&lt;14/24)</formula>
    </cfRule>
    <cfRule type="expression" dxfId="7743" priority="235">
      <formula>C$9&lt;8/24</formula>
    </cfRule>
  </conditionalFormatting>
  <conditionalFormatting sqref="C47:S47">
    <cfRule type="expression" dxfId="7742" priority="228">
      <formula>C$9&gt;=20/24</formula>
    </cfRule>
    <cfRule type="expression" dxfId="7741" priority="229">
      <formula>AND(C$9&gt;=14/24,C$9&lt;20/24)</formula>
    </cfRule>
    <cfRule type="expression" dxfId="7740" priority="230">
      <formula>AND(C$9&gt;=8/24,C$9&lt;14/24)</formula>
    </cfRule>
    <cfRule type="expression" dxfId="7739" priority="231">
      <formula>C$9&lt;8/24</formula>
    </cfRule>
  </conditionalFormatting>
  <conditionalFormatting sqref="C47:S47 S17:Y17 Z34:AF43 Z17:AF32">
    <cfRule type="expression" dxfId="7738" priority="227">
      <formula>C17&gt;$AG17</formula>
    </cfRule>
  </conditionalFormatting>
  <conditionalFormatting sqref="C99:J99">
    <cfRule type="expression" dxfId="7737" priority="223">
      <formula>C$9&gt;=20/24</formula>
    </cfRule>
    <cfRule type="expression" dxfId="7736" priority="224">
      <formula>AND(C$9&gt;=14/24,C$9&lt;20/24)</formula>
    </cfRule>
    <cfRule type="expression" dxfId="7735" priority="225">
      <formula>AND(C$9&gt;=8/24,C$9&lt;14/24)</formula>
    </cfRule>
    <cfRule type="expression" dxfId="7734" priority="226">
      <formula>C$9&lt;8/24</formula>
    </cfRule>
  </conditionalFormatting>
  <conditionalFormatting sqref="C86 M67:P69 L74:P74 C96:W96 C83:AF85 D100:J106 M75:P75 Q68:W69 Q74:Z75 AC75:AF76 AA75:AB75">
    <cfRule type="expression" dxfId="7733" priority="219">
      <formula>C$9&gt;=20/24</formula>
    </cfRule>
    <cfRule type="expression" dxfId="7732" priority="220">
      <formula>AND(C$9&gt;=14/24,C$9&lt;20/24)</formula>
    </cfRule>
    <cfRule type="expression" dxfId="7731" priority="221">
      <formula>AND(C$9&gt;=8/24,C$9&lt;14/24)</formula>
    </cfRule>
    <cfRule type="expression" dxfId="7730" priority="222">
      <formula>C$9&lt;8/24</formula>
    </cfRule>
  </conditionalFormatting>
  <conditionalFormatting sqref="M67:P69 Q68:W69">
    <cfRule type="expression" dxfId="7729" priority="218">
      <formula>M67&gt;$AG67</formula>
    </cfRule>
  </conditionalFormatting>
  <conditionalFormatting sqref="M58">
    <cfRule type="expression" dxfId="7728" priority="214">
      <formula>M$9&gt;=20/24</formula>
    </cfRule>
    <cfRule type="expression" dxfId="7727" priority="215">
      <formula>AND(M$9&gt;=14/24,M$9&lt;20/24)</formula>
    </cfRule>
    <cfRule type="expression" dxfId="7726" priority="216">
      <formula>AND(M$9&gt;=8/24,M$9&lt;14/24)</formula>
    </cfRule>
    <cfRule type="expression" dxfId="7725" priority="217">
      <formula>M$9&lt;8/24</formula>
    </cfRule>
  </conditionalFormatting>
  <conditionalFormatting sqref="M58">
    <cfRule type="expression" dxfId="7724" priority="213">
      <formula>M58&gt;$AG58</formula>
    </cfRule>
  </conditionalFormatting>
  <conditionalFormatting sqref="B54:D57 B71:K71 E55:L57">
    <cfRule type="expression" dxfId="7723" priority="137">
      <formula>B$9&gt;=20/24</formula>
    </cfRule>
    <cfRule type="expression" dxfId="7722" priority="138">
      <formula>AND(B$9&gt;=14/24,B$9&lt;20/24)</formula>
    </cfRule>
    <cfRule type="expression" dxfId="7721" priority="139">
      <formula>AND(B$9&gt;=8/24,B$9&lt;14/24)</formula>
    </cfRule>
    <cfRule type="expression" dxfId="7720" priority="140">
      <formula>B$9&lt;8/24</formula>
    </cfRule>
  </conditionalFormatting>
  <conditionalFormatting sqref="P46:AF46">
    <cfRule type="expression" dxfId="7719" priority="209">
      <formula>P$9&gt;=20/24</formula>
    </cfRule>
    <cfRule type="expression" dxfId="7718" priority="210">
      <formula>AND(P$9&gt;=14/24,P$9&lt;20/24)</formula>
    </cfRule>
    <cfRule type="expression" dxfId="7717" priority="211">
      <formula>AND(P$9&gt;=8/24,P$9&lt;14/24)</formula>
    </cfRule>
    <cfRule type="expression" dxfId="7716" priority="212">
      <formula>P$9&lt;8/24</formula>
    </cfRule>
  </conditionalFormatting>
  <conditionalFormatting sqref="P46:AF46">
    <cfRule type="expression" dxfId="7715" priority="208">
      <formula>P46&gt;$AG46</formula>
    </cfRule>
  </conditionalFormatting>
  <conditionalFormatting sqref="C98:AF98 C87:AF87 C89:AF89 C70:AF70">
    <cfRule type="expression" dxfId="7714" priority="204">
      <formula>C$9&gt;=20/24</formula>
    </cfRule>
    <cfRule type="expression" dxfId="7713" priority="205">
      <formula>AND(C$9&gt;=14/24,C$9&lt;20/24)</formula>
    </cfRule>
    <cfRule type="expression" dxfId="7712" priority="206">
      <formula>AND(C$9&gt;=8/24,C$9&lt;14/24)</formula>
    </cfRule>
    <cfRule type="expression" dxfId="7711" priority="207">
      <formula>C$9&lt;8/24</formula>
    </cfRule>
  </conditionalFormatting>
  <conditionalFormatting sqref="C70:AF70 C65:AF66 C48:AF48">
    <cfRule type="expression" dxfId="7710" priority="203">
      <formula>C48&gt;$AG48</formula>
    </cfRule>
  </conditionalFormatting>
  <conditionalFormatting sqref="C82:AF82">
    <cfRule type="expression" dxfId="7709" priority="199">
      <formula>C$9&gt;=20/24</formula>
    </cfRule>
    <cfRule type="expression" dxfId="7708" priority="200">
      <formula>AND(C$9&gt;=14/24,C$9&lt;20/24)</formula>
    </cfRule>
    <cfRule type="expression" dxfId="7707" priority="201">
      <formula>AND(C$9&gt;=8/24,C$9&lt;14/24)</formula>
    </cfRule>
    <cfRule type="expression" dxfId="7706" priority="202">
      <formula>C$9&lt;8/24</formula>
    </cfRule>
  </conditionalFormatting>
  <conditionalFormatting sqref="C91:W95">
    <cfRule type="expression" dxfId="7705" priority="195">
      <formula>C$9&gt;=20/24</formula>
    </cfRule>
    <cfRule type="expression" dxfId="7704" priority="196">
      <formula>AND(C$9&gt;=14/24,C$9&lt;20/24)</formula>
    </cfRule>
    <cfRule type="expression" dxfId="7703" priority="197">
      <formula>AND(C$9&gt;=8/24,C$9&lt;14/24)</formula>
    </cfRule>
    <cfRule type="expression" dxfId="7702" priority="198">
      <formula>C$9&lt;8/24</formula>
    </cfRule>
  </conditionalFormatting>
  <conditionalFormatting sqref="C52:AF52">
    <cfRule type="expression" dxfId="7701" priority="191">
      <formula>C$9&gt;=20/24</formula>
    </cfRule>
    <cfRule type="expression" dxfId="7700" priority="192">
      <formula>AND(C$9&gt;=14/24,C$9&lt;20/24)</formula>
    </cfRule>
    <cfRule type="expression" dxfId="7699" priority="193">
      <formula>AND(C$9&gt;=8/24,C$9&lt;14/24)</formula>
    </cfRule>
    <cfRule type="expression" dxfId="7698" priority="194">
      <formula>C$9&lt;8/24</formula>
    </cfRule>
  </conditionalFormatting>
  <conditionalFormatting sqref="C52:AF52">
    <cfRule type="expression" dxfId="7697" priority="190">
      <formula>C52&gt;$AG52</formula>
    </cfRule>
  </conditionalFormatting>
  <conditionalFormatting sqref="B49:J51 K50:L51">
    <cfRule type="expression" dxfId="7696" priority="105">
      <formula>B$9&gt;=20/24</formula>
    </cfRule>
    <cfRule type="expression" dxfId="7695" priority="106">
      <formula>AND(B$9&gt;=14/24,B$9&lt;20/24)</formula>
    </cfRule>
    <cfRule type="expression" dxfId="7694" priority="107">
      <formula>AND(B$9&gt;=8/24,B$9&lt;14/24)</formula>
    </cfRule>
    <cfRule type="expression" dxfId="7693" priority="108">
      <formula>B$9&lt;8/24</formula>
    </cfRule>
  </conditionalFormatting>
  <conditionalFormatting sqref="C110">
    <cfRule type="expression" dxfId="7692" priority="182">
      <formula>C$9&gt;=20/24</formula>
    </cfRule>
    <cfRule type="expression" dxfId="7691" priority="183">
      <formula>AND(C$9&gt;=14/24,C$9&lt;20/24)</formula>
    </cfRule>
    <cfRule type="expression" dxfId="7690" priority="184">
      <formula>AND(C$9&gt;=8/24,C$9&lt;14/24)</formula>
    </cfRule>
    <cfRule type="expression" dxfId="7689" priority="185">
      <formula>C$9&lt;8/24</formula>
    </cfRule>
  </conditionalFormatting>
  <conditionalFormatting sqref="Z59:AF64">
    <cfRule type="expression" dxfId="7688" priority="178">
      <formula>Z$9&gt;=20/24</formula>
    </cfRule>
    <cfRule type="expression" dxfId="7687" priority="179">
      <formula>AND(Z$9&gt;=14/24,Z$9&lt;20/24)</formula>
    </cfRule>
    <cfRule type="expression" dxfId="7686" priority="180">
      <formula>AND(Z$9&gt;=8/24,Z$9&lt;14/24)</formula>
    </cfRule>
    <cfRule type="expression" dxfId="7685" priority="181">
      <formula>Z$9&lt;8/24</formula>
    </cfRule>
  </conditionalFormatting>
  <conditionalFormatting sqref="Z59:AF64">
    <cfRule type="expression" dxfId="7684" priority="177">
      <formula>Z59&gt;$AG59</formula>
    </cfRule>
  </conditionalFormatting>
  <conditionalFormatting sqref="Z45:AF45 S13:AF15">
    <cfRule type="expression" dxfId="7683" priority="176">
      <formula>S13&gt;$AG13</formula>
    </cfRule>
  </conditionalFormatting>
  <conditionalFormatting sqref="S12:AF12">
    <cfRule type="expression" dxfId="7682" priority="172">
      <formula>S$9&gt;=20/24</formula>
    </cfRule>
    <cfRule type="expression" dxfId="7681" priority="173">
      <formula>AND(S$9&gt;=14/24,S$9&lt;20/24)</formula>
    </cfRule>
    <cfRule type="expression" dxfId="7680" priority="174">
      <formula>AND(S$9&gt;=8/24,S$9&lt;14/24)</formula>
    </cfRule>
    <cfRule type="expression" dxfId="7679" priority="175">
      <formula>S$9&lt;8/24</formula>
    </cfRule>
  </conditionalFormatting>
  <conditionalFormatting sqref="S12:AF12">
    <cfRule type="expression" dxfId="7678" priority="171">
      <formula>S12&gt;$AG12</formula>
    </cfRule>
  </conditionalFormatting>
  <conditionalFormatting sqref="S13:AF15">
    <cfRule type="expression" dxfId="7677" priority="167">
      <formula>S$9&gt;=20/24</formula>
    </cfRule>
    <cfRule type="expression" dxfId="7676" priority="168">
      <formula>AND(S$9&gt;=14/24,S$9&lt;20/24)</formula>
    </cfRule>
    <cfRule type="expression" dxfId="7675" priority="169">
      <formula>AND(S$9&gt;=8/24,S$9&lt;14/24)</formula>
    </cfRule>
    <cfRule type="expression" dxfId="7674" priority="170">
      <formula>S$9&lt;8/24</formula>
    </cfRule>
  </conditionalFormatting>
  <conditionalFormatting sqref="Z45:AF45">
    <cfRule type="expression" dxfId="7673" priority="163">
      <formula>Z$9&gt;=20/24</formula>
    </cfRule>
    <cfRule type="expression" dxfId="7672" priority="164">
      <formula>AND(Z$9&gt;=14/24,Z$9&lt;20/24)</formula>
    </cfRule>
    <cfRule type="expression" dxfId="7671" priority="165">
      <formula>AND(Z$9&gt;=8/24,Z$9&lt;14/24)</formula>
    </cfRule>
    <cfRule type="expression" dxfId="7670" priority="166">
      <formula>Z$9&lt;8/24</formula>
    </cfRule>
  </conditionalFormatting>
  <conditionalFormatting sqref="AC77:AF81">
    <cfRule type="expression" dxfId="7669" priority="159">
      <formula>AC$9&gt;=20/24</formula>
    </cfRule>
    <cfRule type="expression" dxfId="7668" priority="160">
      <formula>AND(AC$9&gt;=14/24,AC$9&lt;20/24)</formula>
    </cfRule>
    <cfRule type="expression" dxfId="7667" priority="161">
      <formula>AND(AC$9&gt;=8/24,AC$9&lt;14/24)</formula>
    </cfRule>
    <cfRule type="expression" dxfId="7666" priority="162">
      <formula>AC$9&lt;8/24</formula>
    </cfRule>
  </conditionalFormatting>
  <conditionalFormatting sqref="AL78:AN78 AL84:AN84 AN79:AN80">
    <cfRule type="expression" dxfId="7665" priority="155">
      <formula>AL$9&gt;=20/24</formula>
    </cfRule>
    <cfRule type="expression" dxfId="7664" priority="156">
      <formula>AND(AL$9&gt;=14/24,AL$9&lt;20/24)</formula>
    </cfRule>
    <cfRule type="expression" dxfId="7663" priority="157">
      <formula>AND(AL$9&gt;=8/24,AL$9&lt;14/24)</formula>
    </cfRule>
    <cfRule type="expression" dxfId="7662" priority="158">
      <formula>AL$9&lt;8/24</formula>
    </cfRule>
  </conditionalFormatting>
  <conditionalFormatting sqref="AN81:AN82">
    <cfRule type="expression" dxfId="7661" priority="151">
      <formula>AN$9&gt;=20/24</formula>
    </cfRule>
    <cfRule type="expression" dxfId="7660" priority="152">
      <formula>AND(AN$9&gt;=14/24,AN$9&lt;20/24)</formula>
    </cfRule>
    <cfRule type="expression" dxfId="7659" priority="153">
      <formula>AND(AN$9&gt;=8/24,AN$9&lt;14/24)</formula>
    </cfRule>
    <cfRule type="expression" dxfId="7658" priority="154">
      <formula>AN$9&lt;8/24</formula>
    </cfRule>
  </conditionalFormatting>
  <conditionalFormatting sqref="AL79:AM83">
    <cfRule type="expression" dxfId="7657" priority="373">
      <formula>AJ$9&gt;=20/24</formula>
    </cfRule>
    <cfRule type="expression" dxfId="7656" priority="374">
      <formula>AND(AJ$9&gt;=14/24,AJ$9&lt;20/24)</formula>
    </cfRule>
    <cfRule type="expression" dxfId="7655" priority="375">
      <formula>AND(AJ$9&gt;=8/24,AJ$9&lt;14/24)</formula>
    </cfRule>
    <cfRule type="expression" dxfId="7654" priority="376">
      <formula>AJ$9&lt;8/24</formula>
    </cfRule>
  </conditionalFormatting>
  <conditionalFormatting sqref="A117">
    <cfRule type="expression" dxfId="7653" priority="150">
      <formula>$AH117=0</formula>
    </cfRule>
  </conditionalFormatting>
  <conditionalFormatting sqref="B109 B111:B116 B12:R15 B17:R32 B34:Y43 B45:Y45 S18:Y32">
    <cfRule type="expression" dxfId="7652" priority="146">
      <formula>B$9&gt;=20/24</formula>
    </cfRule>
    <cfRule type="expression" dxfId="7651" priority="147">
      <formula>AND(B$9&gt;=14/24,B$9&lt;20/24)</formula>
    </cfRule>
    <cfRule type="expression" dxfId="7650" priority="148">
      <formula>AND(B$9&gt;=8/24,B$9&lt;14/24)</formula>
    </cfRule>
    <cfRule type="expression" dxfId="7649" priority="149">
      <formula>B$9&lt;8/24</formula>
    </cfRule>
  </conditionalFormatting>
  <conditionalFormatting sqref="B12:R15 B17:R32 B34:Y43 B45:Y45 S18:Y32">
    <cfRule type="expression" dxfId="7648" priority="145">
      <formula>B12&gt;$AG12</formula>
    </cfRule>
  </conditionalFormatting>
  <conditionalFormatting sqref="B99">
    <cfRule type="expression" dxfId="7647" priority="141">
      <formula>B$9&gt;=20/24</formula>
    </cfRule>
    <cfRule type="expression" dxfId="7646" priority="142">
      <formula>AND(B$9&gt;=14/24,B$9&lt;20/24)</formula>
    </cfRule>
    <cfRule type="expression" dxfId="7645" priority="143">
      <formula>AND(B$9&gt;=8/24,B$9&lt;14/24)</formula>
    </cfRule>
    <cfRule type="expression" dxfId="7644" priority="144">
      <formula>B$9&lt;8/24</formula>
    </cfRule>
  </conditionalFormatting>
  <conditionalFormatting sqref="B53:D53">
    <cfRule type="expression" dxfId="7643" priority="133">
      <formula>B$9&gt;=20/24</formula>
    </cfRule>
    <cfRule type="expression" dxfId="7642" priority="134">
      <formula>AND(B$9&gt;=14/24,B$9&lt;20/24)</formula>
    </cfRule>
    <cfRule type="expression" dxfId="7641" priority="135">
      <formula>AND(B$9&gt;=8/24,B$9&lt;14/24)</formula>
    </cfRule>
    <cfRule type="expression" dxfId="7640" priority="136">
      <formula>B$9&lt;8/24</formula>
    </cfRule>
  </conditionalFormatting>
  <conditionalFormatting sqref="B53:D57 E55:L57">
    <cfRule type="expression" dxfId="7639" priority="132">
      <formula>B53&gt;$AG53</formula>
    </cfRule>
  </conditionalFormatting>
  <conditionalFormatting sqref="B96 B86 B47 B100:C106 B72:K74 B67:L69">
    <cfRule type="expression" dxfId="7638" priority="128">
      <formula>B$9&gt;=20/24</formula>
    </cfRule>
    <cfRule type="expression" dxfId="7637" priority="129">
      <formula>AND(B$9&gt;=14/24,B$9&lt;20/24)</formula>
    </cfRule>
    <cfRule type="expression" dxfId="7636" priority="130">
      <formula>AND(B$9&gt;=8/24,B$9&lt;14/24)</formula>
    </cfRule>
    <cfRule type="expression" dxfId="7635" priority="131">
      <formula>B$9&lt;8/24</formula>
    </cfRule>
  </conditionalFormatting>
  <conditionalFormatting sqref="B47 B67:L69">
    <cfRule type="expression" dxfId="7634" priority="127">
      <formula>B47&gt;$AG47</formula>
    </cfRule>
  </conditionalFormatting>
  <conditionalFormatting sqref="B97 B88:C88">
    <cfRule type="expression" dxfId="7633" priority="123">
      <formula>B$9&gt;=20/24</formula>
    </cfRule>
    <cfRule type="expression" dxfId="7632" priority="124">
      <formula>AND(B$9&gt;=14/24,B$9&lt;20/24)</formula>
    </cfRule>
    <cfRule type="expression" dxfId="7631" priority="125">
      <formula>AND(B$9&gt;=8/24,B$9&lt;14/24)</formula>
    </cfRule>
    <cfRule type="expression" dxfId="7630" priority="126">
      <formula>B$9&lt;8/24</formula>
    </cfRule>
  </conditionalFormatting>
  <conditionalFormatting sqref="B46:O46">
    <cfRule type="expression" dxfId="7629" priority="119">
      <formula>B$9&gt;=20/24</formula>
    </cfRule>
    <cfRule type="expression" dxfId="7628" priority="120">
      <formula>AND(B$9&gt;=14/24,B$9&lt;20/24)</formula>
    </cfRule>
    <cfRule type="expression" dxfId="7627" priority="121">
      <formula>AND(B$9&gt;=8/24,B$9&lt;14/24)</formula>
    </cfRule>
    <cfRule type="expression" dxfId="7626" priority="122">
      <formula>B$9&lt;8/24</formula>
    </cfRule>
  </conditionalFormatting>
  <conditionalFormatting sqref="B46:O46">
    <cfRule type="expression" dxfId="7625" priority="118">
      <formula>B46&gt;$AG46</formula>
    </cfRule>
  </conditionalFormatting>
  <conditionalFormatting sqref="B58:L58">
    <cfRule type="expression" dxfId="7624" priority="114">
      <formula>B$9&gt;=20/24</formula>
    </cfRule>
    <cfRule type="expression" dxfId="7623" priority="115">
      <formula>AND(B$9&gt;=14/24,B$9&lt;20/24)</formula>
    </cfRule>
    <cfRule type="expression" dxfId="7622" priority="116">
      <formula>AND(B$9&gt;=8/24,B$9&lt;14/24)</formula>
    </cfRule>
    <cfRule type="expression" dxfId="7621" priority="117">
      <formula>B$9&lt;8/24</formula>
    </cfRule>
  </conditionalFormatting>
  <conditionalFormatting sqref="B58:L58">
    <cfRule type="expression" dxfId="7620" priority="113">
      <formula>B58&gt;$AG58</formula>
    </cfRule>
  </conditionalFormatting>
  <conditionalFormatting sqref="B91:B95">
    <cfRule type="expression" dxfId="7619" priority="109">
      <formula>B$9&gt;=20/24</formula>
    </cfRule>
    <cfRule type="expression" dxfId="7618" priority="110">
      <formula>AND(B$9&gt;=14/24,B$9&lt;20/24)</formula>
    </cfRule>
    <cfRule type="expression" dxfId="7617" priority="111">
      <formula>AND(B$9&gt;=8/24,B$9&lt;14/24)</formula>
    </cfRule>
    <cfRule type="expression" dxfId="7616" priority="112">
      <formula>B$9&lt;8/24</formula>
    </cfRule>
  </conditionalFormatting>
  <conditionalFormatting sqref="B49:J51 K50:L51">
    <cfRule type="expression" dxfId="7615" priority="104">
      <formula>B49&gt;$AG49</formula>
    </cfRule>
  </conditionalFormatting>
  <conditionalFormatting sqref="B107">
    <cfRule type="expression" dxfId="7614" priority="100">
      <formula>B$9&gt;=20/24</formula>
    </cfRule>
    <cfRule type="expression" dxfId="7613" priority="101">
      <formula>AND(B$9&gt;=14/24,B$9&lt;20/24)</formula>
    </cfRule>
    <cfRule type="expression" dxfId="7612" priority="102">
      <formula>AND(B$9&gt;=8/24,B$9&lt;14/24)</formula>
    </cfRule>
    <cfRule type="expression" dxfId="7611" priority="103">
      <formula>B$9&lt;8/24</formula>
    </cfRule>
  </conditionalFormatting>
  <conditionalFormatting sqref="B110">
    <cfRule type="expression" dxfId="7610" priority="96">
      <formula>B$9&gt;=20/24</formula>
    </cfRule>
    <cfRule type="expression" dxfId="7609" priority="97">
      <formula>AND(B$9&gt;=14/24,B$9&lt;20/24)</formula>
    </cfRule>
    <cfRule type="expression" dxfId="7608" priority="98">
      <formula>AND(B$9&gt;=8/24,B$9&lt;14/24)</formula>
    </cfRule>
    <cfRule type="expression" dxfId="7607" priority="99">
      <formula>B$9&lt;8/24</formula>
    </cfRule>
  </conditionalFormatting>
  <conditionalFormatting sqref="B83:B85 B75:L81 M76:AB81">
    <cfRule type="expression" dxfId="7606" priority="92">
      <formula>B$9&gt;=20/24</formula>
    </cfRule>
    <cfRule type="expression" dxfId="7605" priority="93">
      <formula>AND(B$9&gt;=14/24,B$9&lt;20/24)</formula>
    </cfRule>
    <cfRule type="expression" dxfId="7604" priority="94">
      <formula>AND(B$9&gt;=8/24,B$9&lt;14/24)</formula>
    </cfRule>
    <cfRule type="expression" dxfId="7603" priority="95">
      <formula>B$9&lt;8/24</formula>
    </cfRule>
  </conditionalFormatting>
  <conditionalFormatting sqref="B89 B98 B70 B87">
    <cfRule type="expression" dxfId="7602" priority="88">
      <formula>B$9&gt;=20/24</formula>
    </cfRule>
    <cfRule type="expression" dxfId="7601" priority="89">
      <formula>AND(B$9&gt;=14/24,B$9&lt;20/24)</formula>
    </cfRule>
    <cfRule type="expression" dxfId="7600" priority="90">
      <formula>AND(B$9&gt;=8/24,B$9&lt;14/24)</formula>
    </cfRule>
    <cfRule type="expression" dxfId="7599" priority="91">
      <formula>B$9&lt;8/24</formula>
    </cfRule>
  </conditionalFormatting>
  <conditionalFormatting sqref="B48 B65:B66 B70">
    <cfRule type="expression" dxfId="7598" priority="87">
      <formula>B48&gt;$AG48</formula>
    </cfRule>
  </conditionalFormatting>
  <conditionalFormatting sqref="B82">
    <cfRule type="expression" dxfId="7597" priority="83">
      <formula>B$9&gt;=20/24</formula>
    </cfRule>
    <cfRule type="expression" dxfId="7596" priority="84">
      <formula>AND(B$9&gt;=14/24,B$9&lt;20/24)</formula>
    </cfRule>
    <cfRule type="expression" dxfId="7595" priority="85">
      <formula>AND(B$9&gt;=8/24,B$9&lt;14/24)</formula>
    </cfRule>
    <cfRule type="expression" dxfId="7594" priority="86">
      <formula>B$9&lt;8/24</formula>
    </cfRule>
  </conditionalFormatting>
  <conditionalFormatting sqref="B52">
    <cfRule type="expression" dxfId="7593" priority="79">
      <formula>B$9&gt;=20/24</formula>
    </cfRule>
    <cfRule type="expression" dxfId="7592" priority="80">
      <formula>AND(B$9&gt;=14/24,B$9&lt;20/24)</formula>
    </cfRule>
    <cfRule type="expression" dxfId="7591" priority="81">
      <formula>AND(B$9&gt;=8/24,B$9&lt;14/24)</formula>
    </cfRule>
    <cfRule type="expression" dxfId="7590" priority="82">
      <formula>B$9&lt;8/24</formula>
    </cfRule>
  </conditionalFormatting>
  <conditionalFormatting sqref="B52">
    <cfRule type="expression" dxfId="7589" priority="78">
      <formula>B52&gt;$AG52</formula>
    </cfRule>
  </conditionalFormatting>
  <conditionalFormatting sqref="B59:Y64">
    <cfRule type="expression" dxfId="7588" priority="70">
      <formula>B$9&gt;=20/24</formula>
    </cfRule>
    <cfRule type="expression" dxfId="7587" priority="71">
      <formula>AND(B$9&gt;=14/24,B$9&lt;20/24)</formula>
    </cfRule>
    <cfRule type="expression" dxfId="7586" priority="72">
      <formula>AND(B$9&gt;=8/24,B$9&lt;14/24)</formula>
    </cfRule>
    <cfRule type="expression" dxfId="7585" priority="73">
      <formula>B$9&lt;8/24</formula>
    </cfRule>
  </conditionalFormatting>
  <conditionalFormatting sqref="B59:Y64">
    <cfRule type="expression" dxfId="7584" priority="69">
      <formula>B59&gt;$AG59</formula>
    </cfRule>
  </conditionalFormatting>
  <conditionalFormatting sqref="A11">
    <cfRule type="expression" dxfId="7583" priority="64">
      <formula>$AH11=0</formula>
    </cfRule>
  </conditionalFormatting>
  <conditionalFormatting sqref="S11:AF11">
    <cfRule type="expression" dxfId="7582" priority="60">
      <formula>S$9&gt;=20/24</formula>
    </cfRule>
    <cfRule type="expression" dxfId="7581" priority="61">
      <formula>AND(S$9&gt;=14/24,S$9&lt;20/24)</formula>
    </cfRule>
    <cfRule type="expression" dxfId="7580" priority="62">
      <formula>AND(S$9&gt;=8/24,S$9&lt;14/24)</formula>
    </cfRule>
    <cfRule type="expression" dxfId="7579" priority="63">
      <formula>S$9&lt;8/24</formula>
    </cfRule>
  </conditionalFormatting>
  <conditionalFormatting sqref="S11:AF11">
    <cfRule type="expression" dxfId="7578" priority="59">
      <formula>S11&gt;$AG11</formula>
    </cfRule>
  </conditionalFormatting>
  <conditionalFormatting sqref="B11:R11">
    <cfRule type="expression" dxfId="7577" priority="55">
      <formula>B$9&gt;=20/24</formula>
    </cfRule>
    <cfRule type="expression" dxfId="7576" priority="56">
      <formula>AND(B$9&gt;=14/24,B$9&lt;20/24)</formula>
    </cfRule>
    <cfRule type="expression" dxfId="7575" priority="57">
      <formula>AND(B$9&gt;=8/24,B$9&lt;14/24)</formula>
    </cfRule>
    <cfRule type="expression" dxfId="7574" priority="58">
      <formula>B$9&lt;8/24</formula>
    </cfRule>
  </conditionalFormatting>
  <conditionalFormatting sqref="B11:R11">
    <cfRule type="expression" dxfId="7573" priority="54">
      <formula>B11&gt;$AG11</formula>
    </cfRule>
  </conditionalFormatting>
  <conditionalFormatting sqref="A16">
    <cfRule type="expression" dxfId="7572" priority="52">
      <formula>$AH16=0</formula>
    </cfRule>
  </conditionalFormatting>
  <conditionalFormatting sqref="AL16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S16:AF16">
    <cfRule type="expression" dxfId="7571" priority="48">
      <formula>S$9&gt;=20/24</formula>
    </cfRule>
    <cfRule type="expression" dxfId="7570" priority="49">
      <formula>AND(S$9&gt;=14/24,S$9&lt;20/24)</formula>
    </cfRule>
    <cfRule type="expression" dxfId="7569" priority="50">
      <formula>AND(S$9&gt;=8/24,S$9&lt;14/24)</formula>
    </cfRule>
    <cfRule type="expression" dxfId="7568" priority="51">
      <formula>S$9&lt;8/24</formula>
    </cfRule>
  </conditionalFormatting>
  <conditionalFormatting sqref="S16:AF16">
    <cfRule type="expression" dxfId="7567" priority="47">
      <formula>S16&gt;$AG16</formula>
    </cfRule>
  </conditionalFormatting>
  <conditionalFormatting sqref="B16:R16">
    <cfRule type="expression" dxfId="7566" priority="43">
      <formula>B$9&gt;=20/24</formula>
    </cfRule>
    <cfRule type="expression" dxfId="7565" priority="44">
      <formula>AND(B$9&gt;=14/24,B$9&lt;20/24)</formula>
    </cfRule>
    <cfRule type="expression" dxfId="7564" priority="45">
      <formula>AND(B$9&gt;=8/24,B$9&lt;14/24)</formula>
    </cfRule>
    <cfRule type="expression" dxfId="7563" priority="46">
      <formula>B$9&lt;8/24</formula>
    </cfRule>
  </conditionalFormatting>
  <conditionalFormatting sqref="B16:R16">
    <cfRule type="expression" dxfId="7562" priority="42">
      <formula>B16&gt;$AG16</formula>
    </cfRule>
  </conditionalFormatting>
  <conditionalFormatting sqref="A33">
    <cfRule type="expression" dxfId="7561" priority="40">
      <formula>$AH33=0</formula>
    </cfRule>
  </conditionalFormatting>
  <conditionalFormatting sqref="AL33">
    <cfRule type="iconSet" priority="41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7560" priority="36">
      <formula>Z$9&gt;=20/24</formula>
    </cfRule>
    <cfRule type="expression" dxfId="7559" priority="37">
      <formula>AND(Z$9&gt;=14/24,Z$9&lt;20/24)</formula>
    </cfRule>
    <cfRule type="expression" dxfId="7558" priority="38">
      <formula>AND(Z$9&gt;=8/24,Z$9&lt;14/24)</formula>
    </cfRule>
    <cfRule type="expression" dxfId="7557" priority="39">
      <formula>Z$9&lt;8/24</formula>
    </cfRule>
  </conditionalFormatting>
  <conditionalFormatting sqref="Z33:AF33">
    <cfRule type="expression" dxfId="7556" priority="35">
      <formula>Z33&gt;$AG33</formula>
    </cfRule>
  </conditionalFormatting>
  <conditionalFormatting sqref="B33:Y33">
    <cfRule type="expression" dxfId="7555" priority="31">
      <formula>B$9&gt;=20/24</formula>
    </cfRule>
    <cfRule type="expression" dxfId="7554" priority="32">
      <formula>AND(B$9&gt;=14/24,B$9&lt;20/24)</formula>
    </cfRule>
    <cfRule type="expression" dxfId="7553" priority="33">
      <formula>AND(B$9&gt;=8/24,B$9&lt;14/24)</formula>
    </cfRule>
    <cfRule type="expression" dxfId="7552" priority="34">
      <formula>B$9&lt;8/24</formula>
    </cfRule>
  </conditionalFormatting>
  <conditionalFormatting sqref="B33:Y33">
    <cfRule type="expression" dxfId="7551" priority="30">
      <formula>B33&gt;$AG33</formula>
    </cfRule>
  </conditionalFormatting>
  <conditionalFormatting sqref="A44">
    <cfRule type="expression" dxfId="7550" priority="28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7549" priority="27">
      <formula>Z44&gt;$AG44</formula>
    </cfRule>
  </conditionalFormatting>
  <conditionalFormatting sqref="Z44:AF44">
    <cfRule type="expression" dxfId="7548" priority="23">
      <formula>Z$9&gt;=20/24</formula>
    </cfRule>
    <cfRule type="expression" dxfId="7547" priority="24">
      <formula>AND(Z$9&gt;=14/24,Z$9&lt;20/24)</formula>
    </cfRule>
    <cfRule type="expression" dxfId="7546" priority="25">
      <formula>AND(Z$9&gt;=8/24,Z$9&lt;14/24)</formula>
    </cfRule>
    <cfRule type="expression" dxfId="7545" priority="26">
      <formula>Z$9&lt;8/24</formula>
    </cfRule>
  </conditionalFormatting>
  <conditionalFormatting sqref="B44:Y44">
    <cfRule type="expression" dxfId="7544" priority="19">
      <formula>B$9&gt;=20/24</formula>
    </cfRule>
    <cfRule type="expression" dxfId="7543" priority="20">
      <formula>AND(B$9&gt;=14/24,B$9&lt;20/24)</formula>
    </cfRule>
    <cfRule type="expression" dxfId="7542" priority="21">
      <formula>AND(B$9&gt;=8/24,B$9&lt;14/24)</formula>
    </cfRule>
    <cfRule type="expression" dxfId="7541" priority="22">
      <formula>B$9&lt;8/24</formula>
    </cfRule>
  </conditionalFormatting>
  <conditionalFormatting sqref="B44:Y44">
    <cfRule type="expression" dxfId="7540" priority="18">
      <formula>B44&gt;$AG44</formula>
    </cfRule>
  </conditionalFormatting>
  <conditionalFormatting sqref="B117">
    <cfRule type="expression" dxfId="7539" priority="6">
      <formula>B$9&gt;=20/24</formula>
    </cfRule>
    <cfRule type="expression" dxfId="7538" priority="7">
      <formula>AND(B$9&gt;=14/24,B$9&lt;20/24)</formula>
    </cfRule>
    <cfRule type="expression" dxfId="7537" priority="8">
      <formula>AND(B$9&gt;=8/24,B$9&lt;14/24)</formula>
    </cfRule>
    <cfRule type="expression" dxfId="7536" priority="9">
      <formula>B$9&lt;8/24</formula>
    </cfRule>
  </conditionalFormatting>
  <conditionalFormatting sqref="D117:AF117">
    <cfRule type="expression" dxfId="7535" priority="14">
      <formula>D$9&gt;=20/24</formula>
    </cfRule>
    <cfRule type="expression" dxfId="7534" priority="15">
      <formula>AND(D$9&gt;=14/24,D$9&lt;20/24)</formula>
    </cfRule>
    <cfRule type="expression" dxfId="7533" priority="16">
      <formula>AND(D$9&gt;=8/24,D$9&lt;14/24)</formula>
    </cfRule>
    <cfRule type="expression" dxfId="7532" priority="17">
      <formula>D$9&lt;8/24</formula>
    </cfRule>
  </conditionalFormatting>
  <conditionalFormatting sqref="C117">
    <cfRule type="expression" dxfId="7531" priority="10">
      <formula>C$9&gt;=20/24</formula>
    </cfRule>
    <cfRule type="expression" dxfId="7530" priority="11">
      <formula>AND(C$9&gt;=14/24,C$9&lt;20/24)</formula>
    </cfRule>
    <cfRule type="expression" dxfId="7529" priority="12">
      <formula>AND(C$9&gt;=8/24,C$9&lt;14/24)</formula>
    </cfRule>
    <cfRule type="expression" dxfId="7528" priority="13">
      <formula>C$9&lt;8/24</formula>
    </cfRule>
  </conditionalFormatting>
  <conditionalFormatting sqref="M57">
    <cfRule type="expression" dxfId="7527" priority="2">
      <formula>M$9&gt;=20/24</formula>
    </cfRule>
    <cfRule type="expression" dxfId="7526" priority="3">
      <formula>AND(M$9&gt;=14/24,M$9&lt;20/24)</formula>
    </cfRule>
    <cfRule type="expression" dxfId="7525" priority="4">
      <formula>AND(M$9&gt;=8/24,M$9&lt;14/24)</formula>
    </cfRule>
    <cfRule type="expression" dxfId="7524" priority="5">
      <formula>M$9&lt;8/24</formula>
    </cfRule>
  </conditionalFormatting>
  <conditionalFormatting sqref="M57">
    <cfRule type="expression" dxfId="7523" priority="1">
      <formula>M57&gt;$AG57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6" id="{870E0BB1-F746-45F6-82EF-53D70A583D6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7" id="{94E13912-7074-4E46-AE68-0EB6D5C8A99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8" id="{7F2A86FB-2856-4369-A09F-2DB6C584ECE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9" id="{DCDADC18-B87C-4EE2-AC38-8E5E8396AEE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74" id="{BA631D75-BCDB-445B-B6E8-8693BA5677F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5" id="{3F4E06B5-28E1-435C-8A4C-A3890481B5B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6" id="{0303CEE2-A6FC-44A7-94AF-7E31BA867BA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7" id="{574377D3-61EE-44D6-99BA-B5D6391C3EA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92" activePane="bottomLeft" state="frozen"/>
      <selection activeCell="Z85" sqref="Z85"/>
      <selection pane="bottomLeft" activeCell="Y114" sqref="Y114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2079/12/13</v>
      </c>
      <c r="C4" s="196"/>
      <c r="D4" s="196"/>
      <c r="E4" s="197" t="str">
        <f ca="1">"2079/"&amp;"12/"&amp;INT(MID(CELL("filename",G6),FIND("]",CELL("filename",G6))+1,200))</f>
        <v>2079/12/13</v>
      </c>
      <c r="F4" s="197"/>
      <c r="G4" s="197"/>
      <c r="H4" s="197" t="str">
        <f ca="1">TEXT(E4,"dddd")</f>
        <v>Wednesday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473.6</v>
      </c>
      <c r="C5" s="33">
        <f t="shared" si="0"/>
        <v>458</v>
      </c>
      <c r="D5" s="33">
        <f t="shared" si="0"/>
        <v>469.4</v>
      </c>
      <c r="E5" s="33">
        <f t="shared" si="0"/>
        <v>433</v>
      </c>
      <c r="F5" s="33">
        <f t="shared" si="0"/>
        <v>479</v>
      </c>
      <c r="G5" s="33">
        <f t="shared" si="0"/>
        <v>500.8</v>
      </c>
      <c r="H5" s="33">
        <f t="shared" si="0"/>
        <v>461</v>
      </c>
      <c r="I5" s="33">
        <f t="shared" si="0"/>
        <v>407.1</v>
      </c>
      <c r="J5" s="33">
        <f t="shared" si="0"/>
        <v>382.5</v>
      </c>
      <c r="K5" s="33">
        <f t="shared" si="0"/>
        <v>379.9</v>
      </c>
      <c r="L5" s="33">
        <f t="shared" si="0"/>
        <v>456</v>
      </c>
      <c r="M5" s="33">
        <f t="shared" si="0"/>
        <v>501</v>
      </c>
      <c r="N5" s="33">
        <f t="shared" si="0"/>
        <v>491.1</v>
      </c>
      <c r="O5" s="33">
        <f t="shared" si="0"/>
        <v>537.5</v>
      </c>
      <c r="P5" s="33">
        <f t="shared" si="0"/>
        <v>526.9</v>
      </c>
      <c r="Q5" s="33">
        <f t="shared" si="0"/>
        <v>571.9</v>
      </c>
      <c r="R5" s="33">
        <f t="shared" si="0"/>
        <v>546.4</v>
      </c>
      <c r="S5" s="33">
        <f t="shared" si="0"/>
        <v>586.70000000000005</v>
      </c>
      <c r="T5" s="33">
        <f t="shared" si="0"/>
        <v>521.1</v>
      </c>
      <c r="U5" s="33">
        <f t="shared" si="0"/>
        <v>509.4</v>
      </c>
      <c r="V5" s="33">
        <f t="shared" si="0"/>
        <v>511.9</v>
      </c>
      <c r="W5" s="33">
        <f t="shared" si="0"/>
        <v>526.5</v>
      </c>
      <c r="X5" s="33">
        <f t="shared" si="0"/>
        <v>544.9</v>
      </c>
      <c r="Y5" s="33">
        <f t="shared" si="0"/>
        <v>0</v>
      </c>
      <c r="Z5" s="33">
        <f t="shared" si="0"/>
        <v>470.59999999999997</v>
      </c>
      <c r="AA5" s="33">
        <f t="shared" si="0"/>
        <v>477.59999999999997</v>
      </c>
      <c r="AB5" s="33">
        <f t="shared" si="0"/>
        <v>419.59999999999997</v>
      </c>
      <c r="AC5" s="33">
        <f t="shared" si="0"/>
        <v>426.29999999999995</v>
      </c>
      <c r="AD5" s="33">
        <f t="shared" si="0"/>
        <v>437.79999999999995</v>
      </c>
      <c r="AE5" s="33">
        <f t="shared" si="0"/>
        <v>432.3</v>
      </c>
      <c r="AF5" s="33">
        <f>B82</f>
        <v>441.3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1422MW at 7:00hr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Load=128</v>
      </c>
      <c r="B7" s="38">
        <f t="shared" ref="B7:AF7" si="1">B89</f>
        <v>1131.04</v>
      </c>
      <c r="C7" s="38">
        <f t="shared" si="1"/>
        <v>1106.44</v>
      </c>
      <c r="D7" s="38">
        <f t="shared" si="1"/>
        <v>1097.54</v>
      </c>
      <c r="E7" s="38">
        <f t="shared" si="1"/>
        <v>1117.24</v>
      </c>
      <c r="F7" s="38">
        <f t="shared" si="1"/>
        <v>1100.74</v>
      </c>
      <c r="G7" s="38">
        <f t="shared" si="1"/>
        <v>1142.54</v>
      </c>
      <c r="H7" s="38">
        <f t="shared" si="1"/>
        <v>1188.8399999999999</v>
      </c>
      <c r="I7" s="38">
        <f t="shared" si="1"/>
        <v>1221.04</v>
      </c>
      <c r="J7" s="38">
        <f t="shared" si="1"/>
        <v>1340.8400000000001</v>
      </c>
      <c r="K7" s="38">
        <f t="shared" si="1"/>
        <v>1422.3400000000001</v>
      </c>
      <c r="L7" s="38">
        <f t="shared" si="1"/>
        <v>1405.54</v>
      </c>
      <c r="M7" s="38">
        <f t="shared" si="1"/>
        <v>1398.34</v>
      </c>
      <c r="N7" s="38">
        <f>N89</f>
        <v>1356.94</v>
      </c>
      <c r="O7" s="38">
        <f t="shared" si="1"/>
        <v>1347.8400000000001</v>
      </c>
      <c r="P7" s="38">
        <f t="shared" si="1"/>
        <v>1331.44</v>
      </c>
      <c r="Q7" s="38">
        <f t="shared" si="1"/>
        <v>1337.94</v>
      </c>
      <c r="R7" s="38">
        <f t="shared" si="1"/>
        <v>1377.6399999999999</v>
      </c>
      <c r="S7" s="38">
        <f t="shared" si="1"/>
        <v>1330.44</v>
      </c>
      <c r="T7" s="38">
        <f t="shared" si="1"/>
        <v>1365.94</v>
      </c>
      <c r="U7" s="38">
        <f t="shared" si="1"/>
        <v>1347.1399999999999</v>
      </c>
      <c r="V7" s="38">
        <f t="shared" si="1"/>
        <v>1256.6399999999999</v>
      </c>
      <c r="W7" s="38">
        <f t="shared" si="1"/>
        <v>1270.1399999999999</v>
      </c>
      <c r="X7" s="38">
        <f t="shared" si="1"/>
        <v>1321.74</v>
      </c>
      <c r="Y7" s="38">
        <f t="shared" si="1"/>
        <v>1209.54</v>
      </c>
      <c r="Z7" s="38">
        <f t="shared" si="1"/>
        <v>127.84</v>
      </c>
      <c r="AA7" s="38">
        <f t="shared" si="1"/>
        <v>1253.3399999999999</v>
      </c>
      <c r="AB7" s="38">
        <f t="shared" si="1"/>
        <v>1270.44</v>
      </c>
      <c r="AC7" s="38">
        <f t="shared" si="1"/>
        <v>1266.24</v>
      </c>
      <c r="AD7" s="38">
        <f t="shared" si="1"/>
        <v>1299.8399999999999</v>
      </c>
      <c r="AE7" s="38">
        <f t="shared" si="1"/>
        <v>1195.74</v>
      </c>
      <c r="AF7" s="38">
        <f t="shared" si="1"/>
        <v>1116.54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28</v>
      </c>
      <c r="C11" s="50">
        <v>28</v>
      </c>
      <c r="D11" s="50">
        <v>28</v>
      </c>
      <c r="E11" s="50">
        <v>28</v>
      </c>
      <c r="F11" s="50">
        <v>28</v>
      </c>
      <c r="G11" s="50">
        <v>28</v>
      </c>
      <c r="H11" s="50">
        <v>28</v>
      </c>
      <c r="I11" s="50">
        <v>28</v>
      </c>
      <c r="J11" s="50">
        <v>28</v>
      </c>
      <c r="K11" s="50">
        <v>28</v>
      </c>
      <c r="L11" s="50">
        <v>28</v>
      </c>
      <c r="M11" s="50">
        <v>28</v>
      </c>
      <c r="N11" s="50">
        <v>28</v>
      </c>
      <c r="O11" s="50">
        <v>28</v>
      </c>
      <c r="P11" s="50">
        <v>28</v>
      </c>
      <c r="Q11" s="50">
        <v>28</v>
      </c>
      <c r="R11" s="50">
        <v>28</v>
      </c>
      <c r="S11" s="50">
        <v>25</v>
      </c>
      <c r="T11" s="50">
        <v>25</v>
      </c>
      <c r="U11" s="50">
        <v>25</v>
      </c>
      <c r="V11" s="50">
        <v>25</v>
      </c>
      <c r="W11" s="50">
        <v>25</v>
      </c>
      <c r="X11" s="50">
        <v>25</v>
      </c>
      <c r="Y11" s="50">
        <v>25</v>
      </c>
      <c r="Z11" s="50">
        <v>25</v>
      </c>
      <c r="AA11" s="50">
        <v>25</v>
      </c>
      <c r="AB11" s="50">
        <v>25</v>
      </c>
      <c r="AC11" s="50">
        <v>25</v>
      </c>
      <c r="AD11" s="50">
        <v>25</v>
      </c>
      <c r="AE11" s="50">
        <v>25</v>
      </c>
      <c r="AF11" s="50">
        <v>25</v>
      </c>
      <c r="AG11" s="51">
        <v>86</v>
      </c>
      <c r="AH11" s="52">
        <f t="shared" ref="AH11:AH74" si="2">MAX(B11:AF11)</f>
        <v>28</v>
      </c>
      <c r="AI11" s="53">
        <f t="shared" ref="AI11:AI74" si="3">MIN(B11:AF11)</f>
        <v>25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14.6</v>
      </c>
      <c r="C12" s="50">
        <v>14.6</v>
      </c>
      <c r="D12" s="50">
        <v>14.6</v>
      </c>
      <c r="E12" s="50">
        <v>14.6</v>
      </c>
      <c r="F12" s="50">
        <v>14.6</v>
      </c>
      <c r="G12" s="50">
        <v>14.6</v>
      </c>
      <c r="H12" s="50">
        <v>14.6</v>
      </c>
      <c r="I12" s="50">
        <v>14.6</v>
      </c>
      <c r="J12" s="50">
        <v>13.5</v>
      </c>
      <c r="K12" s="50">
        <v>13.5</v>
      </c>
      <c r="L12" s="50">
        <v>17.600000000000001</v>
      </c>
      <c r="M12" s="50">
        <v>17.600000000000001</v>
      </c>
      <c r="N12" s="50">
        <v>17.600000000000001</v>
      </c>
      <c r="O12" s="50">
        <v>17.600000000000001</v>
      </c>
      <c r="P12" s="50">
        <v>17.600000000000001</v>
      </c>
      <c r="Q12" s="50">
        <v>17.600000000000001</v>
      </c>
      <c r="R12" s="50">
        <v>17.600000000000001</v>
      </c>
      <c r="S12" s="50">
        <v>14.3</v>
      </c>
      <c r="T12" s="50">
        <v>14.3</v>
      </c>
      <c r="U12" s="50">
        <v>14.3</v>
      </c>
      <c r="V12" s="50">
        <v>14.3</v>
      </c>
      <c r="W12" s="50">
        <v>14.3</v>
      </c>
      <c r="X12" s="50">
        <v>14.3</v>
      </c>
      <c r="Y12" s="50">
        <v>14.3</v>
      </c>
      <c r="Z12" s="50">
        <v>14.3</v>
      </c>
      <c r="AA12" s="50">
        <v>14.3</v>
      </c>
      <c r="AB12" s="50">
        <v>14.3</v>
      </c>
      <c r="AC12" s="50">
        <v>14.3</v>
      </c>
      <c r="AD12" s="50">
        <v>14.3</v>
      </c>
      <c r="AE12" s="50">
        <v>14.3</v>
      </c>
      <c r="AF12" s="50">
        <v>14.3</v>
      </c>
      <c r="AG12" s="51">
        <v>52.4</v>
      </c>
      <c r="AH12" s="52">
        <f t="shared" si="2"/>
        <v>17.600000000000001</v>
      </c>
      <c r="AI12" s="53">
        <f t="shared" si="3"/>
        <v>13.5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14.8</v>
      </c>
      <c r="C14" s="50">
        <v>14.8</v>
      </c>
      <c r="D14" s="50">
        <v>14.8</v>
      </c>
      <c r="E14" s="50">
        <v>14.8</v>
      </c>
      <c r="F14" s="50">
        <v>14.8</v>
      </c>
      <c r="G14" s="50">
        <v>14.8</v>
      </c>
      <c r="H14" s="50">
        <v>16.100000000000001</v>
      </c>
      <c r="I14" s="50">
        <v>16.100000000000001</v>
      </c>
      <c r="J14" s="50">
        <v>16.100000000000001</v>
      </c>
      <c r="K14" s="50">
        <v>16.100000000000001</v>
      </c>
      <c r="L14" s="50">
        <v>14.8</v>
      </c>
      <c r="M14" s="50">
        <v>14.8</v>
      </c>
      <c r="N14" s="50">
        <v>14.8</v>
      </c>
      <c r="O14" s="50">
        <v>14.8</v>
      </c>
      <c r="P14" s="50">
        <v>14.8</v>
      </c>
      <c r="Q14" s="50">
        <v>14.8</v>
      </c>
      <c r="R14" s="50">
        <v>14.8</v>
      </c>
      <c r="S14" s="50">
        <v>14.8</v>
      </c>
      <c r="T14" s="50">
        <v>14.8</v>
      </c>
      <c r="U14" s="50">
        <v>14.8</v>
      </c>
      <c r="V14" s="50">
        <v>14.8</v>
      </c>
      <c r="W14" s="50">
        <v>16.100000000000001</v>
      </c>
      <c r="X14" s="50">
        <v>16.899999999999999</v>
      </c>
      <c r="Y14" s="50">
        <v>16.2</v>
      </c>
      <c r="Z14" s="50"/>
      <c r="AA14" s="50">
        <v>16.2</v>
      </c>
      <c r="AB14" s="50">
        <v>16.2</v>
      </c>
      <c r="AC14" s="50">
        <v>16.2</v>
      </c>
      <c r="AD14" s="50">
        <v>16.2</v>
      </c>
      <c r="AE14" s="50">
        <v>16.2</v>
      </c>
      <c r="AF14" s="50">
        <v>16.2</v>
      </c>
      <c r="AG14" s="55">
        <v>45</v>
      </c>
      <c r="AH14" s="52">
        <f t="shared" si="2"/>
        <v>16.899999999999999</v>
      </c>
      <c r="AI14" s="53">
        <f t="shared" si="3"/>
        <v>14.8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9.5</v>
      </c>
      <c r="C15" s="50">
        <v>9.5</v>
      </c>
      <c r="D15" s="50">
        <v>9.5</v>
      </c>
      <c r="E15" s="50">
        <v>9.5</v>
      </c>
      <c r="F15" s="50">
        <v>9.5</v>
      </c>
      <c r="G15" s="50">
        <v>9.5</v>
      </c>
      <c r="H15" s="50">
        <v>9.5</v>
      </c>
      <c r="I15" s="50">
        <v>9.5</v>
      </c>
      <c r="J15" s="50">
        <v>9.5</v>
      </c>
      <c r="K15" s="50">
        <v>9.5</v>
      </c>
      <c r="L15" s="50">
        <v>9.5</v>
      </c>
      <c r="M15" s="50">
        <v>9.5</v>
      </c>
      <c r="N15" s="50">
        <v>9.5</v>
      </c>
      <c r="O15" s="50">
        <v>9.5</v>
      </c>
      <c r="P15" s="50">
        <v>9.5</v>
      </c>
      <c r="Q15" s="50">
        <v>9.5</v>
      </c>
      <c r="R15" s="50">
        <v>9.5</v>
      </c>
      <c r="S15" s="50">
        <v>9.5</v>
      </c>
      <c r="T15" s="50">
        <v>9.5</v>
      </c>
      <c r="U15" s="50">
        <v>9.5</v>
      </c>
      <c r="V15" s="50">
        <v>9.5</v>
      </c>
      <c r="W15" s="50">
        <v>9</v>
      </c>
      <c r="X15" s="50">
        <v>9</v>
      </c>
      <c r="Y15" s="50">
        <v>9</v>
      </c>
      <c r="Z15" s="50"/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9.5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/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8.3000000000000007</v>
      </c>
      <c r="C18" s="50">
        <v>8.3000000000000007</v>
      </c>
      <c r="D18" s="50">
        <v>8.3000000000000007</v>
      </c>
      <c r="E18" s="50">
        <v>8.3000000000000007</v>
      </c>
      <c r="F18" s="50">
        <v>8.3000000000000007</v>
      </c>
      <c r="G18" s="50">
        <v>8.3000000000000007</v>
      </c>
      <c r="H18" s="50">
        <v>8.3000000000000007</v>
      </c>
      <c r="I18" s="50">
        <v>8.3000000000000007</v>
      </c>
      <c r="J18" s="50">
        <v>8.3000000000000007</v>
      </c>
      <c r="K18" s="50">
        <v>8.3000000000000007</v>
      </c>
      <c r="L18" s="50">
        <v>8.3000000000000007</v>
      </c>
      <c r="M18" s="50">
        <v>8.3000000000000007</v>
      </c>
      <c r="N18" s="50">
        <v>8.3000000000000007</v>
      </c>
      <c r="O18" s="50">
        <v>8.3000000000000007</v>
      </c>
      <c r="P18" s="50">
        <v>8.3000000000000007</v>
      </c>
      <c r="Q18" s="50">
        <v>8.3000000000000007</v>
      </c>
      <c r="R18" s="50">
        <v>8.3000000000000007</v>
      </c>
      <c r="S18" s="50">
        <v>8.3000000000000007</v>
      </c>
      <c r="T18" s="50">
        <v>8.3000000000000007</v>
      </c>
      <c r="U18" s="50">
        <v>8.3000000000000007</v>
      </c>
      <c r="V18" s="50">
        <v>8.3000000000000007</v>
      </c>
      <c r="W18" s="50">
        <v>8.3000000000000007</v>
      </c>
      <c r="X18" s="50">
        <v>8.3000000000000007</v>
      </c>
      <c r="Y18" s="50">
        <v>8.3000000000000007</v>
      </c>
      <c r="Z18" s="50"/>
      <c r="AA18" s="50">
        <v>8.3000000000000007</v>
      </c>
      <c r="AB18" s="50">
        <v>8.3000000000000007</v>
      </c>
      <c r="AC18" s="50">
        <v>8.3000000000000007</v>
      </c>
      <c r="AD18" s="50">
        <v>8.3000000000000007</v>
      </c>
      <c r="AE18" s="50">
        <v>8.3000000000000007</v>
      </c>
      <c r="AF18" s="50">
        <v>8.3000000000000007</v>
      </c>
      <c r="AG18" s="56">
        <v>30</v>
      </c>
      <c r="AH18" s="52">
        <f t="shared" si="2"/>
        <v>8.3000000000000007</v>
      </c>
      <c r="AI18" s="53">
        <f t="shared" si="3"/>
        <v>8.3000000000000007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15</v>
      </c>
      <c r="C19" s="50">
        <v>15</v>
      </c>
      <c r="D19" s="50">
        <v>7.5</v>
      </c>
      <c r="E19" s="50">
        <v>7.5</v>
      </c>
      <c r="F19" s="50">
        <v>7.5</v>
      </c>
      <c r="G19" s="50">
        <v>7.5</v>
      </c>
      <c r="H19" s="50">
        <v>7.5</v>
      </c>
      <c r="I19" s="50">
        <v>7.5</v>
      </c>
      <c r="J19" s="50">
        <v>6.7</v>
      </c>
      <c r="K19" s="50">
        <v>6.7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/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15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12</v>
      </c>
      <c r="N20" s="50">
        <v>12</v>
      </c>
      <c r="O20" s="50">
        <v>12</v>
      </c>
      <c r="P20" s="50">
        <v>12</v>
      </c>
      <c r="Q20" s="50">
        <v>12</v>
      </c>
      <c r="R20" s="50">
        <v>12</v>
      </c>
      <c r="S20" s="50">
        <v>12</v>
      </c>
      <c r="T20" s="50">
        <v>12</v>
      </c>
      <c r="U20" s="50">
        <v>12</v>
      </c>
      <c r="V20" s="50">
        <v>12</v>
      </c>
      <c r="W20" s="50">
        <v>12</v>
      </c>
      <c r="X20" s="50">
        <v>12</v>
      </c>
      <c r="Y20" s="50">
        <v>12</v>
      </c>
      <c r="Z20" s="50"/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12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/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12.4</v>
      </c>
      <c r="C22" s="50">
        <v>12.4</v>
      </c>
      <c r="D22" s="50">
        <v>12.4</v>
      </c>
      <c r="E22" s="50">
        <v>12.4</v>
      </c>
      <c r="F22" s="50">
        <v>12.4</v>
      </c>
      <c r="G22" s="50">
        <v>12.4</v>
      </c>
      <c r="H22" s="50">
        <v>7.2</v>
      </c>
      <c r="I22" s="50">
        <v>7.2</v>
      </c>
      <c r="J22" s="50">
        <v>9.1999999999999993</v>
      </c>
      <c r="K22" s="50">
        <v>9.1999999999999993</v>
      </c>
      <c r="L22" s="50">
        <v>9.1999999999999993</v>
      </c>
      <c r="M22" s="50">
        <v>9.1999999999999993</v>
      </c>
      <c r="N22" s="50">
        <v>9.1999999999999993</v>
      </c>
      <c r="O22" s="50">
        <v>9.1999999999999993</v>
      </c>
      <c r="P22" s="50">
        <v>9.1999999999999993</v>
      </c>
      <c r="Q22" s="50">
        <v>9.1999999999999993</v>
      </c>
      <c r="R22" s="50">
        <v>9.1999999999999993</v>
      </c>
      <c r="S22" s="50">
        <v>9.1999999999999993</v>
      </c>
      <c r="T22" s="50">
        <v>9.1999999999999993</v>
      </c>
      <c r="U22" s="50">
        <v>9.1999999999999993</v>
      </c>
      <c r="V22" s="50">
        <v>9.1999999999999993</v>
      </c>
      <c r="W22" s="50">
        <v>9.1999999999999993</v>
      </c>
      <c r="X22" s="50">
        <v>9.1999999999999993</v>
      </c>
      <c r="Y22" s="50">
        <v>9.1999999999999993</v>
      </c>
      <c r="Z22" s="50"/>
      <c r="AA22" s="50">
        <v>9.1999999999999993</v>
      </c>
      <c r="AB22" s="50">
        <v>9.1999999999999993</v>
      </c>
      <c r="AC22" s="50">
        <v>9.1999999999999993</v>
      </c>
      <c r="AD22" s="50">
        <v>9.1999999999999993</v>
      </c>
      <c r="AE22" s="50">
        <v>9.1999999999999993</v>
      </c>
      <c r="AF22" s="50">
        <v>9.1999999999999993</v>
      </c>
      <c r="AG22" s="55">
        <v>25</v>
      </c>
      <c r="AH22" s="52">
        <f t="shared" si="2"/>
        <v>12.4</v>
      </c>
      <c r="AI22" s="53">
        <f t="shared" si="3"/>
        <v>7.2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/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/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/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8.1999999999999993</v>
      </c>
      <c r="C26" s="50">
        <v>8.1999999999999993</v>
      </c>
      <c r="D26" s="50">
        <v>8.1999999999999993</v>
      </c>
      <c r="E26" s="50">
        <v>8.1999999999999993</v>
      </c>
      <c r="F26" s="50">
        <v>8.1999999999999993</v>
      </c>
      <c r="G26" s="50">
        <v>8.1999999999999993</v>
      </c>
      <c r="H26" s="50">
        <v>8.1999999999999993</v>
      </c>
      <c r="I26" s="50">
        <v>8.1999999999999993</v>
      </c>
      <c r="J26" s="50">
        <v>8.1999999999999993</v>
      </c>
      <c r="K26" s="50">
        <v>8.1999999999999993</v>
      </c>
      <c r="L26" s="50">
        <v>8.1999999999999993</v>
      </c>
      <c r="M26" s="50">
        <v>8.1999999999999993</v>
      </c>
      <c r="N26" s="50">
        <v>8.1999999999999993</v>
      </c>
      <c r="O26" s="50">
        <v>8.1999999999999993</v>
      </c>
      <c r="P26" s="50">
        <v>8.1999999999999993</v>
      </c>
      <c r="Q26" s="50">
        <v>8.1999999999999993</v>
      </c>
      <c r="R26" s="50">
        <v>8.1999999999999993</v>
      </c>
      <c r="S26" s="50">
        <v>8.1999999999999993</v>
      </c>
      <c r="T26" s="50">
        <v>8.1999999999999993</v>
      </c>
      <c r="U26" s="50">
        <v>8.1999999999999993</v>
      </c>
      <c r="V26" s="50">
        <v>8.1999999999999993</v>
      </c>
      <c r="W26" s="50">
        <v>8.1999999999999993</v>
      </c>
      <c r="X26" s="50">
        <v>8.1999999999999993</v>
      </c>
      <c r="Y26" s="50">
        <v>8.1999999999999993</v>
      </c>
      <c r="Z26" s="50"/>
      <c r="AA26" s="50">
        <v>8.1999999999999993</v>
      </c>
      <c r="AB26" s="50">
        <v>8.1999999999999993</v>
      </c>
      <c r="AC26" s="50">
        <v>8.1999999999999993</v>
      </c>
      <c r="AD26" s="50">
        <v>8.1999999999999993</v>
      </c>
      <c r="AE26" s="50">
        <v>8.1999999999999993</v>
      </c>
      <c r="AF26" s="50">
        <v>8.1999999999999993</v>
      </c>
      <c r="AG26" s="55">
        <v>23.5</v>
      </c>
      <c r="AH26" s="52">
        <f t="shared" si="2"/>
        <v>8.1999999999999993</v>
      </c>
      <c r="AI26" s="53">
        <f t="shared" si="3"/>
        <v>8.1999999999999993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7</v>
      </c>
      <c r="C27" s="50">
        <v>7</v>
      </c>
      <c r="D27" s="50">
        <v>7</v>
      </c>
      <c r="E27" s="50">
        <v>7</v>
      </c>
      <c r="F27" s="50">
        <v>7</v>
      </c>
      <c r="G27" s="50">
        <v>7</v>
      </c>
      <c r="H27" s="50">
        <v>7</v>
      </c>
      <c r="I27" s="50">
        <v>7</v>
      </c>
      <c r="J27" s="50">
        <v>7</v>
      </c>
      <c r="K27" s="50">
        <v>7</v>
      </c>
      <c r="L27" s="50">
        <v>7</v>
      </c>
      <c r="M27" s="50">
        <v>7</v>
      </c>
      <c r="N27" s="50">
        <v>7</v>
      </c>
      <c r="O27" s="50">
        <v>7</v>
      </c>
      <c r="P27" s="50">
        <v>7</v>
      </c>
      <c r="Q27" s="50">
        <v>7</v>
      </c>
      <c r="R27" s="50">
        <v>7</v>
      </c>
      <c r="S27" s="50">
        <v>3.5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/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5">
        <v>22.2</v>
      </c>
      <c r="AH27" s="52">
        <f t="shared" si="2"/>
        <v>7</v>
      </c>
      <c r="AI27" s="53">
        <f t="shared" si="3"/>
        <v>0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/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/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11.5</v>
      </c>
      <c r="C30" s="50">
        <v>11.5</v>
      </c>
      <c r="D30" s="50">
        <v>11.5</v>
      </c>
      <c r="E30" s="50">
        <v>11.5</v>
      </c>
      <c r="F30" s="50">
        <v>11.5</v>
      </c>
      <c r="G30" s="50">
        <v>11.5</v>
      </c>
      <c r="H30" s="50">
        <v>11.5</v>
      </c>
      <c r="I30" s="50">
        <v>11.5</v>
      </c>
      <c r="J30" s="50">
        <v>11.5</v>
      </c>
      <c r="K30" s="50">
        <v>11.5</v>
      </c>
      <c r="L30" s="50">
        <v>11.5</v>
      </c>
      <c r="M30" s="50">
        <v>11.5</v>
      </c>
      <c r="N30" s="50">
        <v>11.5</v>
      </c>
      <c r="O30" s="50">
        <v>11.5</v>
      </c>
      <c r="P30" s="50">
        <v>11.5</v>
      </c>
      <c r="Q30" s="50">
        <v>11.5</v>
      </c>
      <c r="R30" s="50">
        <v>11.5</v>
      </c>
      <c r="S30" s="50">
        <v>11.5</v>
      </c>
      <c r="T30" s="50">
        <v>11.5</v>
      </c>
      <c r="U30" s="50">
        <v>11.5</v>
      </c>
      <c r="V30" s="50">
        <v>11.5</v>
      </c>
      <c r="W30" s="50">
        <v>11.5</v>
      </c>
      <c r="X30" s="50">
        <v>11.5</v>
      </c>
      <c r="Y30" s="50">
        <v>11.5</v>
      </c>
      <c r="Z30" s="50"/>
      <c r="AA30" s="50">
        <v>11.5</v>
      </c>
      <c r="AB30" s="50">
        <v>11.5</v>
      </c>
      <c r="AC30" s="50">
        <v>11.5</v>
      </c>
      <c r="AD30" s="50">
        <v>11.5</v>
      </c>
      <c r="AE30" s="50">
        <v>11.5</v>
      </c>
      <c r="AF30" s="50">
        <v>11.5</v>
      </c>
      <c r="AG30" s="55">
        <v>22</v>
      </c>
      <c r="AH30" s="52">
        <f t="shared" si="2"/>
        <v>11.5</v>
      </c>
      <c r="AI30" s="53">
        <f t="shared" si="3"/>
        <v>11.5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/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/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/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/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/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/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/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12</v>
      </c>
      <c r="C38" s="50">
        <v>12</v>
      </c>
      <c r="D38" s="50">
        <v>12</v>
      </c>
      <c r="E38" s="50">
        <v>12</v>
      </c>
      <c r="F38" s="50">
        <v>12</v>
      </c>
      <c r="G38" s="50">
        <v>12</v>
      </c>
      <c r="H38" s="50">
        <v>12</v>
      </c>
      <c r="I38" s="50">
        <v>12</v>
      </c>
      <c r="J38" s="50">
        <v>12</v>
      </c>
      <c r="K38" s="50">
        <v>12</v>
      </c>
      <c r="L38" s="50">
        <v>12</v>
      </c>
      <c r="M38" s="50">
        <v>12</v>
      </c>
      <c r="N38" s="50">
        <v>12</v>
      </c>
      <c r="O38" s="50">
        <v>12</v>
      </c>
      <c r="P38" s="50">
        <v>12</v>
      </c>
      <c r="Q38" s="50">
        <v>12</v>
      </c>
      <c r="R38" s="50">
        <v>12</v>
      </c>
      <c r="S38" s="50">
        <v>12</v>
      </c>
      <c r="T38" s="50">
        <v>12</v>
      </c>
      <c r="U38" s="50">
        <v>12</v>
      </c>
      <c r="V38" s="50">
        <v>12</v>
      </c>
      <c r="W38" s="50">
        <v>12</v>
      </c>
      <c r="X38" s="50">
        <v>12</v>
      </c>
      <c r="Y38" s="50">
        <v>12</v>
      </c>
      <c r="Z38" s="50"/>
      <c r="AA38" s="50">
        <v>12</v>
      </c>
      <c r="AB38" s="50">
        <v>12</v>
      </c>
      <c r="AC38" s="50">
        <v>12</v>
      </c>
      <c r="AD38" s="50">
        <v>12</v>
      </c>
      <c r="AE38" s="50">
        <v>12</v>
      </c>
      <c r="AF38" s="50">
        <v>12</v>
      </c>
      <c r="AG38" s="55">
        <v>12</v>
      </c>
      <c r="AH38" s="52">
        <f t="shared" si="2"/>
        <v>12</v>
      </c>
      <c r="AI38" s="53">
        <f t="shared" si="3"/>
        <v>12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/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/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4.9000000000000004</v>
      </c>
      <c r="C41" s="50">
        <v>4.9000000000000004</v>
      </c>
      <c r="D41" s="50">
        <v>4.9000000000000004</v>
      </c>
      <c r="E41" s="50">
        <v>4.9000000000000004</v>
      </c>
      <c r="F41" s="50">
        <v>4.9000000000000004</v>
      </c>
      <c r="G41" s="50">
        <v>4.9000000000000004</v>
      </c>
      <c r="H41" s="50">
        <v>4.9000000000000004</v>
      </c>
      <c r="I41" s="50">
        <v>4.9000000000000004</v>
      </c>
      <c r="J41" s="50">
        <v>4.9000000000000004</v>
      </c>
      <c r="K41" s="50">
        <v>4.9000000000000004</v>
      </c>
      <c r="L41" s="50">
        <v>4.9000000000000004</v>
      </c>
      <c r="M41" s="50">
        <v>4.9000000000000004</v>
      </c>
      <c r="N41" s="50">
        <v>4.9000000000000004</v>
      </c>
      <c r="O41" s="50">
        <v>4.9000000000000004</v>
      </c>
      <c r="P41" s="50">
        <v>4.9000000000000004</v>
      </c>
      <c r="Q41" s="50">
        <v>4.9000000000000004</v>
      </c>
      <c r="R41" s="50">
        <v>4.9000000000000004</v>
      </c>
      <c r="S41" s="50">
        <v>4.9000000000000004</v>
      </c>
      <c r="T41" s="50">
        <v>4.9000000000000004</v>
      </c>
      <c r="U41" s="50">
        <v>4.9000000000000004</v>
      </c>
      <c r="V41" s="50">
        <v>4.9000000000000004</v>
      </c>
      <c r="W41" s="50">
        <v>4.9000000000000004</v>
      </c>
      <c r="X41" s="50">
        <v>4.9000000000000004</v>
      </c>
      <c r="Y41" s="50">
        <v>4.9000000000000004</v>
      </c>
      <c r="Z41" s="50"/>
      <c r="AA41" s="50">
        <v>4.9000000000000004</v>
      </c>
      <c r="AB41" s="50">
        <v>4.9000000000000004</v>
      </c>
      <c r="AC41" s="50">
        <v>4.9000000000000004</v>
      </c>
      <c r="AD41" s="50">
        <v>4.9000000000000004</v>
      </c>
      <c r="AE41" s="50">
        <v>4.9000000000000004</v>
      </c>
      <c r="AF41" s="50">
        <v>4.9000000000000004</v>
      </c>
      <c r="AG41" s="56">
        <v>11.88</v>
      </c>
      <c r="AH41" s="52">
        <f t="shared" si="2"/>
        <v>4.9000000000000004</v>
      </c>
      <c r="AI41" s="53">
        <f t="shared" si="3"/>
        <v>4.9000000000000004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/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/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/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/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353.5</v>
      </c>
      <c r="C48" s="67">
        <f t="shared" si="4"/>
        <v>353.5</v>
      </c>
      <c r="D48" s="67">
        <f t="shared" si="4"/>
        <v>346</v>
      </c>
      <c r="E48" s="67">
        <f t="shared" si="4"/>
        <v>346</v>
      </c>
      <c r="F48" s="67">
        <f t="shared" si="4"/>
        <v>346</v>
      </c>
      <c r="G48" s="67">
        <f t="shared" si="4"/>
        <v>346</v>
      </c>
      <c r="H48" s="67">
        <f t="shared" si="4"/>
        <v>342.1</v>
      </c>
      <c r="I48" s="67">
        <f t="shared" si="4"/>
        <v>342.1</v>
      </c>
      <c r="J48" s="67">
        <f t="shared" si="4"/>
        <v>342.20000000000005</v>
      </c>
      <c r="K48" s="67">
        <f t="shared" si="4"/>
        <v>342.20000000000005</v>
      </c>
      <c r="L48" s="67">
        <f t="shared" si="4"/>
        <v>344.9</v>
      </c>
      <c r="M48" s="67">
        <f t="shared" si="4"/>
        <v>344.9</v>
      </c>
      <c r="N48" s="67">
        <f t="shared" si="4"/>
        <v>344.9</v>
      </c>
      <c r="O48" s="67">
        <f t="shared" si="4"/>
        <v>344.9</v>
      </c>
      <c r="P48" s="67">
        <f t="shared" si="4"/>
        <v>344.9</v>
      </c>
      <c r="Q48" s="67">
        <f t="shared" si="4"/>
        <v>344.9</v>
      </c>
      <c r="R48" s="67">
        <f t="shared" si="4"/>
        <v>344.9</v>
      </c>
      <c r="S48" s="67">
        <f t="shared" si="4"/>
        <v>338.1</v>
      </c>
      <c r="T48" s="67">
        <f t="shared" si="4"/>
        <v>334.6</v>
      </c>
      <c r="U48" s="67">
        <f t="shared" si="4"/>
        <v>334.6</v>
      </c>
      <c r="V48" s="67">
        <f t="shared" si="4"/>
        <v>334.6</v>
      </c>
      <c r="W48" s="67">
        <f t="shared" si="4"/>
        <v>335.4</v>
      </c>
      <c r="X48" s="67">
        <f t="shared" si="4"/>
        <v>336.2</v>
      </c>
      <c r="Y48" s="67">
        <f t="shared" si="4"/>
        <v>335.5</v>
      </c>
      <c r="Z48" s="67">
        <f t="shared" si="4"/>
        <v>124.3</v>
      </c>
      <c r="AA48" s="67">
        <f t="shared" si="4"/>
        <v>335.5</v>
      </c>
      <c r="AB48" s="67">
        <f t="shared" si="4"/>
        <v>335.5</v>
      </c>
      <c r="AC48" s="67">
        <f t="shared" si="4"/>
        <v>335.5</v>
      </c>
      <c r="AD48" s="67">
        <f t="shared" si="4"/>
        <v>335.5</v>
      </c>
      <c r="AE48" s="67">
        <f t="shared" si="4"/>
        <v>335.5</v>
      </c>
      <c r="AF48" s="67">
        <f t="shared" si="4"/>
        <v>335.5</v>
      </c>
      <c r="AG48" s="68">
        <f t="shared" si="4"/>
        <v>875.68</v>
      </c>
      <c r="AH48" s="52">
        <f t="shared" si="2"/>
        <v>353.5</v>
      </c>
      <c r="AI48" s="53">
        <f t="shared" si="3"/>
        <v>124.3</v>
      </c>
      <c r="AK48" s="54"/>
    </row>
    <row r="49" spans="1:41" x14ac:dyDescent="0.25">
      <c r="A49" s="69" t="s">
        <v>53</v>
      </c>
      <c r="B49" s="50">
        <v>110</v>
      </c>
      <c r="C49" s="50">
        <v>50</v>
      </c>
      <c r="D49" s="50">
        <v>60</v>
      </c>
      <c r="E49" s="50">
        <v>75</v>
      </c>
      <c r="F49" s="50">
        <v>75</v>
      </c>
      <c r="G49" s="50">
        <v>35</v>
      </c>
      <c r="H49" s="50">
        <v>55</v>
      </c>
      <c r="I49" s="50">
        <v>75</v>
      </c>
      <c r="J49" s="50">
        <v>180</v>
      </c>
      <c r="K49" s="50">
        <v>150</v>
      </c>
      <c r="L49" s="50">
        <v>150</v>
      </c>
      <c r="M49" s="50">
        <v>100</v>
      </c>
      <c r="N49" s="70">
        <v>65</v>
      </c>
      <c r="O49" s="70">
        <v>65</v>
      </c>
      <c r="P49" s="50">
        <v>45</v>
      </c>
      <c r="Q49" s="50">
        <v>60</v>
      </c>
      <c r="R49" s="50">
        <v>76</v>
      </c>
      <c r="S49" s="50">
        <v>60</v>
      </c>
      <c r="T49" s="50">
        <v>60</v>
      </c>
      <c r="U49" s="50">
        <v>60</v>
      </c>
      <c r="V49" s="50">
        <v>60</v>
      </c>
      <c r="W49" s="50">
        <v>70</v>
      </c>
      <c r="X49" s="50">
        <v>30</v>
      </c>
      <c r="Y49" s="50">
        <v>60</v>
      </c>
      <c r="Z49" s="50"/>
      <c r="AA49" s="50">
        <v>100</v>
      </c>
      <c r="AB49" s="50">
        <v>50</v>
      </c>
      <c r="AC49" s="50">
        <v>100</v>
      </c>
      <c r="AD49" s="50">
        <v>110</v>
      </c>
      <c r="AE49" s="50">
        <v>80</v>
      </c>
      <c r="AF49" s="50">
        <v>60</v>
      </c>
      <c r="AG49" s="56">
        <v>456</v>
      </c>
      <c r="AH49" s="52">
        <f t="shared" si="2"/>
        <v>180</v>
      </c>
      <c r="AI49" s="53">
        <f t="shared" si="3"/>
        <v>30</v>
      </c>
      <c r="AK49" s="54"/>
    </row>
    <row r="50" spans="1:41" x14ac:dyDescent="0.25">
      <c r="A50" s="71" t="s">
        <v>54</v>
      </c>
      <c r="B50" s="72">
        <v>27</v>
      </c>
      <c r="C50" s="72">
        <v>27</v>
      </c>
      <c r="D50" s="72">
        <v>27</v>
      </c>
      <c r="E50" s="72">
        <v>27</v>
      </c>
      <c r="F50" s="72">
        <v>27</v>
      </c>
      <c r="G50" s="72">
        <v>27</v>
      </c>
      <c r="H50" s="72">
        <v>27</v>
      </c>
      <c r="I50" s="72">
        <v>27</v>
      </c>
      <c r="J50" s="72">
        <v>27</v>
      </c>
      <c r="K50" s="72">
        <v>27</v>
      </c>
      <c r="L50" s="72">
        <v>27</v>
      </c>
      <c r="M50" s="72">
        <v>27</v>
      </c>
      <c r="N50" s="72">
        <v>27</v>
      </c>
      <c r="O50" s="72">
        <v>27</v>
      </c>
      <c r="P50" s="72">
        <v>27</v>
      </c>
      <c r="Q50" s="72">
        <v>27</v>
      </c>
      <c r="R50" s="72">
        <v>27</v>
      </c>
      <c r="S50" s="72">
        <v>27</v>
      </c>
      <c r="T50" s="72">
        <v>27</v>
      </c>
      <c r="U50" s="72">
        <v>27</v>
      </c>
      <c r="V50" s="72">
        <v>27</v>
      </c>
      <c r="W50" s="72">
        <v>27.2</v>
      </c>
      <c r="X50" s="72">
        <v>27.2</v>
      </c>
      <c r="Y50" s="72">
        <v>27.2</v>
      </c>
      <c r="Z50" s="72"/>
      <c r="AA50" s="72">
        <v>27.2</v>
      </c>
      <c r="AB50" s="72">
        <v>27.2</v>
      </c>
      <c r="AC50" s="72">
        <v>27.2</v>
      </c>
      <c r="AD50" s="72">
        <v>27.2</v>
      </c>
      <c r="AE50" s="72">
        <v>27.2</v>
      </c>
      <c r="AF50" s="72">
        <v>27.2</v>
      </c>
      <c r="AG50" s="61">
        <v>60</v>
      </c>
      <c r="AH50" s="52">
        <f t="shared" si="2"/>
        <v>27.2</v>
      </c>
      <c r="AI50" s="53">
        <f t="shared" si="3"/>
        <v>27</v>
      </c>
      <c r="AK50" s="54"/>
    </row>
    <row r="51" spans="1:41" ht="15.75" thickBot="1" x14ac:dyDescent="0.3">
      <c r="A51" s="73" t="s">
        <v>55</v>
      </c>
      <c r="B51" s="74">
        <v>10.1</v>
      </c>
      <c r="C51" s="74">
        <v>10.1</v>
      </c>
      <c r="D51" s="74">
        <v>10.1</v>
      </c>
      <c r="E51" s="74">
        <v>10.1</v>
      </c>
      <c r="F51" s="74">
        <v>8</v>
      </c>
      <c r="G51" s="74">
        <v>8.8000000000000007</v>
      </c>
      <c r="H51" s="74">
        <v>8.8000000000000007</v>
      </c>
      <c r="I51" s="74">
        <v>8.8000000000000007</v>
      </c>
      <c r="J51" s="74">
        <v>8.6999999999999993</v>
      </c>
      <c r="K51" s="74">
        <v>8.8000000000000007</v>
      </c>
      <c r="L51" s="74">
        <v>8.6999999999999993</v>
      </c>
      <c r="M51" s="74">
        <v>8.6999999999999993</v>
      </c>
      <c r="N51" s="74">
        <v>8.8000000000000007</v>
      </c>
      <c r="O51" s="74">
        <v>8.8000000000000007</v>
      </c>
      <c r="P51" s="74">
        <v>8.6999999999999993</v>
      </c>
      <c r="Q51" s="74">
        <v>8.8000000000000007</v>
      </c>
      <c r="R51" s="74">
        <v>8.6999999999999993</v>
      </c>
      <c r="S51" s="74">
        <v>8.8000000000000007</v>
      </c>
      <c r="T51" s="74">
        <v>8.8000000000000007</v>
      </c>
      <c r="U51" s="74">
        <v>8.8000000000000007</v>
      </c>
      <c r="V51" s="74">
        <v>8.8000000000000007</v>
      </c>
      <c r="W51" s="74">
        <v>8.8000000000000007</v>
      </c>
      <c r="X51" s="74">
        <v>8.8000000000000007</v>
      </c>
      <c r="Y51" s="74">
        <v>8.8000000000000007</v>
      </c>
      <c r="Z51" s="74"/>
      <c r="AA51" s="74">
        <v>8.8000000000000007</v>
      </c>
      <c r="AB51" s="74">
        <v>8.8000000000000007</v>
      </c>
      <c r="AC51" s="74">
        <v>8.8000000000000007</v>
      </c>
      <c r="AD51" s="74">
        <v>8.8000000000000007</v>
      </c>
      <c r="AE51" s="74">
        <v>8.8000000000000007</v>
      </c>
      <c r="AF51" s="74">
        <v>8.8000000000000007</v>
      </c>
      <c r="AG51" s="75">
        <v>22.1</v>
      </c>
      <c r="AH51" s="52">
        <f t="shared" si="2"/>
        <v>10.1</v>
      </c>
      <c r="AI51" s="53">
        <f t="shared" si="3"/>
        <v>8</v>
      </c>
      <c r="AK51" s="54"/>
    </row>
    <row r="52" spans="1:41" ht="15.75" thickBot="1" x14ac:dyDescent="0.3">
      <c r="A52" s="76" t="s">
        <v>56</v>
      </c>
      <c r="B52" s="67">
        <f t="shared" ref="B52:AG52" si="5">SUM(B49:B51)</f>
        <v>147.1</v>
      </c>
      <c r="C52" s="67">
        <f t="shared" si="5"/>
        <v>87.1</v>
      </c>
      <c r="D52" s="67">
        <f t="shared" si="5"/>
        <v>97.1</v>
      </c>
      <c r="E52" s="67">
        <f t="shared" si="5"/>
        <v>112.1</v>
      </c>
      <c r="F52" s="67">
        <f t="shared" si="5"/>
        <v>110</v>
      </c>
      <c r="G52" s="67">
        <f t="shared" si="5"/>
        <v>70.8</v>
      </c>
      <c r="H52" s="67">
        <f t="shared" si="5"/>
        <v>90.8</v>
      </c>
      <c r="I52" s="67">
        <f t="shared" si="5"/>
        <v>110.8</v>
      </c>
      <c r="J52" s="67">
        <f t="shared" si="5"/>
        <v>215.7</v>
      </c>
      <c r="K52" s="67">
        <f t="shared" si="5"/>
        <v>185.8</v>
      </c>
      <c r="L52" s="67">
        <f t="shared" si="5"/>
        <v>185.7</v>
      </c>
      <c r="M52" s="67">
        <f t="shared" si="5"/>
        <v>135.69999999999999</v>
      </c>
      <c r="N52" s="67">
        <f t="shared" si="5"/>
        <v>100.8</v>
      </c>
      <c r="O52" s="67">
        <f t="shared" si="5"/>
        <v>100.8</v>
      </c>
      <c r="P52" s="67">
        <f t="shared" si="5"/>
        <v>80.7</v>
      </c>
      <c r="Q52" s="67">
        <f t="shared" si="5"/>
        <v>95.8</v>
      </c>
      <c r="R52" s="67">
        <f t="shared" si="5"/>
        <v>111.7</v>
      </c>
      <c r="S52" s="67">
        <f t="shared" si="5"/>
        <v>95.8</v>
      </c>
      <c r="T52" s="67">
        <f t="shared" si="5"/>
        <v>95.8</v>
      </c>
      <c r="U52" s="67">
        <f t="shared" si="5"/>
        <v>95.8</v>
      </c>
      <c r="V52" s="67">
        <f t="shared" si="5"/>
        <v>95.8</v>
      </c>
      <c r="W52" s="67">
        <f t="shared" si="5"/>
        <v>106</v>
      </c>
      <c r="X52" s="67">
        <f t="shared" si="5"/>
        <v>66</v>
      </c>
      <c r="Y52" s="67">
        <f t="shared" si="5"/>
        <v>96</v>
      </c>
      <c r="Z52" s="67">
        <f t="shared" si="5"/>
        <v>0</v>
      </c>
      <c r="AA52" s="67">
        <f t="shared" si="5"/>
        <v>136</v>
      </c>
      <c r="AB52" s="67">
        <f t="shared" si="5"/>
        <v>86</v>
      </c>
      <c r="AC52" s="67">
        <f t="shared" si="5"/>
        <v>136</v>
      </c>
      <c r="AD52" s="67">
        <f t="shared" si="5"/>
        <v>146</v>
      </c>
      <c r="AE52" s="67">
        <f t="shared" si="5"/>
        <v>116</v>
      </c>
      <c r="AF52" s="67">
        <f t="shared" si="5"/>
        <v>96</v>
      </c>
      <c r="AG52" s="68">
        <f t="shared" si="5"/>
        <v>538.1</v>
      </c>
      <c r="AH52" s="52">
        <f t="shared" si="2"/>
        <v>215.7</v>
      </c>
      <c r="AI52" s="53">
        <f t="shared" si="3"/>
        <v>0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28.6</v>
      </c>
      <c r="H53" s="50">
        <v>27.9</v>
      </c>
      <c r="I53" s="50">
        <v>61.3</v>
      </c>
      <c r="J53" s="50">
        <v>105</v>
      </c>
      <c r="K53" s="50">
        <v>101.6</v>
      </c>
      <c r="L53" s="50">
        <v>94.3</v>
      </c>
      <c r="M53" s="50">
        <v>71.599999999999994</v>
      </c>
      <c r="N53" s="50">
        <v>61.2</v>
      </c>
      <c r="O53" s="50">
        <v>61.2</v>
      </c>
      <c r="P53" s="50">
        <v>94.1</v>
      </c>
      <c r="Q53" s="50">
        <v>93.4</v>
      </c>
      <c r="R53" s="50">
        <v>77.3</v>
      </c>
      <c r="S53" s="50">
        <v>86.5</v>
      </c>
      <c r="T53" s="50">
        <v>91.3</v>
      </c>
      <c r="U53" s="50">
        <v>60</v>
      </c>
      <c r="V53" s="50">
        <v>0</v>
      </c>
      <c r="W53" s="50">
        <v>0</v>
      </c>
      <c r="X53" s="50">
        <v>28.1</v>
      </c>
      <c r="Y53" s="50">
        <v>59.9</v>
      </c>
      <c r="Z53" s="219" t="s">
        <v>261</v>
      </c>
      <c r="AA53" s="50">
        <v>92.1</v>
      </c>
      <c r="AB53" s="50">
        <v>61</v>
      </c>
      <c r="AC53" s="50">
        <v>61</v>
      </c>
      <c r="AD53" s="50">
        <v>61</v>
      </c>
      <c r="AE53" s="50">
        <v>72</v>
      </c>
      <c r="AF53" s="50">
        <v>35.299999999999997</v>
      </c>
      <c r="AG53" s="56">
        <v>144</v>
      </c>
      <c r="AH53" s="52">
        <f t="shared" si="2"/>
        <v>105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19.899999999999999</v>
      </c>
      <c r="C54" s="72">
        <v>20</v>
      </c>
      <c r="D54" s="72">
        <v>21</v>
      </c>
      <c r="E54" s="72">
        <v>20.9</v>
      </c>
      <c r="F54" s="72">
        <v>34.799999999999997</v>
      </c>
      <c r="G54" s="72">
        <v>24.8</v>
      </c>
      <c r="H54" s="72">
        <v>24.8</v>
      </c>
      <c r="I54" s="72">
        <v>24.9</v>
      </c>
      <c r="J54" s="72">
        <v>34.799999999999997</v>
      </c>
      <c r="K54" s="72">
        <v>34.799999999999997</v>
      </c>
      <c r="L54" s="72">
        <v>34.799999999999997</v>
      </c>
      <c r="M54" s="72">
        <v>34.799999999999997</v>
      </c>
      <c r="N54" s="72">
        <v>25.2</v>
      </c>
      <c r="O54" s="72">
        <v>35</v>
      </c>
      <c r="P54" s="72">
        <v>35</v>
      </c>
      <c r="Q54" s="72">
        <v>34.799999999999997</v>
      </c>
      <c r="R54" s="50">
        <v>32.799999999999997</v>
      </c>
      <c r="S54" s="50">
        <v>32.799999999999997</v>
      </c>
      <c r="T54" s="50">
        <v>34.799999999999997</v>
      </c>
      <c r="U54" s="50">
        <v>22.5</v>
      </c>
      <c r="V54" s="50">
        <v>0</v>
      </c>
      <c r="W54" s="50">
        <v>0</v>
      </c>
      <c r="X54" s="50">
        <v>20</v>
      </c>
      <c r="Y54" s="50">
        <v>21.6</v>
      </c>
      <c r="Z54" s="220"/>
      <c r="AA54" s="50">
        <v>50.3</v>
      </c>
      <c r="AB54" s="50">
        <v>25</v>
      </c>
      <c r="AC54" s="50">
        <v>25</v>
      </c>
      <c r="AD54" s="50">
        <v>25</v>
      </c>
      <c r="AE54" s="50">
        <v>30</v>
      </c>
      <c r="AF54" s="50">
        <v>30</v>
      </c>
      <c r="AG54" s="61">
        <v>70</v>
      </c>
      <c r="AH54" s="52">
        <f t="shared" si="2"/>
        <v>50.3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15.1</v>
      </c>
      <c r="C55" s="72">
        <v>0</v>
      </c>
      <c r="D55" s="72">
        <v>0</v>
      </c>
      <c r="E55" s="72">
        <v>0.8</v>
      </c>
      <c r="F55" s="72">
        <v>0</v>
      </c>
      <c r="G55" s="72">
        <v>17.399999999999999</v>
      </c>
      <c r="H55" s="72">
        <v>17.100000000000001</v>
      </c>
      <c r="I55" s="72">
        <v>35.6</v>
      </c>
      <c r="J55" s="72">
        <v>45.7</v>
      </c>
      <c r="K55" s="72">
        <v>52.1</v>
      </c>
      <c r="L55" s="72">
        <v>52.4</v>
      </c>
      <c r="M55" s="72">
        <v>51.8</v>
      </c>
      <c r="N55" s="72">
        <v>55</v>
      </c>
      <c r="O55" s="72">
        <v>35</v>
      </c>
      <c r="P55" s="72">
        <v>46</v>
      </c>
      <c r="Q55" s="72">
        <v>46</v>
      </c>
      <c r="R55" s="50">
        <v>42.9</v>
      </c>
      <c r="S55" s="50">
        <v>42.7</v>
      </c>
      <c r="T55" s="50">
        <v>46.6</v>
      </c>
      <c r="U55" s="50">
        <v>32.799999999999997</v>
      </c>
      <c r="V55" s="50">
        <v>0</v>
      </c>
      <c r="W55" s="50">
        <v>0</v>
      </c>
      <c r="X55" s="50">
        <v>16.3</v>
      </c>
      <c r="Y55" s="50">
        <v>21.2</v>
      </c>
      <c r="Z55" s="220"/>
      <c r="AA55" s="50">
        <v>33.4</v>
      </c>
      <c r="AB55" s="50">
        <v>33.4</v>
      </c>
      <c r="AC55" s="50">
        <v>33.4</v>
      </c>
      <c r="AD55" s="50">
        <v>33.4</v>
      </c>
      <c r="AE55" s="50">
        <v>34</v>
      </c>
      <c r="AF55" s="50">
        <v>17</v>
      </c>
      <c r="AG55" s="61">
        <v>69</v>
      </c>
      <c r="AH55" s="52">
        <f t="shared" si="2"/>
        <v>55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35</v>
      </c>
      <c r="C56" s="72">
        <v>35</v>
      </c>
      <c r="D56" s="72">
        <v>38.299999999999997</v>
      </c>
      <c r="E56" s="63">
        <v>38.299999999999997</v>
      </c>
      <c r="F56" s="63">
        <v>38.299999999999997</v>
      </c>
      <c r="G56" s="63">
        <v>37.799999999999997</v>
      </c>
      <c r="H56" s="63">
        <v>37.299999999999997</v>
      </c>
      <c r="I56" s="63">
        <v>37.299999999999997</v>
      </c>
      <c r="J56" s="63">
        <v>37.299999999999997</v>
      </c>
      <c r="K56" s="63">
        <v>36.799999999999997</v>
      </c>
      <c r="L56" s="63">
        <v>37</v>
      </c>
      <c r="M56" s="72">
        <v>37</v>
      </c>
      <c r="N56" s="72">
        <v>37</v>
      </c>
      <c r="O56" s="72">
        <v>37</v>
      </c>
      <c r="P56" s="72">
        <v>37</v>
      </c>
      <c r="Q56" s="72">
        <v>35.299999999999997</v>
      </c>
      <c r="R56" s="50">
        <v>35.299999999999997</v>
      </c>
      <c r="S56" s="50">
        <v>34</v>
      </c>
      <c r="T56" s="50">
        <v>34.299999999999997</v>
      </c>
      <c r="U56" s="50">
        <v>34.299999999999997</v>
      </c>
      <c r="V56" s="50">
        <v>34.299999999999997</v>
      </c>
      <c r="W56" s="50">
        <v>34.299999999999997</v>
      </c>
      <c r="X56" s="50">
        <v>34.299999999999997</v>
      </c>
      <c r="Y56" s="50">
        <v>34.299999999999997</v>
      </c>
      <c r="Z56" s="221"/>
      <c r="AA56" s="50">
        <v>34.299999999999997</v>
      </c>
      <c r="AB56" s="50">
        <v>36</v>
      </c>
      <c r="AC56" s="50">
        <v>36</v>
      </c>
      <c r="AD56" s="50">
        <v>36</v>
      </c>
      <c r="AE56" s="50">
        <v>32</v>
      </c>
      <c r="AF56" s="50">
        <v>32</v>
      </c>
      <c r="AG56" s="61">
        <v>60</v>
      </c>
      <c r="AH56" s="52">
        <f t="shared" si="2"/>
        <v>38.299999999999997</v>
      </c>
      <c r="AI56" s="53">
        <f t="shared" si="3"/>
        <v>32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0</v>
      </c>
      <c r="F57" s="63">
        <v>0</v>
      </c>
      <c r="G57" s="63">
        <v>0</v>
      </c>
      <c r="H57" s="63">
        <v>10</v>
      </c>
      <c r="I57" s="63">
        <v>10</v>
      </c>
      <c r="J57" s="63">
        <v>20</v>
      </c>
      <c r="K57" s="63">
        <v>30</v>
      </c>
      <c r="L57" s="63">
        <v>20</v>
      </c>
      <c r="M57" s="72">
        <v>10</v>
      </c>
      <c r="N57" s="72">
        <v>10</v>
      </c>
      <c r="O57" s="72">
        <v>13</v>
      </c>
      <c r="P57" s="72">
        <v>13</v>
      </c>
      <c r="Q57" s="72">
        <v>15</v>
      </c>
      <c r="R57" s="72">
        <v>15</v>
      </c>
      <c r="S57" s="50">
        <v>10.3</v>
      </c>
      <c r="T57" s="50">
        <v>0</v>
      </c>
      <c r="U57" s="50">
        <v>10</v>
      </c>
      <c r="V57" s="50">
        <v>0</v>
      </c>
      <c r="W57" s="50">
        <v>0</v>
      </c>
      <c r="X57" s="50">
        <v>10</v>
      </c>
      <c r="Y57" s="50">
        <v>10</v>
      </c>
      <c r="Z57" s="50"/>
      <c r="AA57" s="50">
        <v>10</v>
      </c>
      <c r="AB57" s="50">
        <v>28</v>
      </c>
      <c r="AC57" s="50">
        <v>10</v>
      </c>
      <c r="AD57" s="50">
        <v>10</v>
      </c>
      <c r="AE57" s="50">
        <v>10</v>
      </c>
      <c r="AF57" s="50">
        <v>10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ht="15.75" thickBot="1" x14ac:dyDescent="0.3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50">
        <v>0</v>
      </c>
      <c r="M58" s="50">
        <v>0</v>
      </c>
      <c r="N58" s="50">
        <v>0</v>
      </c>
      <c r="O58" s="50">
        <v>8</v>
      </c>
      <c r="P58" s="50">
        <v>8</v>
      </c>
      <c r="Q58" s="72">
        <v>8</v>
      </c>
      <c r="R58" s="72">
        <v>8</v>
      </c>
      <c r="S58" s="50">
        <v>12</v>
      </c>
      <c r="T58" s="50">
        <v>10</v>
      </c>
      <c r="U58" s="50">
        <v>4.2</v>
      </c>
      <c r="V58" s="50">
        <v>2.6</v>
      </c>
      <c r="W58" s="50">
        <v>2.6</v>
      </c>
      <c r="X58" s="50">
        <v>0</v>
      </c>
      <c r="Y58" s="50">
        <v>0</v>
      </c>
      <c r="Z58" s="50"/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12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10</v>
      </c>
      <c r="T59" s="72">
        <v>10</v>
      </c>
      <c r="U59" s="72">
        <v>10</v>
      </c>
      <c r="V59" s="72">
        <v>10</v>
      </c>
      <c r="W59" s="72">
        <v>10</v>
      </c>
      <c r="X59" s="72">
        <v>10</v>
      </c>
      <c r="Y59" s="72">
        <v>10</v>
      </c>
      <c r="Z59" s="219" t="s">
        <v>261</v>
      </c>
      <c r="AA59" s="72">
        <v>10</v>
      </c>
      <c r="AB59" s="72">
        <v>10</v>
      </c>
      <c r="AC59" s="72">
        <v>10</v>
      </c>
      <c r="AD59" s="72">
        <v>10</v>
      </c>
      <c r="AE59" s="72">
        <v>10</v>
      </c>
      <c r="AF59" s="72">
        <v>10</v>
      </c>
      <c r="AG59" s="61">
        <v>24</v>
      </c>
      <c r="AH59" s="52">
        <f t="shared" si="2"/>
        <v>15</v>
      </c>
      <c r="AI59" s="53">
        <f t="shared" si="3"/>
        <v>10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220"/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9.6</v>
      </c>
      <c r="C61" s="72">
        <v>9.6</v>
      </c>
      <c r="D61" s="72">
        <v>9.6</v>
      </c>
      <c r="E61" s="72">
        <v>9.6</v>
      </c>
      <c r="F61" s="72">
        <v>9.6</v>
      </c>
      <c r="G61" s="72">
        <v>9.6</v>
      </c>
      <c r="H61" s="72">
        <v>9.6</v>
      </c>
      <c r="I61" s="72">
        <v>9.6</v>
      </c>
      <c r="J61" s="72">
        <v>9.6</v>
      </c>
      <c r="K61" s="72">
        <v>9.6</v>
      </c>
      <c r="L61" s="72">
        <v>9.6</v>
      </c>
      <c r="M61" s="72">
        <v>9.6</v>
      </c>
      <c r="N61" s="72">
        <v>9.6</v>
      </c>
      <c r="O61" s="72">
        <v>9.6</v>
      </c>
      <c r="P61" s="72">
        <v>9.6</v>
      </c>
      <c r="Q61" s="72">
        <v>9.6</v>
      </c>
      <c r="R61" s="72">
        <v>9.6</v>
      </c>
      <c r="S61" s="72">
        <v>9.6</v>
      </c>
      <c r="T61" s="72">
        <v>9.6</v>
      </c>
      <c r="U61" s="72">
        <v>9.6</v>
      </c>
      <c r="V61" s="72">
        <v>7.5</v>
      </c>
      <c r="W61" s="72">
        <v>7.5</v>
      </c>
      <c r="X61" s="72">
        <v>7.5</v>
      </c>
      <c r="Y61" s="72">
        <v>7.5</v>
      </c>
      <c r="Z61" s="220"/>
      <c r="AA61" s="72">
        <v>7.5</v>
      </c>
      <c r="AB61" s="72">
        <v>7.5</v>
      </c>
      <c r="AC61" s="72">
        <v>7.5</v>
      </c>
      <c r="AD61" s="72">
        <v>7.5</v>
      </c>
      <c r="AE61" s="72">
        <v>7.5</v>
      </c>
      <c r="AF61" s="72">
        <v>7.5</v>
      </c>
      <c r="AG61" s="61">
        <v>14.1</v>
      </c>
      <c r="AH61" s="52">
        <f t="shared" si="2"/>
        <v>9.6</v>
      </c>
      <c r="AI61" s="53">
        <f t="shared" si="3"/>
        <v>7.5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2.7</v>
      </c>
      <c r="C62" s="72">
        <v>2.7</v>
      </c>
      <c r="D62" s="72">
        <v>2.7</v>
      </c>
      <c r="E62" s="72">
        <v>2.7</v>
      </c>
      <c r="F62" s="72">
        <v>2.7</v>
      </c>
      <c r="G62" s="72">
        <v>2.7</v>
      </c>
      <c r="H62" s="72">
        <v>2.7</v>
      </c>
      <c r="I62" s="72">
        <v>2.7</v>
      </c>
      <c r="J62" s="72">
        <v>2.7</v>
      </c>
      <c r="K62" s="72">
        <v>2.7</v>
      </c>
      <c r="L62" s="72">
        <v>2.7</v>
      </c>
      <c r="M62" s="72">
        <v>2.7</v>
      </c>
      <c r="N62" s="72">
        <v>2.7</v>
      </c>
      <c r="O62" s="72">
        <v>2.7</v>
      </c>
      <c r="P62" s="72">
        <v>2.7</v>
      </c>
      <c r="Q62" s="72">
        <v>2.7</v>
      </c>
      <c r="R62" s="72">
        <v>2.7</v>
      </c>
      <c r="S62" s="72">
        <v>3.2</v>
      </c>
      <c r="T62" s="72">
        <v>3.2</v>
      </c>
      <c r="U62" s="72">
        <v>3.2</v>
      </c>
      <c r="V62" s="72">
        <v>3.4</v>
      </c>
      <c r="W62" s="72">
        <v>3.4</v>
      </c>
      <c r="X62" s="72">
        <v>3.4</v>
      </c>
      <c r="Y62" s="72">
        <v>3.4</v>
      </c>
      <c r="Z62" s="221"/>
      <c r="AA62" s="72">
        <v>3.4</v>
      </c>
      <c r="AB62" s="72">
        <v>3.4</v>
      </c>
      <c r="AC62" s="72">
        <v>3.4</v>
      </c>
      <c r="AD62" s="72">
        <v>3.4</v>
      </c>
      <c r="AE62" s="72">
        <v>3.4</v>
      </c>
      <c r="AF62" s="72">
        <v>3.4</v>
      </c>
      <c r="AG62" s="61">
        <v>14</v>
      </c>
      <c r="AH62" s="52">
        <f t="shared" si="2"/>
        <v>3.4</v>
      </c>
      <c r="AI62" s="53">
        <f t="shared" si="3"/>
        <v>2.7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4</v>
      </c>
      <c r="R63" s="72">
        <v>4</v>
      </c>
      <c r="S63" s="72">
        <v>2.4</v>
      </c>
      <c r="T63" s="72">
        <v>2.4</v>
      </c>
      <c r="U63" s="72">
        <v>2.4</v>
      </c>
      <c r="V63" s="72">
        <v>2.4</v>
      </c>
      <c r="W63" s="72">
        <v>2.4</v>
      </c>
      <c r="X63" s="72">
        <v>2.4</v>
      </c>
      <c r="Y63" s="72">
        <v>2.4</v>
      </c>
      <c r="Z63" s="72"/>
      <c r="AA63" s="72">
        <v>2.4</v>
      </c>
      <c r="AB63" s="72">
        <v>2.4</v>
      </c>
      <c r="AC63" s="72">
        <v>2.4</v>
      </c>
      <c r="AD63" s="72">
        <v>2.4</v>
      </c>
      <c r="AE63" s="72">
        <v>2.4</v>
      </c>
      <c r="AF63" s="72">
        <v>2.4</v>
      </c>
      <c r="AG63" s="61">
        <v>10.050000000000001</v>
      </c>
      <c r="AH63" s="52">
        <f t="shared" si="2"/>
        <v>4</v>
      </c>
      <c r="AI63" s="53">
        <f t="shared" si="3"/>
        <v>2.4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/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6">SUM(B53:B65)</f>
        <v>109.84</v>
      </c>
      <c r="C66" s="67">
        <f t="shared" si="6"/>
        <v>94.84</v>
      </c>
      <c r="D66" s="67">
        <f t="shared" si="6"/>
        <v>99.14</v>
      </c>
      <c r="E66" s="67">
        <f t="shared" si="6"/>
        <v>99.84</v>
      </c>
      <c r="F66" s="67">
        <f t="shared" si="6"/>
        <v>112.94</v>
      </c>
      <c r="G66" s="67">
        <f t="shared" si="6"/>
        <v>148.44</v>
      </c>
      <c r="H66" s="67">
        <f t="shared" si="6"/>
        <v>156.94</v>
      </c>
      <c r="I66" s="67">
        <f t="shared" si="6"/>
        <v>208.93999999999994</v>
      </c>
      <c r="J66" s="67">
        <f t="shared" si="6"/>
        <v>282.64000000000004</v>
      </c>
      <c r="K66" s="67">
        <f t="shared" si="6"/>
        <v>295.14</v>
      </c>
      <c r="L66" s="67">
        <f t="shared" si="6"/>
        <v>278.34000000000003</v>
      </c>
      <c r="M66" s="67">
        <f t="shared" si="6"/>
        <v>245.03999999999996</v>
      </c>
      <c r="N66" s="67">
        <f t="shared" si="6"/>
        <v>228.23999999999998</v>
      </c>
      <c r="O66" s="67">
        <f t="shared" si="6"/>
        <v>229.03999999999996</v>
      </c>
      <c r="P66" s="67">
        <f t="shared" si="6"/>
        <v>272.94000000000005</v>
      </c>
      <c r="Q66" s="67">
        <f t="shared" si="6"/>
        <v>272.34000000000003</v>
      </c>
      <c r="R66" s="67">
        <f t="shared" si="6"/>
        <v>251.14</v>
      </c>
      <c r="S66" s="67">
        <f t="shared" si="6"/>
        <v>252.04</v>
      </c>
      <c r="T66" s="67">
        <f t="shared" si="6"/>
        <v>250.73999999999998</v>
      </c>
      <c r="U66" s="67">
        <f t="shared" si="6"/>
        <v>197.53999999999996</v>
      </c>
      <c r="V66" s="67">
        <f t="shared" si="6"/>
        <v>68.739999999999995</v>
      </c>
      <c r="W66" s="67">
        <f t="shared" si="6"/>
        <v>68.739999999999995</v>
      </c>
      <c r="X66" s="67">
        <f t="shared" si="6"/>
        <v>140.54000000000002</v>
      </c>
      <c r="Y66" s="67">
        <f t="shared" si="6"/>
        <v>178.84</v>
      </c>
      <c r="Z66" s="67">
        <f t="shared" si="6"/>
        <v>3.54</v>
      </c>
      <c r="AA66" s="67">
        <f t="shared" si="6"/>
        <v>251.93999999999997</v>
      </c>
      <c r="AB66" s="67">
        <f t="shared" si="6"/>
        <v>215.24</v>
      </c>
      <c r="AC66" s="67">
        <f t="shared" si="6"/>
        <v>197.24</v>
      </c>
      <c r="AD66" s="67">
        <f t="shared" si="6"/>
        <v>197.24</v>
      </c>
      <c r="AE66" s="67">
        <f t="shared" si="6"/>
        <v>209.84</v>
      </c>
      <c r="AF66" s="67">
        <f t="shared" si="6"/>
        <v>156.14000000000001</v>
      </c>
      <c r="AG66" s="68">
        <f t="shared" si="6"/>
        <v>489.91</v>
      </c>
      <c r="AH66" s="52">
        <f t="shared" si="2"/>
        <v>295.14</v>
      </c>
      <c r="AI66" s="53">
        <f t="shared" si="3"/>
        <v>3.54</v>
      </c>
      <c r="AK66" s="54"/>
    </row>
    <row r="67" spans="1:40" x14ac:dyDescent="0.25">
      <c r="A67" s="49" t="s">
        <v>71</v>
      </c>
      <c r="B67" s="50">
        <v>50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40</v>
      </c>
      <c r="O67" s="50">
        <v>40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35</v>
      </c>
      <c r="Y67" s="50">
        <v>35</v>
      </c>
      <c r="Z67" s="50"/>
      <c r="AA67" s="50">
        <v>40</v>
      </c>
      <c r="AB67" s="50">
        <v>40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35</v>
      </c>
      <c r="AK67" s="54"/>
    </row>
    <row r="68" spans="1:40" x14ac:dyDescent="0.25">
      <c r="A68" s="60" t="s">
        <v>72</v>
      </c>
      <c r="B68" s="72">
        <v>21.5</v>
      </c>
      <c r="C68" s="72">
        <v>27.4</v>
      </c>
      <c r="D68" s="72">
        <v>27.3</v>
      </c>
      <c r="E68" s="72">
        <v>21.9</v>
      </c>
      <c r="F68" s="72">
        <v>28.4</v>
      </c>
      <c r="G68" s="72">
        <v>28.1</v>
      </c>
      <c r="H68" s="72">
        <v>28</v>
      </c>
      <c r="I68" s="72">
        <v>28</v>
      </c>
      <c r="J68" s="72">
        <v>24.3</v>
      </c>
      <c r="K68" s="72">
        <v>26.9</v>
      </c>
      <c r="L68" s="72">
        <v>26.9</v>
      </c>
      <c r="M68" s="72">
        <v>26.9</v>
      </c>
      <c r="N68" s="72">
        <v>16</v>
      </c>
      <c r="O68" s="72">
        <v>16</v>
      </c>
      <c r="P68" s="72">
        <v>26</v>
      </c>
      <c r="Q68" s="50">
        <v>28</v>
      </c>
      <c r="R68" s="50">
        <v>28</v>
      </c>
      <c r="S68" s="72">
        <v>27.9</v>
      </c>
      <c r="T68" s="72">
        <v>27.9</v>
      </c>
      <c r="U68" s="72">
        <v>27.9</v>
      </c>
      <c r="V68" s="72">
        <v>27.9</v>
      </c>
      <c r="W68" s="72">
        <v>27.9</v>
      </c>
      <c r="X68" s="72">
        <v>12.8</v>
      </c>
      <c r="Y68" s="72">
        <v>14.5</v>
      </c>
      <c r="Z68" s="72"/>
      <c r="AA68" s="72">
        <v>14.5</v>
      </c>
      <c r="AB68" s="72">
        <v>11.8</v>
      </c>
      <c r="AC68" s="72">
        <v>13.1</v>
      </c>
      <c r="AD68" s="72">
        <v>25.5</v>
      </c>
      <c r="AE68" s="72">
        <v>26.8</v>
      </c>
      <c r="AF68" s="72">
        <v>26.8</v>
      </c>
      <c r="AG68" s="61">
        <v>32</v>
      </c>
      <c r="AH68" s="52">
        <f t="shared" si="2"/>
        <v>28.4</v>
      </c>
      <c r="AI68" s="53">
        <f t="shared" si="3"/>
        <v>11.8</v>
      </c>
      <c r="AK68" s="54"/>
    </row>
    <row r="69" spans="1:40" ht="15.75" thickBot="1" x14ac:dyDescent="0.3">
      <c r="A69" s="78" t="s">
        <v>73</v>
      </c>
      <c r="B69" s="74">
        <v>7.8</v>
      </c>
      <c r="C69" s="74">
        <v>10</v>
      </c>
      <c r="D69" s="74">
        <v>10</v>
      </c>
      <c r="E69" s="74">
        <v>8</v>
      </c>
      <c r="F69" s="74">
        <v>10.4</v>
      </c>
      <c r="G69" s="74">
        <v>10.199999999999999</v>
      </c>
      <c r="H69" s="74">
        <v>10.199999999999999</v>
      </c>
      <c r="I69" s="74">
        <v>10.199999999999999</v>
      </c>
      <c r="J69" s="74">
        <v>8.9</v>
      </c>
      <c r="K69" s="74">
        <v>9.8000000000000007</v>
      </c>
      <c r="L69" s="74">
        <v>9.8000000000000007</v>
      </c>
      <c r="M69" s="74">
        <v>9.8000000000000007</v>
      </c>
      <c r="N69" s="74">
        <v>6</v>
      </c>
      <c r="O69" s="74">
        <v>6</v>
      </c>
      <c r="P69" s="74">
        <v>9.4</v>
      </c>
      <c r="Q69" s="50">
        <v>10</v>
      </c>
      <c r="R69" s="50">
        <v>10</v>
      </c>
      <c r="S69" s="74">
        <v>10.199999999999999</v>
      </c>
      <c r="T69" s="74">
        <v>10.199999999999999</v>
      </c>
      <c r="U69" s="74">
        <v>10.199999999999999</v>
      </c>
      <c r="V69" s="74">
        <v>10.199999999999999</v>
      </c>
      <c r="W69" s="74">
        <v>10.199999999999999</v>
      </c>
      <c r="X69" s="74">
        <v>4.7</v>
      </c>
      <c r="Y69" s="74">
        <v>4.8</v>
      </c>
      <c r="Z69" s="74"/>
      <c r="AA69" s="74">
        <v>4.8</v>
      </c>
      <c r="AB69" s="74">
        <v>4.3</v>
      </c>
      <c r="AC69" s="74">
        <v>4.8</v>
      </c>
      <c r="AD69" s="74">
        <v>9.3000000000000007</v>
      </c>
      <c r="AE69" s="74">
        <v>9.8000000000000007</v>
      </c>
      <c r="AF69" s="74">
        <v>9.8000000000000007</v>
      </c>
      <c r="AG69" s="75">
        <v>14</v>
      </c>
      <c r="AH69" s="52">
        <f t="shared" si="2"/>
        <v>10.4</v>
      </c>
      <c r="AI69" s="53">
        <f t="shared" si="3"/>
        <v>4.3</v>
      </c>
      <c r="AK69" s="54"/>
    </row>
    <row r="70" spans="1:40" ht="15.75" thickBot="1" x14ac:dyDescent="0.3">
      <c r="A70" s="81" t="s">
        <v>74</v>
      </c>
      <c r="B70" s="67">
        <f t="shared" ref="B70:K70" si="7">B67+B68+B69</f>
        <v>79.3</v>
      </c>
      <c r="C70" s="67">
        <f t="shared" si="7"/>
        <v>97.4</v>
      </c>
      <c r="D70" s="67">
        <f t="shared" si="7"/>
        <v>97.3</v>
      </c>
      <c r="E70" s="67">
        <f t="shared" si="7"/>
        <v>89.9</v>
      </c>
      <c r="F70" s="67">
        <f t="shared" si="7"/>
        <v>98.800000000000011</v>
      </c>
      <c r="G70" s="67">
        <f t="shared" si="7"/>
        <v>98.3</v>
      </c>
      <c r="H70" s="67">
        <f t="shared" si="7"/>
        <v>98.2</v>
      </c>
      <c r="I70" s="67">
        <f t="shared" si="7"/>
        <v>98.2</v>
      </c>
      <c r="J70" s="67">
        <f t="shared" si="7"/>
        <v>93.2</v>
      </c>
      <c r="K70" s="67">
        <f t="shared" si="7"/>
        <v>96.7</v>
      </c>
      <c r="L70" s="67">
        <f>L67+L68+L69</f>
        <v>96.7</v>
      </c>
      <c r="M70" s="67">
        <f t="shared" ref="M70:AF70" si="8">M67+M68+M69</f>
        <v>96.7</v>
      </c>
      <c r="N70" s="67">
        <f t="shared" si="8"/>
        <v>62</v>
      </c>
      <c r="O70" s="67">
        <f t="shared" si="8"/>
        <v>62</v>
      </c>
      <c r="P70" s="67">
        <f t="shared" si="8"/>
        <v>95.4</v>
      </c>
      <c r="Q70" s="67">
        <f t="shared" si="8"/>
        <v>98</v>
      </c>
      <c r="R70" s="67">
        <f t="shared" si="8"/>
        <v>98</v>
      </c>
      <c r="S70" s="67">
        <f t="shared" si="8"/>
        <v>98.100000000000009</v>
      </c>
      <c r="T70" s="67">
        <f>T67+T68+T69</f>
        <v>98.100000000000009</v>
      </c>
      <c r="U70" s="67">
        <f>U67+U68+U69</f>
        <v>98.100000000000009</v>
      </c>
      <c r="V70" s="67">
        <f t="shared" si="8"/>
        <v>98.100000000000009</v>
      </c>
      <c r="W70" s="67">
        <f t="shared" si="8"/>
        <v>98.100000000000009</v>
      </c>
      <c r="X70" s="67">
        <f t="shared" si="8"/>
        <v>52.5</v>
      </c>
      <c r="Y70" s="67">
        <f t="shared" si="8"/>
        <v>54.3</v>
      </c>
      <c r="Z70" s="67">
        <f t="shared" si="8"/>
        <v>0</v>
      </c>
      <c r="AA70" s="67">
        <f t="shared" si="8"/>
        <v>59.3</v>
      </c>
      <c r="AB70" s="67">
        <f t="shared" si="8"/>
        <v>56.099999999999994</v>
      </c>
      <c r="AC70" s="67">
        <f t="shared" si="8"/>
        <v>77.899999999999991</v>
      </c>
      <c r="AD70" s="67">
        <f t="shared" si="8"/>
        <v>94.8</v>
      </c>
      <c r="AE70" s="67">
        <f t="shared" si="8"/>
        <v>96.6</v>
      </c>
      <c r="AF70" s="67">
        <f t="shared" si="8"/>
        <v>96.6</v>
      </c>
      <c r="AG70" s="68">
        <f>SUM(AG67:AG69)</f>
        <v>106</v>
      </c>
      <c r="AH70" s="52">
        <f t="shared" si="2"/>
        <v>98.800000000000011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52</v>
      </c>
      <c r="C71" s="50">
        <v>68</v>
      </c>
      <c r="D71" s="50">
        <v>74</v>
      </c>
      <c r="E71" s="50">
        <v>65</v>
      </c>
      <c r="F71" s="50">
        <v>62</v>
      </c>
      <c r="G71" s="50">
        <v>65</v>
      </c>
      <c r="H71" s="50">
        <v>61</v>
      </c>
      <c r="I71" s="50">
        <v>62</v>
      </c>
      <c r="J71" s="50">
        <v>72</v>
      </c>
      <c r="K71" s="50">
        <v>45</v>
      </c>
      <c r="L71" s="50">
        <v>58</v>
      </c>
      <c r="M71" s="50">
        <v>68</v>
      </c>
      <c r="N71" s="50">
        <v>70</v>
      </c>
      <c r="O71" s="50">
        <v>73.099999999999994</v>
      </c>
      <c r="P71" s="50">
        <v>69</v>
      </c>
      <c r="Q71" s="50">
        <v>72</v>
      </c>
      <c r="R71" s="50">
        <v>69</v>
      </c>
      <c r="S71" s="50">
        <v>65.3</v>
      </c>
      <c r="T71" s="50">
        <v>71</v>
      </c>
      <c r="U71" s="50">
        <v>62</v>
      </c>
      <c r="V71" s="50">
        <v>66</v>
      </c>
      <c r="W71" s="50">
        <v>70.099999999999994</v>
      </c>
      <c r="X71" s="50">
        <v>56.5</v>
      </c>
      <c r="Y71" s="50">
        <v>58.8</v>
      </c>
      <c r="Z71" s="50"/>
      <c r="AA71" s="50">
        <v>64.900000000000006</v>
      </c>
      <c r="AB71" s="50">
        <v>54.2</v>
      </c>
      <c r="AC71" s="50">
        <v>73.2</v>
      </c>
      <c r="AD71" s="50">
        <v>63.4</v>
      </c>
      <c r="AE71" s="50">
        <v>72.2</v>
      </c>
      <c r="AF71" s="50">
        <v>63</v>
      </c>
      <c r="AG71" s="56"/>
      <c r="AH71" s="52">
        <f t="shared" si="2"/>
        <v>74</v>
      </c>
      <c r="AI71" s="53">
        <f t="shared" si="3"/>
        <v>45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/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306.89999999999998</v>
      </c>
      <c r="C73" s="72">
        <v>352</v>
      </c>
      <c r="D73" s="72">
        <v>331</v>
      </c>
      <c r="E73" s="72">
        <v>352</v>
      </c>
      <c r="F73" s="72">
        <v>316</v>
      </c>
      <c r="G73" s="72">
        <v>334</v>
      </c>
      <c r="H73" s="72">
        <v>358.8</v>
      </c>
      <c r="I73" s="72">
        <v>319</v>
      </c>
      <c r="J73" s="72">
        <v>246</v>
      </c>
      <c r="K73" s="72">
        <v>256</v>
      </c>
      <c r="L73" s="72">
        <v>241</v>
      </c>
      <c r="M73" s="72">
        <v>300</v>
      </c>
      <c r="N73" s="72">
        <v>360</v>
      </c>
      <c r="O73" s="72">
        <v>347</v>
      </c>
      <c r="P73" s="72">
        <v>366</v>
      </c>
      <c r="Q73" s="72">
        <v>352.9</v>
      </c>
      <c r="R73" s="72">
        <v>403.9</v>
      </c>
      <c r="S73" s="72">
        <v>387</v>
      </c>
      <c r="T73" s="72">
        <v>415</v>
      </c>
      <c r="U73" s="72">
        <v>362</v>
      </c>
      <c r="V73" s="72">
        <v>335</v>
      </c>
      <c r="W73" s="72">
        <v>336</v>
      </c>
      <c r="X73" s="72">
        <v>361.7</v>
      </c>
      <c r="Y73" s="72">
        <v>352.9</v>
      </c>
      <c r="Z73" s="72"/>
      <c r="AA73" s="72">
        <v>258</v>
      </c>
      <c r="AB73" s="72">
        <v>278</v>
      </c>
      <c r="AC73" s="72">
        <v>263</v>
      </c>
      <c r="AD73" s="72">
        <v>285</v>
      </c>
      <c r="AE73" s="72">
        <v>292.39999999999998</v>
      </c>
      <c r="AF73" s="72">
        <v>290</v>
      </c>
      <c r="AG73" s="82"/>
      <c r="AH73" s="52">
        <f t="shared" si="2"/>
        <v>415</v>
      </c>
      <c r="AI73" s="53">
        <f t="shared" si="3"/>
        <v>241</v>
      </c>
      <c r="AK73" s="54"/>
    </row>
    <row r="74" spans="1:40" x14ac:dyDescent="0.25">
      <c r="A74" s="60" t="s">
        <v>78</v>
      </c>
      <c r="B74" s="72">
        <v>55.6</v>
      </c>
      <c r="C74" s="72">
        <v>53.6</v>
      </c>
      <c r="D74" s="72">
        <v>53</v>
      </c>
      <c r="E74" s="83">
        <v>52.4</v>
      </c>
      <c r="F74" s="83">
        <v>55</v>
      </c>
      <c r="G74" s="83">
        <v>55</v>
      </c>
      <c r="H74" s="83">
        <v>55</v>
      </c>
      <c r="I74" s="83">
        <v>55</v>
      </c>
      <c r="J74" s="83">
        <v>62.8</v>
      </c>
      <c r="K74" s="83">
        <v>55</v>
      </c>
      <c r="L74" s="83">
        <v>55</v>
      </c>
      <c r="M74" s="83">
        <v>58</v>
      </c>
      <c r="N74" s="83">
        <v>58</v>
      </c>
      <c r="O74" s="83">
        <v>58</v>
      </c>
      <c r="P74" s="83">
        <v>66.599999999999994</v>
      </c>
      <c r="Q74" s="83">
        <v>64</v>
      </c>
      <c r="R74" s="83">
        <v>65</v>
      </c>
      <c r="S74" s="83">
        <v>58.2</v>
      </c>
      <c r="T74" s="83">
        <v>60.2</v>
      </c>
      <c r="U74" s="83">
        <v>58.7</v>
      </c>
      <c r="V74" s="83">
        <v>59.5</v>
      </c>
      <c r="W74" s="83">
        <v>59.9</v>
      </c>
      <c r="X74" s="83">
        <v>53.3</v>
      </c>
      <c r="Y74" s="72">
        <v>56.2</v>
      </c>
      <c r="Z74" s="72"/>
      <c r="AA74" s="72">
        <v>54.7</v>
      </c>
      <c r="AB74" s="72">
        <v>51.4</v>
      </c>
      <c r="AC74" s="72">
        <v>51.4</v>
      </c>
      <c r="AD74" s="72">
        <v>51.4</v>
      </c>
      <c r="AE74" s="72">
        <v>50.3</v>
      </c>
      <c r="AF74" s="72">
        <v>53</v>
      </c>
      <c r="AG74" s="82"/>
      <c r="AH74" s="52">
        <f t="shared" si="2"/>
        <v>66.599999999999994</v>
      </c>
      <c r="AI74" s="53">
        <f t="shared" si="3"/>
        <v>50.3</v>
      </c>
      <c r="AK74" s="54"/>
    </row>
    <row r="75" spans="1:40" x14ac:dyDescent="0.25">
      <c r="A75" s="60" t="s">
        <v>79</v>
      </c>
      <c r="B75" s="50">
        <v>26.8</v>
      </c>
      <c r="C75" s="50">
        <v>0</v>
      </c>
      <c r="D75" s="50">
        <v>0</v>
      </c>
      <c r="E75" s="50">
        <v>0</v>
      </c>
      <c r="F75" s="50">
        <v>0</v>
      </c>
      <c r="G75" s="50">
        <v>25</v>
      </c>
      <c r="H75" s="50">
        <v>26</v>
      </c>
      <c r="I75" s="50">
        <v>25</v>
      </c>
      <c r="J75" s="50">
        <v>26.3</v>
      </c>
      <c r="K75" s="50">
        <v>26.5</v>
      </c>
      <c r="L75" s="50">
        <v>25.9</v>
      </c>
      <c r="M75" s="50">
        <v>30</v>
      </c>
      <c r="N75" s="50">
        <v>13</v>
      </c>
      <c r="O75" s="50">
        <v>13</v>
      </c>
      <c r="P75" s="50">
        <v>35.9</v>
      </c>
      <c r="Q75" s="50">
        <v>38</v>
      </c>
      <c r="R75" s="50">
        <v>34</v>
      </c>
      <c r="S75" s="50">
        <v>35.9</v>
      </c>
      <c r="T75" s="50">
        <v>35.5</v>
      </c>
      <c r="U75" s="50">
        <v>33.4</v>
      </c>
      <c r="V75" s="50">
        <v>43.9</v>
      </c>
      <c r="W75" s="50">
        <v>40.9</v>
      </c>
      <c r="X75" s="50">
        <v>50</v>
      </c>
      <c r="Y75" s="50">
        <v>72</v>
      </c>
      <c r="Z75" s="50"/>
      <c r="AA75" s="50">
        <v>88</v>
      </c>
      <c r="AB75" s="50">
        <v>89</v>
      </c>
      <c r="AC75" s="50">
        <v>27</v>
      </c>
      <c r="AD75" s="50">
        <v>26.5</v>
      </c>
      <c r="AE75" s="50">
        <v>22.9</v>
      </c>
      <c r="AF75" s="50">
        <v>26.3</v>
      </c>
      <c r="AG75" s="82"/>
      <c r="AH75" s="52">
        <f t="shared" ref="AH75:AH117" si="9">MAX(B75:AF75)</f>
        <v>89</v>
      </c>
      <c r="AI75" s="53">
        <f t="shared" ref="AI75:AI117" si="10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/>
      <c r="AA76" s="84">
        <v>5</v>
      </c>
      <c r="AB76" s="84">
        <v>5</v>
      </c>
      <c r="AC76" s="84">
        <v>5</v>
      </c>
      <c r="AD76" s="84">
        <v>0</v>
      </c>
      <c r="AE76" s="84">
        <v>0</v>
      </c>
      <c r="AF76" s="84">
        <v>0</v>
      </c>
      <c r="AG76" s="82"/>
      <c r="AH76" s="52">
        <f t="shared" si="9"/>
        <v>5</v>
      </c>
      <c r="AI76" s="53">
        <f t="shared" si="10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/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9"/>
        <v>0</v>
      </c>
      <c r="AI77" s="53">
        <f t="shared" si="10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/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/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9"/>
        <v>0</v>
      </c>
      <c r="AI79" s="53">
        <f t="shared" si="10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/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9"/>
        <v>0</v>
      </c>
      <c r="AI80" s="53">
        <f t="shared" si="10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/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1">SUMIF(B71:B81,"&gt;0")</f>
        <v>441.3</v>
      </c>
      <c r="C82" s="67">
        <f t="shared" si="11"/>
        <v>473.6</v>
      </c>
      <c r="D82" s="67">
        <f t="shared" si="11"/>
        <v>458</v>
      </c>
      <c r="E82" s="67">
        <f t="shared" si="11"/>
        <v>469.4</v>
      </c>
      <c r="F82" s="67">
        <f t="shared" si="11"/>
        <v>433</v>
      </c>
      <c r="G82" s="67">
        <f t="shared" si="11"/>
        <v>479</v>
      </c>
      <c r="H82" s="67">
        <f t="shared" si="11"/>
        <v>500.8</v>
      </c>
      <c r="I82" s="67">
        <f t="shared" si="11"/>
        <v>461</v>
      </c>
      <c r="J82" s="67">
        <f t="shared" si="11"/>
        <v>407.1</v>
      </c>
      <c r="K82" s="67">
        <f t="shared" si="11"/>
        <v>382.5</v>
      </c>
      <c r="L82" s="67">
        <f t="shared" si="11"/>
        <v>379.9</v>
      </c>
      <c r="M82" s="67">
        <f t="shared" si="11"/>
        <v>456</v>
      </c>
      <c r="N82" s="67">
        <f t="shared" si="11"/>
        <v>501</v>
      </c>
      <c r="O82" s="67">
        <f t="shared" si="11"/>
        <v>491.1</v>
      </c>
      <c r="P82" s="67">
        <f t="shared" si="11"/>
        <v>537.5</v>
      </c>
      <c r="Q82" s="67">
        <f t="shared" si="11"/>
        <v>526.9</v>
      </c>
      <c r="R82" s="67">
        <f t="shared" si="11"/>
        <v>571.9</v>
      </c>
      <c r="S82" s="67">
        <f t="shared" si="11"/>
        <v>546.4</v>
      </c>
      <c r="T82" s="67">
        <f t="shared" si="11"/>
        <v>586.70000000000005</v>
      </c>
      <c r="U82" s="67">
        <f t="shared" si="11"/>
        <v>521.1</v>
      </c>
      <c r="V82" s="67">
        <f t="shared" si="11"/>
        <v>509.4</v>
      </c>
      <c r="W82" s="67">
        <f t="shared" si="11"/>
        <v>511.9</v>
      </c>
      <c r="X82" s="67">
        <f t="shared" si="11"/>
        <v>526.5</v>
      </c>
      <c r="Y82" s="67">
        <f t="shared" si="11"/>
        <v>544.9</v>
      </c>
      <c r="Z82" s="67">
        <f t="shared" si="11"/>
        <v>0</v>
      </c>
      <c r="AA82" s="67">
        <f t="shared" si="11"/>
        <v>470.59999999999997</v>
      </c>
      <c r="AB82" s="67">
        <f t="shared" si="11"/>
        <v>477.59999999999997</v>
      </c>
      <c r="AC82" s="67">
        <f t="shared" si="11"/>
        <v>419.59999999999997</v>
      </c>
      <c r="AD82" s="67">
        <f t="shared" si="11"/>
        <v>426.29999999999995</v>
      </c>
      <c r="AE82" s="67">
        <f t="shared" si="11"/>
        <v>437.79999999999995</v>
      </c>
      <c r="AF82" s="67">
        <f t="shared" si="11"/>
        <v>432.3</v>
      </c>
      <c r="AG82" s="95">
        <f>SUM(AG71:AG81)</f>
        <v>0</v>
      </c>
      <c r="AH82" s="52">
        <f t="shared" si="9"/>
        <v>586.70000000000005</v>
      </c>
      <c r="AI82" s="53">
        <f t="shared" si="10"/>
        <v>0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2">B48+B52+B70+B66+B82+B86</f>
        <v>1131.04</v>
      </c>
      <c r="C87" s="102">
        <f t="shared" si="12"/>
        <v>1106.44</v>
      </c>
      <c r="D87" s="102">
        <f t="shared" si="12"/>
        <v>1097.54</v>
      </c>
      <c r="E87" s="102">
        <f t="shared" si="12"/>
        <v>1117.24</v>
      </c>
      <c r="F87" s="102">
        <f t="shared" si="12"/>
        <v>1100.74</v>
      </c>
      <c r="G87" s="102">
        <f t="shared" si="12"/>
        <v>1142.54</v>
      </c>
      <c r="H87" s="102">
        <f t="shared" si="12"/>
        <v>1188.8399999999999</v>
      </c>
      <c r="I87" s="102">
        <f t="shared" si="12"/>
        <v>1221.04</v>
      </c>
      <c r="J87" s="102">
        <f t="shared" si="12"/>
        <v>1340.8400000000001</v>
      </c>
      <c r="K87" s="102">
        <f t="shared" si="12"/>
        <v>1302.3400000000001</v>
      </c>
      <c r="L87" s="102">
        <f t="shared" si="12"/>
        <v>1285.54</v>
      </c>
      <c r="M87" s="102">
        <f t="shared" si="12"/>
        <v>1278.3399999999999</v>
      </c>
      <c r="N87" s="102">
        <f t="shared" si="12"/>
        <v>1236.94</v>
      </c>
      <c r="O87" s="102">
        <f t="shared" si="12"/>
        <v>1227.8400000000001</v>
      </c>
      <c r="P87" s="102">
        <f t="shared" si="12"/>
        <v>1331.44</v>
      </c>
      <c r="Q87" s="102">
        <f t="shared" si="12"/>
        <v>1337.94</v>
      </c>
      <c r="R87" s="102">
        <f t="shared" si="12"/>
        <v>1377.6399999999999</v>
      </c>
      <c r="S87" s="102">
        <f t="shared" si="12"/>
        <v>1330.44</v>
      </c>
      <c r="T87" s="102">
        <f t="shared" si="12"/>
        <v>1365.94</v>
      </c>
      <c r="U87" s="102">
        <f t="shared" si="12"/>
        <v>1247.1399999999999</v>
      </c>
      <c r="V87" s="102">
        <f t="shared" si="12"/>
        <v>1106.6399999999999</v>
      </c>
      <c r="W87" s="102">
        <f t="shared" si="12"/>
        <v>1120.1399999999999</v>
      </c>
      <c r="X87" s="102">
        <f t="shared" si="12"/>
        <v>1121.74</v>
      </c>
      <c r="Y87" s="102">
        <f t="shared" si="12"/>
        <v>1209.54</v>
      </c>
      <c r="Z87" s="102">
        <f t="shared" si="12"/>
        <v>127.84</v>
      </c>
      <c r="AA87" s="102">
        <f t="shared" si="12"/>
        <v>1253.3399999999999</v>
      </c>
      <c r="AB87" s="102">
        <f t="shared" si="12"/>
        <v>1170.44</v>
      </c>
      <c r="AC87" s="102">
        <f t="shared" si="12"/>
        <v>1166.24</v>
      </c>
      <c r="AD87" s="102">
        <f t="shared" si="12"/>
        <v>1199.8399999999999</v>
      </c>
      <c r="AE87" s="102">
        <f t="shared" si="12"/>
        <v>1195.74</v>
      </c>
      <c r="AF87" s="102">
        <f t="shared" si="12"/>
        <v>1116.54</v>
      </c>
      <c r="AG87" s="68">
        <f t="shared" si="12"/>
        <v>2065.09</v>
      </c>
      <c r="AH87" s="52">
        <f>MAX(B87:AF87)</f>
        <v>1377.6399999999999</v>
      </c>
      <c r="AI87" s="53">
        <f>MIN(B87:AF87)</f>
        <v>127.84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120</v>
      </c>
      <c r="L88" s="104">
        <v>120</v>
      </c>
      <c r="M88" s="104">
        <v>120</v>
      </c>
      <c r="N88" s="104">
        <v>120</v>
      </c>
      <c r="O88" s="104">
        <v>120</v>
      </c>
      <c r="P88" s="104"/>
      <c r="Q88" s="104"/>
      <c r="R88" s="104"/>
      <c r="S88" s="104"/>
      <c r="T88" s="104"/>
      <c r="U88" s="104">
        <v>100</v>
      </c>
      <c r="V88" s="104">
        <v>150</v>
      </c>
      <c r="W88" s="104">
        <v>150</v>
      </c>
      <c r="X88" s="104">
        <v>200</v>
      </c>
      <c r="Y88" s="104"/>
      <c r="Z88" s="104"/>
      <c r="AA88" s="104"/>
      <c r="AB88" s="104">
        <v>100</v>
      </c>
      <c r="AC88" s="104">
        <v>100</v>
      </c>
      <c r="AD88" s="104">
        <v>100</v>
      </c>
      <c r="AE88" s="104"/>
      <c r="AF88" s="104"/>
      <c r="AG88" s="95"/>
      <c r="AH88" s="52">
        <f t="shared" si="9"/>
        <v>200</v>
      </c>
      <c r="AI88" s="53">
        <f t="shared" si="10"/>
        <v>100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3">B87+B88</f>
        <v>1131.04</v>
      </c>
      <c r="C89" s="102">
        <f t="shared" si="13"/>
        <v>1106.44</v>
      </c>
      <c r="D89" s="102">
        <f t="shared" si="13"/>
        <v>1097.54</v>
      </c>
      <c r="E89" s="102">
        <f t="shared" si="13"/>
        <v>1117.24</v>
      </c>
      <c r="F89" s="102">
        <f t="shared" si="13"/>
        <v>1100.74</v>
      </c>
      <c r="G89" s="102">
        <f t="shared" si="13"/>
        <v>1142.54</v>
      </c>
      <c r="H89" s="102">
        <f t="shared" si="13"/>
        <v>1188.8399999999999</v>
      </c>
      <c r="I89" s="102">
        <f t="shared" si="13"/>
        <v>1221.04</v>
      </c>
      <c r="J89" s="102">
        <f t="shared" si="13"/>
        <v>1340.8400000000001</v>
      </c>
      <c r="K89" s="102">
        <f t="shared" si="13"/>
        <v>1422.3400000000001</v>
      </c>
      <c r="L89" s="102">
        <f t="shared" si="13"/>
        <v>1405.54</v>
      </c>
      <c r="M89" s="102">
        <f t="shared" si="13"/>
        <v>1398.34</v>
      </c>
      <c r="N89" s="102">
        <f t="shared" si="13"/>
        <v>1356.94</v>
      </c>
      <c r="O89" s="102">
        <f t="shared" si="13"/>
        <v>1347.8400000000001</v>
      </c>
      <c r="P89" s="102">
        <f t="shared" si="13"/>
        <v>1331.44</v>
      </c>
      <c r="Q89" s="102">
        <f t="shared" si="13"/>
        <v>1337.94</v>
      </c>
      <c r="R89" s="102">
        <f t="shared" si="13"/>
        <v>1377.6399999999999</v>
      </c>
      <c r="S89" s="102">
        <f t="shared" si="13"/>
        <v>1330.44</v>
      </c>
      <c r="T89" s="102">
        <f t="shared" si="13"/>
        <v>1365.94</v>
      </c>
      <c r="U89" s="102">
        <f t="shared" si="13"/>
        <v>1347.1399999999999</v>
      </c>
      <c r="V89" s="102">
        <f t="shared" si="13"/>
        <v>1256.6399999999999</v>
      </c>
      <c r="W89" s="102">
        <f t="shared" si="13"/>
        <v>1270.1399999999999</v>
      </c>
      <c r="X89" s="102">
        <f t="shared" si="13"/>
        <v>1321.74</v>
      </c>
      <c r="Y89" s="102">
        <f t="shared" si="13"/>
        <v>1209.54</v>
      </c>
      <c r="Z89" s="102">
        <f t="shared" si="13"/>
        <v>127.84</v>
      </c>
      <c r="AA89" s="102">
        <f t="shared" si="13"/>
        <v>1253.3399999999999</v>
      </c>
      <c r="AB89" s="102">
        <f t="shared" si="13"/>
        <v>1270.44</v>
      </c>
      <c r="AC89" s="102">
        <f t="shared" si="13"/>
        <v>1266.24</v>
      </c>
      <c r="AD89" s="102">
        <f t="shared" si="13"/>
        <v>1299.8399999999999</v>
      </c>
      <c r="AE89" s="102">
        <f t="shared" si="13"/>
        <v>1195.74</v>
      </c>
      <c r="AF89" s="102">
        <f t="shared" si="13"/>
        <v>1116.54</v>
      </c>
      <c r="AG89" s="95">
        <f>AG86+AG82+AG70+AG66+AG48+AG88</f>
        <v>1526.99</v>
      </c>
      <c r="AH89" s="52">
        <f t="shared" si="9"/>
        <v>1422.3400000000001</v>
      </c>
      <c r="AI89" s="53">
        <f t="shared" si="10"/>
        <v>127.84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14">B89-B97</f>
        <v>1131.04</v>
      </c>
      <c r="C90" s="102">
        <f t="shared" si="14"/>
        <v>1106.44</v>
      </c>
      <c r="D90" s="102">
        <f t="shared" si="14"/>
        <v>1097.54</v>
      </c>
      <c r="E90" s="102">
        <f t="shared" si="14"/>
        <v>1117.24</v>
      </c>
      <c r="F90" s="102">
        <f t="shared" si="14"/>
        <v>1100.74</v>
      </c>
      <c r="G90" s="102">
        <f t="shared" si="14"/>
        <v>1142.54</v>
      </c>
      <c r="H90" s="102">
        <f t="shared" si="14"/>
        <v>1188.8399999999999</v>
      </c>
      <c r="I90" s="102">
        <f t="shared" si="14"/>
        <v>1221.04</v>
      </c>
      <c r="J90" s="102">
        <f t="shared" si="14"/>
        <v>1340.8400000000001</v>
      </c>
      <c r="K90" s="102">
        <f t="shared" si="14"/>
        <v>1422.3400000000001</v>
      </c>
      <c r="L90" s="102">
        <f t="shared" si="14"/>
        <v>1405.54</v>
      </c>
      <c r="M90" s="102">
        <f t="shared" si="14"/>
        <v>1398.34</v>
      </c>
      <c r="N90" s="102">
        <f t="shared" si="14"/>
        <v>1356.94</v>
      </c>
      <c r="O90" s="102">
        <f t="shared" si="14"/>
        <v>1347.8400000000001</v>
      </c>
      <c r="P90" s="102">
        <f t="shared" si="14"/>
        <v>1331.44</v>
      </c>
      <c r="Q90" s="102">
        <f t="shared" si="14"/>
        <v>1337.94</v>
      </c>
      <c r="R90" s="102">
        <f t="shared" si="14"/>
        <v>1377.6399999999999</v>
      </c>
      <c r="S90" s="102">
        <f t="shared" si="14"/>
        <v>1330.44</v>
      </c>
      <c r="T90" s="102">
        <f t="shared" si="14"/>
        <v>1365.94</v>
      </c>
      <c r="U90" s="102">
        <f t="shared" si="14"/>
        <v>1347.1399999999999</v>
      </c>
      <c r="V90" s="102">
        <f t="shared" si="14"/>
        <v>1256.6399999999999</v>
      </c>
      <c r="W90" s="102">
        <f t="shared" si="14"/>
        <v>1270.1399999999999</v>
      </c>
      <c r="X90" s="102">
        <f t="shared" si="14"/>
        <v>1321.74</v>
      </c>
      <c r="Y90" s="102">
        <f t="shared" si="14"/>
        <v>1209.54</v>
      </c>
      <c r="Z90" s="102">
        <f t="shared" si="14"/>
        <v>127.84</v>
      </c>
      <c r="AA90" s="102">
        <f t="shared" si="14"/>
        <v>1253.3399999999999</v>
      </c>
      <c r="AB90" s="102">
        <f t="shared" si="14"/>
        <v>1270.44</v>
      </c>
      <c r="AC90" s="102">
        <f t="shared" si="14"/>
        <v>1266.24</v>
      </c>
      <c r="AD90" s="102">
        <f t="shared" si="14"/>
        <v>1299.8399999999999</v>
      </c>
      <c r="AE90" s="102">
        <f t="shared" si="14"/>
        <v>1195.74</v>
      </c>
      <c r="AF90" s="102">
        <f t="shared" si="14"/>
        <v>1116.54</v>
      </c>
      <c r="AG90" s="95"/>
      <c r="AH90" s="52">
        <f t="shared" si="9"/>
        <v>1422.3400000000001</v>
      </c>
      <c r="AI90" s="53">
        <f t="shared" si="10"/>
        <v>127.84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15">B82-B97</f>
        <v>441.3</v>
      </c>
      <c r="C98" s="67">
        <f t="shared" si="15"/>
        <v>473.6</v>
      </c>
      <c r="D98" s="67">
        <f t="shared" si="15"/>
        <v>458</v>
      </c>
      <c r="E98" s="67">
        <f t="shared" si="15"/>
        <v>469.4</v>
      </c>
      <c r="F98" s="67">
        <f t="shared" si="15"/>
        <v>433</v>
      </c>
      <c r="G98" s="67">
        <f t="shared" si="15"/>
        <v>479</v>
      </c>
      <c r="H98" s="67">
        <f t="shared" si="15"/>
        <v>500.8</v>
      </c>
      <c r="I98" s="67">
        <f t="shared" si="15"/>
        <v>461</v>
      </c>
      <c r="J98" s="67">
        <f t="shared" si="15"/>
        <v>407.1</v>
      </c>
      <c r="K98" s="67">
        <f t="shared" si="15"/>
        <v>382.5</v>
      </c>
      <c r="L98" s="67">
        <f t="shared" si="15"/>
        <v>379.9</v>
      </c>
      <c r="M98" s="67">
        <f t="shared" si="15"/>
        <v>456</v>
      </c>
      <c r="N98" s="67">
        <f t="shared" si="15"/>
        <v>501</v>
      </c>
      <c r="O98" s="67">
        <f t="shared" si="15"/>
        <v>491.1</v>
      </c>
      <c r="P98" s="67">
        <f t="shared" si="15"/>
        <v>537.5</v>
      </c>
      <c r="Q98" s="67">
        <f t="shared" si="15"/>
        <v>526.9</v>
      </c>
      <c r="R98" s="67">
        <f t="shared" si="15"/>
        <v>571.9</v>
      </c>
      <c r="S98" s="67">
        <f t="shared" si="15"/>
        <v>546.4</v>
      </c>
      <c r="T98" s="67">
        <f t="shared" si="15"/>
        <v>586.70000000000005</v>
      </c>
      <c r="U98" s="67">
        <f t="shared" si="15"/>
        <v>521.1</v>
      </c>
      <c r="V98" s="67">
        <f t="shared" si="15"/>
        <v>509.4</v>
      </c>
      <c r="W98" s="67">
        <f t="shared" si="15"/>
        <v>511.9</v>
      </c>
      <c r="X98" s="67">
        <f t="shared" si="15"/>
        <v>526.5</v>
      </c>
      <c r="Y98" s="67">
        <f t="shared" si="15"/>
        <v>544.9</v>
      </c>
      <c r="Z98" s="67">
        <f t="shared" si="15"/>
        <v>0</v>
      </c>
      <c r="AA98" s="67">
        <f t="shared" si="15"/>
        <v>470.59999999999997</v>
      </c>
      <c r="AB98" s="67">
        <f t="shared" si="15"/>
        <v>477.59999999999997</v>
      </c>
      <c r="AC98" s="67">
        <f t="shared" si="15"/>
        <v>419.59999999999997</v>
      </c>
      <c r="AD98" s="67">
        <f t="shared" si="15"/>
        <v>426.29999999999995</v>
      </c>
      <c r="AE98" s="67">
        <f t="shared" si="15"/>
        <v>437.79999999999995</v>
      </c>
      <c r="AF98" s="67">
        <f t="shared" si="15"/>
        <v>432.3</v>
      </c>
      <c r="AG98" s="95"/>
      <c r="AH98" s="52">
        <f t="shared" si="9"/>
        <v>586.70000000000005</v>
      </c>
      <c r="AI98" s="53">
        <f t="shared" si="10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49.978999999999999</v>
      </c>
      <c r="C99" s="108">
        <v>49.902999999999999</v>
      </c>
      <c r="D99" s="108">
        <v>49.902999999999999</v>
      </c>
      <c r="E99" s="108">
        <v>49.95</v>
      </c>
      <c r="F99" s="108">
        <v>49.819000000000003</v>
      </c>
      <c r="G99" s="108">
        <v>50.055999999999997</v>
      </c>
      <c r="H99" s="108">
        <v>49.970999999999997</v>
      </c>
      <c r="I99" s="108">
        <v>49.957999999999998</v>
      </c>
      <c r="J99" s="108">
        <v>49.997999999999998</v>
      </c>
      <c r="K99" s="108">
        <v>50.1</v>
      </c>
      <c r="L99" s="108">
        <v>50.02</v>
      </c>
      <c r="M99" s="108">
        <v>50.209000000000003</v>
      </c>
      <c r="N99" s="108">
        <v>50.012</v>
      </c>
      <c r="O99" s="108">
        <v>50.031999999999996</v>
      </c>
      <c r="P99" s="108">
        <v>49.966000000000001</v>
      </c>
      <c r="Q99" s="108">
        <v>49.975999999999999</v>
      </c>
      <c r="R99" s="108">
        <v>50</v>
      </c>
      <c r="S99" s="108">
        <v>50.140999999999998</v>
      </c>
      <c r="T99" s="108">
        <v>50.039000000000001</v>
      </c>
      <c r="U99" s="108">
        <v>49.773000000000003</v>
      </c>
      <c r="V99" s="108">
        <v>49.968000000000004</v>
      </c>
      <c r="W99" s="108">
        <v>50.037999999999997</v>
      </c>
      <c r="X99" s="108">
        <v>50.027000000000001</v>
      </c>
      <c r="Y99" s="108">
        <v>49.875999999999998</v>
      </c>
      <c r="Z99" s="108"/>
      <c r="AA99" s="108">
        <v>50.06</v>
      </c>
      <c r="AB99" s="108">
        <v>50.064</v>
      </c>
      <c r="AC99" s="108">
        <v>50.005000000000003</v>
      </c>
      <c r="AD99" s="108">
        <v>50.012999999999998</v>
      </c>
      <c r="AE99" s="108">
        <v>49.981999999999999</v>
      </c>
      <c r="AF99" s="108">
        <v>50.02</v>
      </c>
      <c r="AG99" s="109"/>
      <c r="AH99" s="52">
        <f t="shared" si="9"/>
        <v>50.209000000000003</v>
      </c>
      <c r="AI99" s="53">
        <f t="shared" si="10"/>
        <v>49.773000000000003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129.4</v>
      </c>
      <c r="C100" s="72">
        <v>127.9</v>
      </c>
      <c r="D100" s="72">
        <v>127.9</v>
      </c>
      <c r="E100" s="72">
        <v>127.9</v>
      </c>
      <c r="F100" s="72">
        <v>127.3</v>
      </c>
      <c r="G100" s="72">
        <v>131.19999999999999</v>
      </c>
      <c r="H100" s="72">
        <v>128.19999999999999</v>
      </c>
      <c r="I100" s="72">
        <v>129</v>
      </c>
      <c r="J100" s="72">
        <v>127.2</v>
      </c>
      <c r="K100" s="72">
        <v>128.19999999999999</v>
      </c>
      <c r="L100" s="72">
        <v>127.8</v>
      </c>
      <c r="M100" s="72">
        <v>129</v>
      </c>
      <c r="N100" s="72">
        <v>127.7</v>
      </c>
      <c r="O100" s="72">
        <v>127.1</v>
      </c>
      <c r="P100" s="72">
        <v>125.3</v>
      </c>
      <c r="Q100" s="72">
        <v>125.5</v>
      </c>
      <c r="R100" s="72">
        <v>125</v>
      </c>
      <c r="S100" s="72">
        <v>126.4</v>
      </c>
      <c r="T100" s="72">
        <v>125.1</v>
      </c>
      <c r="U100" s="72">
        <v>128.30000000000001</v>
      </c>
      <c r="V100" s="72">
        <v>129.30000000000001</v>
      </c>
      <c r="W100" s="72">
        <v>128.9</v>
      </c>
      <c r="X100" s="72">
        <v>128.4</v>
      </c>
      <c r="Y100" s="72">
        <v>128</v>
      </c>
      <c r="Z100" s="72"/>
      <c r="AA100" s="72">
        <v>130.9</v>
      </c>
      <c r="AB100" s="72">
        <v>131.19999999999999</v>
      </c>
      <c r="AC100" s="72">
        <v>130.4</v>
      </c>
      <c r="AD100" s="72">
        <v>129.80000000000001</v>
      </c>
      <c r="AE100" s="72">
        <v>128.69999999999999</v>
      </c>
      <c r="AF100" s="72">
        <v>129.69999999999999</v>
      </c>
      <c r="AG100" s="111"/>
      <c r="AH100" s="52">
        <f t="shared" si="9"/>
        <v>131.19999999999999</v>
      </c>
      <c r="AI100" s="53">
        <f t="shared" si="10"/>
        <v>125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132.69999999999999</v>
      </c>
      <c r="C101" s="72">
        <v>131.9</v>
      </c>
      <c r="D101" s="72">
        <v>131.9</v>
      </c>
      <c r="E101" s="72">
        <v>131.9</v>
      </c>
      <c r="F101" s="72">
        <v>131.19999999999999</v>
      </c>
      <c r="G101" s="72">
        <v>134.30000000000001</v>
      </c>
      <c r="H101" s="72">
        <v>131.9</v>
      </c>
      <c r="I101" s="72">
        <v>131.80000000000001</v>
      </c>
      <c r="J101" s="72">
        <v>130.1</v>
      </c>
      <c r="K101" s="72">
        <v>129.9</v>
      </c>
      <c r="L101" s="72">
        <v>129.69999999999999</v>
      </c>
      <c r="M101" s="72">
        <v>130.30000000000001</v>
      </c>
      <c r="N101" s="72">
        <v>129.4</v>
      </c>
      <c r="O101" s="72">
        <v>129.1</v>
      </c>
      <c r="P101" s="72">
        <v>128.19999999999999</v>
      </c>
      <c r="Q101" s="72">
        <v>128.6</v>
      </c>
      <c r="R101" s="72">
        <v>127.8</v>
      </c>
      <c r="S101" s="72">
        <v>128.1</v>
      </c>
      <c r="T101" s="72">
        <v>128.30000000000001</v>
      </c>
      <c r="U101" s="72">
        <v>129.9</v>
      </c>
      <c r="V101" s="72">
        <v>130.1</v>
      </c>
      <c r="W101" s="72">
        <v>129.9</v>
      </c>
      <c r="X101" s="72">
        <v>129.69999999999999</v>
      </c>
      <c r="Y101" s="72">
        <v>129.19999999999999</v>
      </c>
      <c r="Z101" s="72"/>
      <c r="AA101" s="72">
        <v>132.19999999999999</v>
      </c>
      <c r="AB101" s="72">
        <v>132.9</v>
      </c>
      <c r="AC101" s="72">
        <v>132.6</v>
      </c>
      <c r="AD101" s="72">
        <v>132.80000000000001</v>
      </c>
      <c r="AE101" s="72">
        <v>132.9</v>
      </c>
      <c r="AF101" s="72">
        <v>134.30000000000001</v>
      </c>
      <c r="AG101" s="111"/>
      <c r="AH101" s="52">
        <f t="shared" si="9"/>
        <v>134.30000000000001</v>
      </c>
      <c r="AI101" s="53">
        <f t="shared" si="10"/>
        <v>127.8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131.30000000000001</v>
      </c>
      <c r="C102" s="72">
        <v>131</v>
      </c>
      <c r="D102" s="72">
        <v>131</v>
      </c>
      <c r="E102" s="72">
        <v>131</v>
      </c>
      <c r="F102" s="72">
        <v>132.6</v>
      </c>
      <c r="G102" s="72">
        <v>132.30000000000001</v>
      </c>
      <c r="H102" s="72">
        <v>130.19999999999999</v>
      </c>
      <c r="I102" s="72">
        <v>130</v>
      </c>
      <c r="J102" s="72">
        <v>123.7</v>
      </c>
      <c r="K102" s="72">
        <v>130.9</v>
      </c>
      <c r="L102" s="72">
        <v>129.4</v>
      </c>
      <c r="M102" s="72">
        <v>129.19999999999999</v>
      </c>
      <c r="N102" s="72">
        <v>128.80000000000001</v>
      </c>
      <c r="O102" s="72">
        <v>128.30000000000001</v>
      </c>
      <c r="P102" s="72">
        <v>128</v>
      </c>
      <c r="Q102" s="72">
        <v>126.8</v>
      </c>
      <c r="R102" s="72">
        <v>127.6</v>
      </c>
      <c r="S102" s="72">
        <v>135.19999999999999</v>
      </c>
      <c r="T102" s="72">
        <v>129.69999999999999</v>
      </c>
      <c r="U102" s="72">
        <v>128.6</v>
      </c>
      <c r="V102" s="72">
        <v>131.80000000000001</v>
      </c>
      <c r="W102" s="72">
        <v>131.9</v>
      </c>
      <c r="X102" s="72">
        <v>129.69999999999999</v>
      </c>
      <c r="Y102" s="72">
        <v>128.5</v>
      </c>
      <c r="Z102" s="72"/>
      <c r="AA102" s="72">
        <v>132.5</v>
      </c>
      <c r="AB102" s="72">
        <v>130.9</v>
      </c>
      <c r="AC102" s="72" t="s">
        <v>259</v>
      </c>
      <c r="AD102" s="72">
        <v>129.5</v>
      </c>
      <c r="AE102" s="72">
        <v>128.5</v>
      </c>
      <c r="AF102" s="72">
        <v>128</v>
      </c>
      <c r="AG102" s="111"/>
      <c r="AH102" s="52">
        <f t="shared" si="9"/>
        <v>135.19999999999999</v>
      </c>
      <c r="AI102" s="53">
        <f t="shared" si="10"/>
        <v>123.7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134.30000000000001</v>
      </c>
      <c r="C104" s="113">
        <v>131.1</v>
      </c>
      <c r="D104" s="113">
        <v>131.1</v>
      </c>
      <c r="E104" s="113">
        <v>131.1</v>
      </c>
      <c r="F104" s="113">
        <v>129.4</v>
      </c>
      <c r="G104" s="113">
        <v>135.4</v>
      </c>
      <c r="H104" s="113">
        <v>134.1</v>
      </c>
      <c r="I104" s="113">
        <v>133.19999999999999</v>
      </c>
      <c r="J104" s="113">
        <v>135</v>
      </c>
      <c r="K104" s="113">
        <v>134.9</v>
      </c>
      <c r="L104" s="113">
        <v>134.6</v>
      </c>
      <c r="M104" s="113">
        <v>136</v>
      </c>
      <c r="N104" s="113">
        <v>132</v>
      </c>
      <c r="O104" s="113">
        <v>132.4</v>
      </c>
      <c r="P104" s="113">
        <v>128</v>
      </c>
      <c r="Q104" s="113">
        <v>132</v>
      </c>
      <c r="R104" s="113">
        <v>130</v>
      </c>
      <c r="S104" s="113">
        <v>132.6</v>
      </c>
      <c r="T104" s="113">
        <v>128.1</v>
      </c>
      <c r="U104" s="113">
        <v>131.1</v>
      </c>
      <c r="V104" s="113">
        <v>131.6</v>
      </c>
      <c r="W104" s="113">
        <v>131.69999999999999</v>
      </c>
      <c r="X104" s="113">
        <v>133.1</v>
      </c>
      <c r="Y104" s="113">
        <v>133.6</v>
      </c>
      <c r="Z104" s="113"/>
      <c r="AA104" s="113">
        <v>135</v>
      </c>
      <c r="AB104" s="113">
        <v>134.6</v>
      </c>
      <c r="AC104" s="113">
        <v>134.6</v>
      </c>
      <c r="AD104" s="113">
        <v>134.19999999999999</v>
      </c>
      <c r="AE104" s="113">
        <v>133.6</v>
      </c>
      <c r="AF104" s="113">
        <v>136</v>
      </c>
      <c r="AG104" s="114"/>
      <c r="AH104" s="52">
        <f t="shared" si="9"/>
        <v>136</v>
      </c>
      <c r="AI104" s="53">
        <f t="shared" si="10"/>
        <v>128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>
        <v>126.7</v>
      </c>
      <c r="O105" s="72">
        <v>128</v>
      </c>
      <c r="P105" s="72">
        <v>134.4</v>
      </c>
      <c r="Q105" s="72">
        <v>134.6</v>
      </c>
      <c r="R105" s="72">
        <v>137</v>
      </c>
      <c r="S105" s="72">
        <v>135.19999999999999</v>
      </c>
      <c r="T105" s="72">
        <v>128.69999999999999</v>
      </c>
      <c r="U105" s="72">
        <v>127.9</v>
      </c>
      <c r="V105" s="72">
        <v>130.19999999999999</v>
      </c>
      <c r="W105" s="72">
        <v>129.69999999999999</v>
      </c>
      <c r="X105" s="72">
        <v>131.9</v>
      </c>
      <c r="Y105" s="72">
        <v>130.5</v>
      </c>
      <c r="Z105" s="72"/>
      <c r="AA105" s="72">
        <v>135.30000000000001</v>
      </c>
      <c r="AB105" s="72">
        <v>133.80000000000001</v>
      </c>
      <c r="AC105" s="72">
        <v>134.9</v>
      </c>
      <c r="AD105" s="72">
        <v>134.80000000000001</v>
      </c>
      <c r="AE105" s="72">
        <v>134.80000000000001</v>
      </c>
      <c r="AF105" s="72">
        <v>133.9</v>
      </c>
      <c r="AG105" s="111"/>
      <c r="AH105" s="52">
        <f t="shared" si="9"/>
        <v>137</v>
      </c>
      <c r="AI105" s="53">
        <f t="shared" si="10"/>
        <v>126.7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66.599999999999994</v>
      </c>
      <c r="C106" s="99">
        <v>66.2</v>
      </c>
      <c r="D106" s="99">
        <v>66.2</v>
      </c>
      <c r="E106" s="99">
        <v>66.2</v>
      </c>
      <c r="F106" s="99">
        <v>66</v>
      </c>
      <c r="G106" s="99">
        <v>67.2</v>
      </c>
      <c r="H106" s="99">
        <v>66.2</v>
      </c>
      <c r="I106" s="99">
        <v>66.099999999999994</v>
      </c>
      <c r="J106" s="99">
        <v>65.2</v>
      </c>
      <c r="K106" s="99">
        <v>65.400000000000006</v>
      </c>
      <c r="L106" s="99">
        <v>65.099999999999994</v>
      </c>
      <c r="M106" s="99">
        <v>65.099999999999994</v>
      </c>
      <c r="N106" s="99">
        <v>65.099999999999994</v>
      </c>
      <c r="O106" s="99">
        <v>64.599999999999994</v>
      </c>
      <c r="P106" s="99">
        <v>64.3</v>
      </c>
      <c r="Q106" s="99">
        <v>64.599999999999994</v>
      </c>
      <c r="R106" s="99">
        <v>64.3</v>
      </c>
      <c r="S106" s="99">
        <v>64.900000000000006</v>
      </c>
      <c r="T106" s="99">
        <v>64.900000000000006</v>
      </c>
      <c r="U106" s="99">
        <v>65</v>
      </c>
      <c r="V106" s="99">
        <v>64.8</v>
      </c>
      <c r="W106" s="99">
        <v>64.900000000000006</v>
      </c>
      <c r="X106" s="99">
        <v>64.900000000000006</v>
      </c>
      <c r="Y106" s="99">
        <v>64.8</v>
      </c>
      <c r="Z106" s="99"/>
      <c r="AA106" s="99">
        <v>66.2</v>
      </c>
      <c r="AB106" s="99">
        <v>66.7</v>
      </c>
      <c r="AC106" s="99">
        <v>66.5</v>
      </c>
      <c r="AD106" s="99">
        <v>66.599999999999994</v>
      </c>
      <c r="AE106" s="99">
        <v>66.7</v>
      </c>
      <c r="AF106" s="99">
        <v>67.400000000000006</v>
      </c>
      <c r="AG106" s="115"/>
      <c r="AH106" s="52">
        <f t="shared" si="9"/>
        <v>67.400000000000006</v>
      </c>
      <c r="AI106" s="53">
        <f t="shared" si="10"/>
        <v>64.3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112</v>
      </c>
      <c r="B108" s="118">
        <f t="shared" ref="B108:AF108" si="16">SUM(B18,B24,B27:B28,B56,B58:B59,B61,B63,B109:B113,B135,B141,B147,B156,B158,B170,B177,B180:B181,B188,B190,B192,B196:B198,B200:B202,B207,B213:B214,B216:B218,B226,B231)</f>
        <v>96.999999999999986</v>
      </c>
      <c r="C108" s="118">
        <f t="shared" si="16"/>
        <v>78.739999999999981</v>
      </c>
      <c r="D108" s="118">
        <f t="shared" si="16"/>
        <v>114.93999999999998</v>
      </c>
      <c r="E108" s="118">
        <f t="shared" si="16"/>
        <v>116.74</v>
      </c>
      <c r="F108" s="118">
        <f t="shared" si="16"/>
        <v>123.23999999999998</v>
      </c>
      <c r="G108" s="118">
        <f t="shared" si="16"/>
        <v>147.93999999999997</v>
      </c>
      <c r="H108" s="118">
        <f t="shared" si="16"/>
        <v>176.64</v>
      </c>
      <c r="I108" s="118">
        <f t="shared" si="16"/>
        <v>205.94</v>
      </c>
      <c r="J108" s="118">
        <f t="shared" si="16"/>
        <v>266.53999999999996</v>
      </c>
      <c r="K108" s="118">
        <f t="shared" si="16"/>
        <v>310.33999999999997</v>
      </c>
      <c r="L108" s="118">
        <f t="shared" si="16"/>
        <v>314.14</v>
      </c>
      <c r="M108" s="118">
        <f t="shared" si="16"/>
        <v>309.23999999999995</v>
      </c>
      <c r="N108" s="118">
        <f t="shared" si="16"/>
        <v>276.28999999999996</v>
      </c>
      <c r="O108" s="118">
        <f t="shared" si="16"/>
        <v>284.93999999999994</v>
      </c>
      <c r="P108" s="118">
        <v>42</v>
      </c>
      <c r="Q108" s="118">
        <f t="shared" si="16"/>
        <v>1270.2</v>
      </c>
      <c r="R108" s="118">
        <f t="shared" si="16"/>
        <v>221.5</v>
      </c>
      <c r="S108" s="118">
        <f t="shared" si="16"/>
        <v>220.9</v>
      </c>
      <c r="T108" s="118">
        <f t="shared" si="16"/>
        <v>214.54000000000002</v>
      </c>
      <c r="U108" s="118">
        <f t="shared" si="16"/>
        <v>191.7</v>
      </c>
      <c r="V108" s="118">
        <f t="shared" si="16"/>
        <v>227.5</v>
      </c>
      <c r="W108" s="118">
        <f t="shared" si="16"/>
        <v>236.7</v>
      </c>
      <c r="X108" s="118">
        <f t="shared" si="16"/>
        <v>300.60000000000002</v>
      </c>
      <c r="Y108" s="118">
        <f t="shared" si="16"/>
        <v>308.60000000000002</v>
      </c>
      <c r="Z108" s="118">
        <f t="shared" si="16"/>
        <v>0</v>
      </c>
      <c r="AA108" s="118">
        <f t="shared" si="16"/>
        <v>292.5</v>
      </c>
      <c r="AB108" s="118">
        <f t="shared" si="16"/>
        <v>254.7</v>
      </c>
      <c r="AC108" s="118">
        <f t="shared" si="16"/>
        <v>249.9</v>
      </c>
      <c r="AD108" s="118">
        <f t="shared" si="16"/>
        <v>217.50000000000003</v>
      </c>
      <c r="AE108" s="118">
        <f t="shared" si="16"/>
        <v>170.3</v>
      </c>
      <c r="AF108" s="118">
        <f t="shared" si="16"/>
        <v>125.4</v>
      </c>
      <c r="AG108" s="119"/>
      <c r="AH108" s="52">
        <f t="shared" si="9"/>
        <v>1270.2</v>
      </c>
      <c r="AI108" s="53">
        <f t="shared" si="10"/>
        <v>0</v>
      </c>
    </row>
    <row r="109" spans="1:88" x14ac:dyDescent="0.25">
      <c r="A109" s="107" t="s">
        <v>113</v>
      </c>
      <c r="B109" s="120">
        <v>-22.2</v>
      </c>
      <c r="C109" s="120">
        <v>-28.1</v>
      </c>
      <c r="D109" s="120">
        <v>-29</v>
      </c>
      <c r="E109" s="120">
        <v>-27.6</v>
      </c>
      <c r="F109" s="120">
        <v>-27</v>
      </c>
      <c r="G109" s="120">
        <v>-11.9</v>
      </c>
      <c r="H109" s="120">
        <v>-16.7</v>
      </c>
      <c r="I109" s="120">
        <v>-6.2</v>
      </c>
      <c r="J109" s="120">
        <v>11.2</v>
      </c>
      <c r="K109" s="120">
        <v>18.2</v>
      </c>
      <c r="L109" s="120">
        <v>15.7</v>
      </c>
      <c r="M109" s="120">
        <v>15.4</v>
      </c>
      <c r="N109" s="120">
        <v>7.8</v>
      </c>
      <c r="O109" s="120">
        <v>9.6</v>
      </c>
      <c r="P109" s="120">
        <v>12.1</v>
      </c>
      <c r="Q109" s="120">
        <v>7</v>
      </c>
      <c r="R109" s="120">
        <v>3.8</v>
      </c>
      <c r="S109" s="120">
        <v>9.4</v>
      </c>
      <c r="T109" s="120">
        <v>4.7</v>
      </c>
      <c r="U109" s="120">
        <v>-5</v>
      </c>
      <c r="V109" s="120">
        <v>-19.600000000000001</v>
      </c>
      <c r="W109" s="120">
        <v>-14.3</v>
      </c>
      <c r="X109" s="120">
        <v>1.3</v>
      </c>
      <c r="Y109" s="120">
        <v>7.4</v>
      </c>
      <c r="Z109" s="120"/>
      <c r="AA109" s="120">
        <v>27.3</v>
      </c>
      <c r="AB109" s="120">
        <v>19.3</v>
      </c>
      <c r="AC109" s="120">
        <v>14.3</v>
      </c>
      <c r="AD109" s="120">
        <v>7.3</v>
      </c>
      <c r="AE109" s="120">
        <v>8.1999999999999993</v>
      </c>
      <c r="AF109" s="120">
        <v>-5</v>
      </c>
      <c r="AG109" s="121">
        <v>75</v>
      </c>
      <c r="AH109" s="52">
        <f t="shared" si="9"/>
        <v>27.3</v>
      </c>
      <c r="AI109" s="53">
        <f t="shared" si="10"/>
        <v>-29</v>
      </c>
    </row>
    <row r="110" spans="1:88" x14ac:dyDescent="0.25">
      <c r="A110" s="110" t="s">
        <v>114</v>
      </c>
      <c r="B110" s="122">
        <v>-29.5</v>
      </c>
      <c r="C110" s="122">
        <v>-34.9</v>
      </c>
      <c r="D110" s="122">
        <v>-35.4</v>
      </c>
      <c r="E110" s="122">
        <v>-34.1</v>
      </c>
      <c r="F110" s="122">
        <v>-33.200000000000003</v>
      </c>
      <c r="G110" s="122">
        <v>-14.4</v>
      </c>
      <c r="H110" s="122">
        <v>-22.3</v>
      </c>
      <c r="I110" s="122">
        <v>-9</v>
      </c>
      <c r="J110" s="122">
        <v>14.4</v>
      </c>
      <c r="K110" s="122">
        <v>18.600000000000001</v>
      </c>
      <c r="L110" s="122">
        <v>14.6</v>
      </c>
      <c r="M110" s="122">
        <v>13.5</v>
      </c>
      <c r="N110" s="122">
        <v>4.8499999999999996</v>
      </c>
      <c r="O110" s="122">
        <v>8.1</v>
      </c>
      <c r="P110" s="122">
        <v>12.3</v>
      </c>
      <c r="Q110" s="122">
        <v>6</v>
      </c>
      <c r="R110" s="122">
        <v>1.3</v>
      </c>
      <c r="S110" s="122">
        <v>9.9</v>
      </c>
      <c r="T110" s="122">
        <v>3.2</v>
      </c>
      <c r="U110" s="122">
        <v>-12.8</v>
      </c>
      <c r="V110" s="122">
        <v>-33.9</v>
      </c>
      <c r="W110" s="122">
        <v>-27</v>
      </c>
      <c r="X110" s="122">
        <v>-4.7</v>
      </c>
      <c r="Y110" s="122">
        <v>3.6</v>
      </c>
      <c r="Z110" s="122"/>
      <c r="AA110" s="122">
        <v>31.7</v>
      </c>
      <c r="AB110" s="122">
        <v>19.100000000000001</v>
      </c>
      <c r="AC110" s="122">
        <v>15.4</v>
      </c>
      <c r="AD110" s="122">
        <v>5.4</v>
      </c>
      <c r="AE110" s="122">
        <v>8.9</v>
      </c>
      <c r="AF110" s="122">
        <v>-8</v>
      </c>
      <c r="AG110" s="121">
        <v>240</v>
      </c>
      <c r="AH110" s="52">
        <f t="shared" si="9"/>
        <v>31.7</v>
      </c>
      <c r="AI110" s="53">
        <f t="shared" si="10"/>
        <v>-35.4</v>
      </c>
    </row>
    <row r="111" spans="1:88" x14ac:dyDescent="0.25">
      <c r="A111" s="110" t="s">
        <v>115</v>
      </c>
      <c r="B111" s="122">
        <v>-55</v>
      </c>
      <c r="C111" s="122">
        <v>-69.7</v>
      </c>
      <c r="D111" s="122">
        <v>-33</v>
      </c>
      <c r="E111" s="122">
        <v>-33</v>
      </c>
      <c r="F111" s="122">
        <v>-33</v>
      </c>
      <c r="G111" s="122">
        <v>-25</v>
      </c>
      <c r="H111" s="122">
        <v>-11</v>
      </c>
      <c r="I111" s="122">
        <v>-6</v>
      </c>
      <c r="J111" s="122">
        <v>-1.4</v>
      </c>
      <c r="K111" s="122">
        <v>24</v>
      </c>
      <c r="L111" s="122">
        <v>30</v>
      </c>
      <c r="M111" s="122">
        <f>19.2+13.2</f>
        <v>32.4</v>
      </c>
      <c r="N111" s="122">
        <v>28</v>
      </c>
      <c r="O111" s="122">
        <f>16+12</f>
        <v>28</v>
      </c>
      <c r="P111" s="122">
        <v>7.4</v>
      </c>
      <c r="Q111" s="122">
        <v>8</v>
      </c>
      <c r="R111" s="122">
        <v>8.3000000000000007</v>
      </c>
      <c r="S111" s="122">
        <v>-32</v>
      </c>
      <c r="T111" s="122">
        <v>-26</v>
      </c>
      <c r="U111" s="122">
        <v>-30.7</v>
      </c>
      <c r="V111" s="122">
        <v>38.6</v>
      </c>
      <c r="W111" s="122">
        <v>37.299999999999997</v>
      </c>
      <c r="X111" s="122">
        <v>70.400000000000006</v>
      </c>
      <c r="Y111" s="122">
        <v>54.4</v>
      </c>
      <c r="Z111" s="122"/>
      <c r="AA111" s="122">
        <v>38.1</v>
      </c>
      <c r="AB111" s="122">
        <v>31</v>
      </c>
      <c r="AC111" s="122">
        <v>11</v>
      </c>
      <c r="AD111" s="122">
        <v>-3</v>
      </c>
      <c r="AE111" s="122">
        <v>-28</v>
      </c>
      <c r="AF111" s="122">
        <v>-33</v>
      </c>
      <c r="AG111" s="121">
        <v>240</v>
      </c>
      <c r="AH111" s="52">
        <f t="shared" si="9"/>
        <v>70.400000000000006</v>
      </c>
      <c r="AI111" s="53">
        <f t="shared" si="10"/>
        <v>-69.7</v>
      </c>
    </row>
    <row r="112" spans="1:88" x14ac:dyDescent="0.25">
      <c r="A112" s="110" t="s">
        <v>116</v>
      </c>
      <c r="B112" s="122">
        <v>22</v>
      </c>
      <c r="C112" s="122">
        <v>32.6</v>
      </c>
      <c r="D112" s="122">
        <v>26.9</v>
      </c>
      <c r="E112" s="122">
        <v>28.8</v>
      </c>
      <c r="F112" s="122">
        <v>30</v>
      </c>
      <c r="G112" s="122">
        <v>34.6</v>
      </c>
      <c r="H112" s="122">
        <v>31.8</v>
      </c>
      <c r="I112" s="122">
        <v>38.1</v>
      </c>
      <c r="J112" s="122">
        <v>43.5</v>
      </c>
      <c r="K112" s="122">
        <v>50.2</v>
      </c>
      <c r="L112" s="122">
        <v>51.4</v>
      </c>
      <c r="M112" s="122">
        <v>52.2</v>
      </c>
      <c r="N112" s="122">
        <v>37.299999999999997</v>
      </c>
      <c r="O112" s="122">
        <v>35.6</v>
      </c>
      <c r="P112" s="122">
        <v>39.799999999999997</v>
      </c>
      <c r="Q112" s="122">
        <v>38</v>
      </c>
      <c r="R112" s="122" t="s">
        <v>258</v>
      </c>
      <c r="S112" s="122">
        <v>37.799999999999997</v>
      </c>
      <c r="T112" s="122">
        <v>36.5</v>
      </c>
      <c r="U112" s="122">
        <v>48.3</v>
      </c>
      <c r="V112" s="122">
        <v>51.3</v>
      </c>
      <c r="W112" s="122">
        <v>56</v>
      </c>
      <c r="X112" s="122">
        <v>45.2</v>
      </c>
      <c r="Y112" s="122">
        <v>48.4</v>
      </c>
      <c r="Z112" s="122"/>
      <c r="AA112" s="122">
        <v>48.1</v>
      </c>
      <c r="AB112" s="122">
        <v>43</v>
      </c>
      <c r="AC112" s="122">
        <v>51</v>
      </c>
      <c r="AD112" s="122">
        <v>44.2</v>
      </c>
      <c r="AE112" s="122">
        <v>36</v>
      </c>
      <c r="AF112" s="122">
        <v>33.200000000000003</v>
      </c>
      <c r="AG112" s="121">
        <v>60</v>
      </c>
      <c r="AH112" s="52">
        <f t="shared" si="9"/>
        <v>56</v>
      </c>
      <c r="AI112" s="53">
        <f t="shared" si="10"/>
        <v>22</v>
      </c>
    </row>
    <row r="113" spans="1:37" x14ac:dyDescent="0.25">
      <c r="A113" s="123" t="s">
        <v>117</v>
      </c>
      <c r="B113" s="124">
        <v>90.8</v>
      </c>
      <c r="C113" s="124">
        <v>87</v>
      </c>
      <c r="D113" s="124">
        <v>90.3</v>
      </c>
      <c r="E113" s="124">
        <v>87.5</v>
      </c>
      <c r="F113" s="124">
        <v>91.3</v>
      </c>
      <c r="G113" s="124">
        <v>70</v>
      </c>
      <c r="H113" s="124">
        <v>100.7</v>
      </c>
      <c r="I113" s="124">
        <v>94.9</v>
      </c>
      <c r="J113" s="124">
        <v>104.7</v>
      </c>
      <c r="K113" s="124">
        <v>105.7</v>
      </c>
      <c r="L113" s="124">
        <v>108.6</v>
      </c>
      <c r="M113" s="124">
        <v>101.9</v>
      </c>
      <c r="N113" s="124">
        <v>104.5</v>
      </c>
      <c r="O113" s="124">
        <v>101.8</v>
      </c>
      <c r="P113" s="124">
        <v>91.3</v>
      </c>
      <c r="Q113" s="124">
        <v>1112</v>
      </c>
      <c r="R113" s="124">
        <v>108.9</v>
      </c>
      <c r="S113" s="124">
        <v>104</v>
      </c>
      <c r="T113" s="124">
        <v>109.54</v>
      </c>
      <c r="U113" s="124">
        <v>111.1</v>
      </c>
      <c r="V113" s="124">
        <v>114</v>
      </c>
      <c r="W113" s="124">
        <v>107.6</v>
      </c>
      <c r="X113" s="124">
        <v>113.9</v>
      </c>
      <c r="Y113" s="124">
        <v>120.3</v>
      </c>
      <c r="Z113" s="124"/>
      <c r="AA113" s="124">
        <v>72.8</v>
      </c>
      <c r="AB113" s="124">
        <v>66.099999999999994</v>
      </c>
      <c r="AC113" s="124">
        <v>82</v>
      </c>
      <c r="AD113" s="124">
        <v>87.4</v>
      </c>
      <c r="AE113" s="124">
        <v>73</v>
      </c>
      <c r="AF113" s="124">
        <v>66</v>
      </c>
      <c r="AG113" s="125">
        <v>120</v>
      </c>
      <c r="AH113" s="52">
        <f t="shared" si="9"/>
        <v>1112</v>
      </c>
      <c r="AI113" s="53">
        <f t="shared" si="10"/>
        <v>66</v>
      </c>
    </row>
    <row r="114" spans="1:37" x14ac:dyDescent="0.25">
      <c r="A114" s="123" t="s">
        <v>118</v>
      </c>
      <c r="B114" s="124">
        <v>96.4</v>
      </c>
      <c r="C114" s="124">
        <v>102.3</v>
      </c>
      <c r="D114" s="124">
        <v>104</v>
      </c>
      <c r="E114" s="124">
        <v>100.9</v>
      </c>
      <c r="F114" s="124">
        <v>105.8</v>
      </c>
      <c r="G114" s="124">
        <v>83</v>
      </c>
      <c r="H114" s="124">
        <v>103.5</v>
      </c>
      <c r="I114" s="124">
        <v>92.7</v>
      </c>
      <c r="J114" s="124">
        <v>90</v>
      </c>
      <c r="K114" s="124">
        <v>90</v>
      </c>
      <c r="L114" s="124">
        <v>88</v>
      </c>
      <c r="M114" s="124">
        <v>86.3</v>
      </c>
      <c r="N114" s="124">
        <v>88.6</v>
      </c>
      <c r="O114" s="124">
        <v>87</v>
      </c>
      <c r="P114" s="124">
        <v>86.6</v>
      </c>
      <c r="Q114" s="124">
        <v>105</v>
      </c>
      <c r="R114" s="124">
        <v>104.5</v>
      </c>
      <c r="S114" s="124">
        <v>98.9</v>
      </c>
      <c r="T114" s="124">
        <v>103.4</v>
      </c>
      <c r="U114" s="124">
        <v>99</v>
      </c>
      <c r="V114" s="124">
        <v>89</v>
      </c>
      <c r="W114" s="124">
        <v>81.5</v>
      </c>
      <c r="X114" s="124">
        <v>85.1</v>
      </c>
      <c r="Y114" s="124">
        <v>81.3</v>
      </c>
      <c r="Z114" s="124"/>
      <c r="AA114" s="124">
        <v>46</v>
      </c>
      <c r="AB114" s="124">
        <v>44</v>
      </c>
      <c r="AC114" s="124">
        <v>70</v>
      </c>
      <c r="AD114" s="124">
        <v>81</v>
      </c>
      <c r="AE114" s="124">
        <v>78</v>
      </c>
      <c r="AF114" s="124">
        <v>76</v>
      </c>
      <c r="AG114" s="125"/>
      <c r="AH114" s="52">
        <f t="shared" si="9"/>
        <v>105.8</v>
      </c>
      <c r="AI114" s="53">
        <f t="shared" si="10"/>
        <v>44</v>
      </c>
    </row>
    <row r="115" spans="1:37" x14ac:dyDescent="0.25">
      <c r="A115" s="123" t="s">
        <v>119</v>
      </c>
      <c r="B115" s="124">
        <v>44.1</v>
      </c>
      <c r="C115" s="124"/>
      <c r="D115" s="124">
        <v>49.4</v>
      </c>
      <c r="E115" s="124">
        <v>46.5</v>
      </c>
      <c r="F115" s="124">
        <v>48.6</v>
      </c>
      <c r="G115" s="124">
        <v>34</v>
      </c>
      <c r="H115" s="124"/>
      <c r="I115" s="124"/>
      <c r="J115" s="124"/>
      <c r="K115" s="124"/>
      <c r="L115" s="124"/>
      <c r="M115" s="124"/>
      <c r="N115" s="124"/>
      <c r="O115" s="124"/>
      <c r="P115" s="124">
        <v>19</v>
      </c>
      <c r="Q115" s="124"/>
      <c r="R115" s="124"/>
      <c r="S115" s="124">
        <v>23</v>
      </c>
      <c r="T115" s="124"/>
      <c r="U115" s="124">
        <v>28.5</v>
      </c>
      <c r="V115" s="124">
        <v>29</v>
      </c>
      <c r="W115" s="124">
        <v>30.5</v>
      </c>
      <c r="X115" s="124">
        <v>18.899999999999999</v>
      </c>
      <c r="Y115" s="124">
        <v>28.5</v>
      </c>
      <c r="Z115" s="124"/>
      <c r="AA115" s="124">
        <v>4.4000000000000004</v>
      </c>
      <c r="AB115" s="124"/>
      <c r="AC115" s="124">
        <v>10</v>
      </c>
      <c r="AD115" s="124"/>
      <c r="AE115" s="124">
        <v>25.3</v>
      </c>
      <c r="AF115" s="124">
        <v>25</v>
      </c>
      <c r="AG115" s="126"/>
      <c r="AH115" s="52">
        <f t="shared" si="9"/>
        <v>49.4</v>
      </c>
      <c r="AI115" s="53">
        <f t="shared" si="10"/>
        <v>4.4000000000000004</v>
      </c>
    </row>
    <row r="116" spans="1:37" x14ac:dyDescent="0.25">
      <c r="A116" s="127" t="s">
        <v>120</v>
      </c>
      <c r="B116" s="113">
        <v>10.6</v>
      </c>
      <c r="C116" s="113">
        <v>15.7</v>
      </c>
      <c r="D116" s="113">
        <v>25</v>
      </c>
      <c r="E116" s="113">
        <v>25.4</v>
      </c>
      <c r="F116" s="113">
        <v>23.5</v>
      </c>
      <c r="G116" s="113">
        <v>16.2</v>
      </c>
      <c r="H116" s="113">
        <v>4.3</v>
      </c>
      <c r="I116" s="113">
        <v>-7.3</v>
      </c>
      <c r="J116" s="113">
        <v>-20.399999999999999</v>
      </c>
      <c r="K116" s="113">
        <v>-38.1</v>
      </c>
      <c r="L116" s="113">
        <v>-42.6</v>
      </c>
      <c r="M116" s="113">
        <v>-38.6</v>
      </c>
      <c r="N116" s="113">
        <v>-21.2</v>
      </c>
      <c r="O116" s="113">
        <v>-25</v>
      </c>
      <c r="P116" s="113">
        <v>-33.4</v>
      </c>
      <c r="Q116" s="113">
        <v>-15</v>
      </c>
      <c r="R116" s="113">
        <v>-9.1999999999999993</v>
      </c>
      <c r="S116" s="113">
        <v>-26.9</v>
      </c>
      <c r="T116" s="113">
        <v>-24.5</v>
      </c>
      <c r="U116" s="113">
        <v>-20.2</v>
      </c>
      <c r="V116" s="113">
        <v>-29.6</v>
      </c>
      <c r="W116" s="113">
        <v>-37</v>
      </c>
      <c r="X116" s="113">
        <v>-47.1</v>
      </c>
      <c r="Y116" s="113">
        <v>-68.5</v>
      </c>
      <c r="Z116" s="113"/>
      <c r="AA116" s="113">
        <v>-48.6</v>
      </c>
      <c r="AB116" s="113">
        <v>-35</v>
      </c>
      <c r="AC116" s="113">
        <v>-34</v>
      </c>
      <c r="AD116" s="113">
        <v>-21</v>
      </c>
      <c r="AE116" s="113">
        <v>-7.7</v>
      </c>
      <c r="AF116" s="113">
        <v>-1</v>
      </c>
      <c r="AG116" s="126"/>
      <c r="AH116" s="52">
        <f t="shared" si="9"/>
        <v>25.4</v>
      </c>
      <c r="AI116" s="53">
        <f t="shared" si="10"/>
        <v>-68.5</v>
      </c>
    </row>
    <row r="117" spans="1:37" ht="15.75" thickBot="1" x14ac:dyDescent="0.3">
      <c r="A117" s="127" t="s">
        <v>121</v>
      </c>
      <c r="B117" s="113">
        <v>69.5</v>
      </c>
      <c r="C117" s="113">
        <v>66.7</v>
      </c>
      <c r="D117" s="113">
        <v>67.900000000000006</v>
      </c>
      <c r="E117" s="113">
        <v>68</v>
      </c>
      <c r="F117" s="113">
        <v>59.2</v>
      </c>
      <c r="G117" s="113">
        <v>68.3</v>
      </c>
      <c r="H117" s="113">
        <v>73.5</v>
      </c>
      <c r="I117" s="113">
        <v>71</v>
      </c>
      <c r="J117" s="113">
        <v>80.099999999999994</v>
      </c>
      <c r="K117" s="113">
        <v>73</v>
      </c>
      <c r="L117" s="113">
        <v>74.099999999999994</v>
      </c>
      <c r="M117" s="113">
        <v>75</v>
      </c>
      <c r="N117" s="113">
        <v>88.4</v>
      </c>
      <c r="O117" s="113">
        <v>89.2</v>
      </c>
      <c r="P117" s="113">
        <v>86.4</v>
      </c>
      <c r="Q117" s="113">
        <v>100</v>
      </c>
      <c r="R117" s="113">
        <v>98.2</v>
      </c>
      <c r="S117" s="113">
        <v>99.9</v>
      </c>
      <c r="T117" s="113">
        <v>96.8</v>
      </c>
      <c r="U117" s="113">
        <v>74.599999999999994</v>
      </c>
      <c r="V117" s="113">
        <v>63.9</v>
      </c>
      <c r="W117" s="113">
        <v>65</v>
      </c>
      <c r="X117" s="113">
        <v>68</v>
      </c>
      <c r="Y117" s="113">
        <v>86.4</v>
      </c>
      <c r="Z117" s="113"/>
      <c r="AA117" s="113">
        <v>81.099999999999994</v>
      </c>
      <c r="AB117" s="113">
        <v>76</v>
      </c>
      <c r="AC117" s="113">
        <v>75</v>
      </c>
      <c r="AD117" s="113">
        <v>81</v>
      </c>
      <c r="AE117" s="113">
        <v>83</v>
      </c>
      <c r="AF117" s="113">
        <v>75</v>
      </c>
      <c r="AG117" s="126"/>
      <c r="AH117" s="52">
        <f t="shared" si="9"/>
        <v>100</v>
      </c>
      <c r="AI117" s="53">
        <f t="shared" si="10"/>
        <v>59.2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1422.3400000000001</v>
      </c>
      <c r="C241" s="170">
        <f>INDEX(G9:N9,1,MATCH(MAX(G89:N89),G89:N89,0))</f>
        <v>0.29166666666666669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13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2079/12/13)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2079/12/13)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1">B89</f>
        <v>1131.04</v>
      </c>
      <c r="U246" s="180">
        <f t="shared" si="21"/>
        <v>1106.44</v>
      </c>
      <c r="V246" s="180">
        <f t="shared" si="21"/>
        <v>1097.54</v>
      </c>
      <c r="W246" s="180">
        <f t="shared" si="21"/>
        <v>1117.24</v>
      </c>
      <c r="X246" s="180">
        <f t="shared" si="21"/>
        <v>1100.74</v>
      </c>
      <c r="Y246" s="180">
        <f t="shared" si="21"/>
        <v>1142.54</v>
      </c>
      <c r="Z246" s="180">
        <f t="shared" si="21"/>
        <v>1188.8399999999999</v>
      </c>
      <c r="AA246" s="180">
        <f t="shared" si="21"/>
        <v>1221.04</v>
      </c>
      <c r="AB246" s="180">
        <f t="shared" si="21"/>
        <v>1340.8400000000001</v>
      </c>
      <c r="AC246" s="180">
        <f t="shared" si="21"/>
        <v>1422.3400000000001</v>
      </c>
      <c r="AD246" s="180">
        <f t="shared" si="21"/>
        <v>1405.54</v>
      </c>
      <c r="AE246" s="180">
        <f t="shared" si="21"/>
        <v>1398.34</v>
      </c>
      <c r="AF246" s="180">
        <f t="shared" si="21"/>
        <v>1356.94</v>
      </c>
      <c r="AG246" s="180">
        <f t="shared" si="21"/>
        <v>1347.8400000000001</v>
      </c>
      <c r="AH246" s="180">
        <f t="shared" si="21"/>
        <v>1331.44</v>
      </c>
      <c r="AI246" s="180">
        <f t="shared" si="21"/>
        <v>1337.94</v>
      </c>
      <c r="AJ246" s="180">
        <f t="shared" si="21"/>
        <v>1377.6399999999999</v>
      </c>
      <c r="AK246" s="180">
        <f t="shared" si="21"/>
        <v>1330.44</v>
      </c>
      <c r="AL246" s="180">
        <f t="shared" si="21"/>
        <v>1365.94</v>
      </c>
      <c r="AM246" s="180">
        <f t="shared" si="21"/>
        <v>1347.1399999999999</v>
      </c>
      <c r="AN246" s="180">
        <f t="shared" si="21"/>
        <v>1256.6399999999999</v>
      </c>
      <c r="AO246" s="180">
        <f t="shared" si="21"/>
        <v>1270.1399999999999</v>
      </c>
      <c r="AP246" s="180">
        <f t="shared" si="21"/>
        <v>1321.74</v>
      </c>
      <c r="AQ246" s="180">
        <f t="shared" si="21"/>
        <v>1209.54</v>
      </c>
      <c r="AR246" s="180">
        <f t="shared" si="21"/>
        <v>127.84</v>
      </c>
      <c r="AS246" s="180">
        <f t="shared" si="21"/>
        <v>1253.3399999999999</v>
      </c>
      <c r="AT246" s="180">
        <f t="shared" si="21"/>
        <v>1270.44</v>
      </c>
      <c r="AU246" s="180">
        <f t="shared" si="21"/>
        <v>1266.24</v>
      </c>
      <c r="AV246" s="180">
        <f t="shared" si="21"/>
        <v>1299.8399999999999</v>
      </c>
      <c r="AW246" s="180">
        <f t="shared" si="21"/>
        <v>1195.74</v>
      </c>
      <c r="AX246" s="180">
        <f t="shared" si="21"/>
        <v>1116.54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51">
    <mergeCell ref="Z53:Z56"/>
    <mergeCell ref="Z59:Z62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7514" priority="384">
      <formula>B$9&gt;=20/24</formula>
    </cfRule>
    <cfRule type="expression" dxfId="7513" priority="385">
      <formula>AND(B$9&gt;=14/24,B$9&lt;20/24)</formula>
    </cfRule>
    <cfRule type="expression" dxfId="7512" priority="386">
      <formula>AND(B$9&gt;=8/24,B$9&lt;14/24)</formula>
    </cfRule>
    <cfRule type="expression" dxfId="7511" priority="387">
      <formula>B$9&lt;8/24</formula>
    </cfRule>
  </conditionalFormatting>
  <conditionalFormatting sqref="AL4:AL6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7510" priority="38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7509" priority="381">
      <formula>$AH12=0</formula>
    </cfRule>
  </conditionalFormatting>
  <conditionalFormatting sqref="A114">
    <cfRule type="expression" dxfId="7508" priority="380">
      <formula>$AH114=0</formula>
    </cfRule>
  </conditionalFormatting>
  <conditionalFormatting sqref="AL42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7507" priority="378">
      <formula>$AH45=0</formula>
    </cfRule>
  </conditionalFormatting>
  <conditionalFormatting sqref="A98">
    <cfRule type="expression" dxfId="7506" priority="377">
      <formula>$AH98=0</formula>
    </cfRule>
  </conditionalFormatting>
  <conditionalFormatting sqref="A18">
    <cfRule type="expression" dxfId="7505" priority="376">
      <formula>$AH18=0</formula>
    </cfRule>
  </conditionalFormatting>
  <conditionalFormatting sqref="A196:A201">
    <cfRule type="expression" dxfId="7504" priority="375">
      <formula>$AH196=0</formula>
    </cfRule>
  </conditionalFormatting>
  <conditionalFormatting sqref="A190:A195">
    <cfRule type="expression" dxfId="7503" priority="374">
      <formula>$AH190=0</formula>
    </cfRule>
  </conditionalFormatting>
  <conditionalFormatting sqref="A58">
    <cfRule type="expression" dxfId="7502" priority="373">
      <formula>$AH58=0</formula>
    </cfRule>
  </conditionalFormatting>
  <conditionalFormatting sqref="A94">
    <cfRule type="expression" dxfId="7501" priority="372">
      <formula>$AH94=0</formula>
    </cfRule>
  </conditionalFormatting>
  <conditionalFormatting sqref="AD99:AF99 F99:X99">
    <cfRule type="expression" dxfId="7500" priority="368">
      <formula>F$9&gt;=20/24</formula>
    </cfRule>
    <cfRule type="expression" dxfId="7499" priority="369">
      <formula>AND(F$9&gt;=14/24,F$9&lt;20/24)</formula>
    </cfRule>
    <cfRule type="expression" dxfId="7498" priority="370">
      <formula>AND(F$9&gt;=8/24,F$9&lt;14/24)</formula>
    </cfRule>
    <cfRule type="expression" dxfId="7497" priority="371">
      <formula>F$9&lt;8/24</formula>
    </cfRule>
  </conditionalFormatting>
  <conditionalFormatting sqref="AL43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496" priority="390">
      <formula>C$9&gt;=20/24</formula>
    </cfRule>
    <cfRule type="expression" dxfId="7495" priority="391">
      <formula>AND(C$9&gt;=14/24,C$9&lt;20/24)</formula>
    </cfRule>
    <cfRule type="expression" dxfId="7494" priority="392">
      <formula>AND(C$9&gt;=8/24,C$9&lt;14/24)</formula>
    </cfRule>
    <cfRule type="expression" dxfId="7493" priority="393">
      <formula>C$9&lt;8/24</formula>
    </cfRule>
  </conditionalFormatting>
  <conditionalFormatting sqref="A233">
    <cfRule type="expression" dxfId="7492" priority="394">
      <formula>$AH233=0</formula>
    </cfRule>
  </conditionalFormatting>
  <conditionalFormatting sqref="AG245">
    <cfRule type="expression" dxfId="7491" priority="395">
      <formula>B$9&gt;=20/24</formula>
    </cfRule>
    <cfRule type="expression" dxfId="7490" priority="396">
      <formula>AND(B$9&gt;=14/24,B$9&lt;20/24)</formula>
    </cfRule>
    <cfRule type="expression" dxfId="7489" priority="397">
      <formula>AND(B$9&gt;=8/24,B$9&lt;14/24)</formula>
    </cfRule>
    <cfRule type="expression" dxfId="7488" priority="398">
      <formula>B$9&lt;8/24</formula>
    </cfRule>
  </conditionalFormatting>
  <conditionalFormatting sqref="S8">
    <cfRule type="expression" dxfId="7487" priority="363">
      <formula>U$9&gt;=20/24</formula>
    </cfRule>
    <cfRule type="expression" dxfId="7486" priority="364">
      <formula>AND(U$9&gt;=14/24,U$9&lt;20/24)</formula>
    </cfRule>
    <cfRule type="expression" dxfId="7485" priority="365">
      <formula>AND(U$9&gt;=8/24,U$9&lt;14/24)</formula>
    </cfRule>
    <cfRule type="expression" dxfId="7484" priority="366">
      <formula>U$9&lt;8/24</formula>
    </cfRule>
  </conditionalFormatting>
  <conditionalFormatting sqref="AB8">
    <cfRule type="expression" dxfId="7483" priority="359">
      <formula>AD$9&gt;=20/24</formula>
    </cfRule>
    <cfRule type="expression" dxfId="7482" priority="360">
      <formula>AND(AD$9&gt;=14/24,AD$9&lt;20/24)</formula>
    </cfRule>
    <cfRule type="expression" dxfId="7481" priority="361">
      <formula>AND(AD$9&gt;=8/24,AD$9&lt;14/24)</formula>
    </cfRule>
    <cfRule type="expression" dxfId="7480" priority="362">
      <formula>AD$9&lt;8/24</formula>
    </cfRule>
  </conditionalFormatting>
  <conditionalFormatting sqref="AH245:AX245">
    <cfRule type="expression" dxfId="7479" priority="399">
      <formula>AG$9&gt;=20/24</formula>
    </cfRule>
    <cfRule type="expression" dxfId="7478" priority="400">
      <formula>AND(AG$9&gt;=14/24,AG$9&lt;20/24)</formula>
    </cfRule>
    <cfRule type="expression" dxfId="7477" priority="401">
      <formula>AND(AG$9&gt;=8/24,AG$9&lt;14/24)</formula>
    </cfRule>
    <cfRule type="expression" dxfId="7476" priority="402">
      <formula>AG$9&lt;8/24</formula>
    </cfRule>
  </conditionalFormatting>
  <conditionalFormatting sqref="T245">
    <cfRule type="expression" dxfId="7475" priority="403">
      <formula>AX$9&gt;=20/24</formula>
    </cfRule>
    <cfRule type="expression" dxfId="7474" priority="404">
      <formula>AND(AX$9&gt;=14/24,AX$9&lt;20/24)</formula>
    </cfRule>
    <cfRule type="expression" dxfId="7473" priority="405">
      <formula>AND(AX$9&gt;=8/24,AX$9&lt;14/24)</formula>
    </cfRule>
    <cfRule type="expression" dxfId="7472" priority="406">
      <formula>AX$9&lt;8/24</formula>
    </cfRule>
  </conditionalFormatting>
  <conditionalFormatting sqref="A115:A116">
    <cfRule type="expression" dxfId="7471" priority="358">
      <formula>$AH115=0</formula>
    </cfRule>
  </conditionalFormatting>
  <conditionalFormatting sqref="N54:N55 M56:N57 P54:Q55 O54:O57 Q56:Q58 P56:P57 R57:R58 E71:AF71">
    <cfRule type="expression" dxfId="7470" priority="354">
      <formula>E$9&gt;=20/24</formula>
    </cfRule>
    <cfRule type="expression" dxfId="7469" priority="355">
      <formula>AND(E$9&gt;=14/24,E$9&lt;20/24)</formula>
    </cfRule>
    <cfRule type="expression" dxfId="7468" priority="356">
      <formula>AND(E$9&gt;=8/24,E$9&lt;14/24)</formula>
    </cfRule>
    <cfRule type="expression" dxfId="7467" priority="357">
      <formula>E$9&lt;8/24</formula>
    </cfRule>
  </conditionalFormatting>
  <conditionalFormatting sqref="N53:Q53">
    <cfRule type="expression" dxfId="7466" priority="350">
      <formula>N$9&gt;=20/24</formula>
    </cfRule>
    <cfRule type="expression" dxfId="7465" priority="351">
      <formula>AND(N$9&gt;=14/24,N$9&lt;20/24)</formula>
    </cfRule>
    <cfRule type="expression" dxfId="7464" priority="352">
      <formula>AND(N$9&gt;=8/24,N$9&lt;14/24)</formula>
    </cfRule>
    <cfRule type="expression" dxfId="7463" priority="353">
      <formula>N$9&lt;8/24</formula>
    </cfRule>
  </conditionalFormatting>
  <conditionalFormatting sqref="N53:N55 M56:N57 P53:Q55 O53:O57 Q56:Q58 P56:P57 R57:R58">
    <cfRule type="expression" dxfId="7462" priority="349">
      <formula>M53&gt;$AG53</formula>
    </cfRule>
  </conditionalFormatting>
  <conditionalFormatting sqref="D86:AF86 N100:X106 X96:AF96 AD100:AF106 Y47:AF47 E72:X73 X67:AF69 Y72:AF74">
    <cfRule type="expression" dxfId="7461" priority="345">
      <formula>D$9&gt;=20/24</formula>
    </cfRule>
    <cfRule type="expression" dxfId="7460" priority="346">
      <formula>AND(D$9&gt;=14/24,D$9&lt;20/24)</formula>
    </cfRule>
    <cfRule type="expression" dxfId="7459" priority="347">
      <formula>AND(D$9&gt;=8/24,D$9&lt;14/24)</formula>
    </cfRule>
    <cfRule type="expression" dxfId="7458" priority="348">
      <formula>D$9&lt;8/24</formula>
    </cfRule>
  </conditionalFormatting>
  <conditionalFormatting sqref="Y47:AF47 X67:AF69">
    <cfRule type="expression" dxfId="7457" priority="344">
      <formula>X47&gt;$AG47</formula>
    </cfRule>
  </conditionalFormatting>
  <conditionalFormatting sqref="R53:AA53 S57:AA58 AB53:AF58 R54:Y56 AA54:AA56">
    <cfRule type="expression" dxfId="7456" priority="340">
      <formula>R$9&gt;=20/24</formula>
    </cfRule>
    <cfRule type="expression" dxfId="7455" priority="341">
      <formula>AND(R$9&gt;=14/24,R$9&lt;20/24)</formula>
    </cfRule>
    <cfRule type="expression" dxfId="7454" priority="342">
      <formula>AND(R$9&gt;=8/24,R$9&lt;14/24)</formula>
    </cfRule>
    <cfRule type="expression" dxfId="7453" priority="343">
      <formula>R$9&lt;8/24</formula>
    </cfRule>
  </conditionalFormatting>
  <conditionalFormatting sqref="R53:AA53 S57:AA58 AB53:AF58 R54:Y56 AA54:AA56">
    <cfRule type="expression" dxfId="7452" priority="339">
      <formula>R53&gt;$AG53</formula>
    </cfRule>
  </conditionalFormatting>
  <conditionalFormatting sqref="C97:AF97 D88:AF88">
    <cfRule type="expression" dxfId="7451" priority="335">
      <formula>C$9&gt;=20/24</formula>
    </cfRule>
    <cfRule type="expression" dxfId="7450" priority="336">
      <formula>AND(C$9&gt;=14/24,C$9&lt;20/24)</formula>
    </cfRule>
    <cfRule type="expression" dxfId="7449" priority="337">
      <formula>AND(C$9&gt;=8/24,C$9&lt;14/24)</formula>
    </cfRule>
    <cfRule type="expression" dxfId="7448" priority="338">
      <formula>C$9&lt;8/24</formula>
    </cfRule>
  </conditionalFormatting>
  <conditionalFormatting sqref="E54:M55">
    <cfRule type="expression" dxfId="7447" priority="326">
      <formula>E$9&gt;=20/24</formula>
    </cfRule>
    <cfRule type="expression" dxfId="7446" priority="327">
      <formula>AND(E$9&gt;=14/24,E$9&lt;20/24)</formula>
    </cfRule>
    <cfRule type="expression" dxfId="7445" priority="328">
      <formula>AND(E$9&gt;=8/24,E$9&lt;14/24)</formula>
    </cfRule>
    <cfRule type="expression" dxfId="7444" priority="329">
      <formula>E$9&lt;8/24</formula>
    </cfRule>
  </conditionalFormatting>
  <conditionalFormatting sqref="E53:M53">
    <cfRule type="expression" dxfId="7443" priority="322">
      <formula>E$9&gt;=20/24</formula>
    </cfRule>
    <cfRule type="expression" dxfId="7442" priority="323">
      <formula>AND(E$9&gt;=14/24,E$9&lt;20/24)</formula>
    </cfRule>
    <cfRule type="expression" dxfId="7441" priority="324">
      <formula>AND(E$9&gt;=8/24,E$9&lt;14/24)</formula>
    </cfRule>
    <cfRule type="expression" dxfId="7440" priority="325">
      <formula>E$9&lt;8/24</formula>
    </cfRule>
  </conditionalFormatting>
  <conditionalFormatting sqref="E53:M55">
    <cfRule type="expression" dxfId="7439" priority="321">
      <formula>E53&gt;$AG53</formula>
    </cfRule>
  </conditionalFormatting>
  <conditionalFormatting sqref="AG70 AG87 F100:M106 Q67:W69">
    <cfRule type="expression" dxfId="7438" priority="317">
      <formula>F$9&gt;=20/24</formula>
    </cfRule>
    <cfRule type="expression" dxfId="7437" priority="318">
      <formula>AND(F$9&gt;=14/24,F$9&lt;20/24)</formula>
    </cfRule>
    <cfRule type="expression" dxfId="7436" priority="319">
      <formula>AND(F$9&gt;=8/24,F$9&lt;14/24)</formula>
    </cfRule>
    <cfRule type="expression" dxfId="7435" priority="320">
      <formula>F$9&lt;8/24</formula>
    </cfRule>
  </conditionalFormatting>
  <conditionalFormatting sqref="AG48 AG66 AG70 Q67:W69">
    <cfRule type="expression" dxfId="7434" priority="316">
      <formula>Q48&gt;$AG48</formula>
    </cfRule>
  </conditionalFormatting>
  <conditionalFormatting sqref="A43">
    <cfRule type="expression" dxfId="7433" priority="310">
      <formula>$AH43=0</formula>
    </cfRule>
  </conditionalFormatting>
  <conditionalFormatting sqref="X91:AF95">
    <cfRule type="expression" dxfId="7432" priority="306">
      <formula>X$9&gt;=20/24</formula>
    </cfRule>
    <cfRule type="expression" dxfId="7431" priority="307">
      <formula>AND(X$9&gt;=14/24,X$9&lt;20/24)</formula>
    </cfRule>
    <cfRule type="expression" dxfId="7430" priority="308">
      <formula>AND(X$9&gt;=8/24,X$9&lt;14/24)</formula>
    </cfRule>
    <cfRule type="expression" dxfId="7429" priority="309">
      <formula>X$9&lt;8/24</formula>
    </cfRule>
  </conditionalFormatting>
  <conditionalFormatting sqref="AL45 AL41 AL22:AL32 AL38:AL39 AL7:AL15 AL17:AL20 AL34:AL36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7428" priority="302">
      <formula>E$9&gt;=20/24</formula>
    </cfRule>
    <cfRule type="expression" dxfId="7427" priority="303">
      <formula>AND(E$9&gt;=14/24,E$9&lt;20/24)</formula>
    </cfRule>
    <cfRule type="expression" dxfId="7426" priority="304">
      <formula>AND(E$9&gt;=8/24,E$9&lt;14/24)</formula>
    </cfRule>
    <cfRule type="expression" dxfId="7425" priority="305">
      <formula>E$9&lt;8/24</formula>
    </cfRule>
  </conditionalFormatting>
  <conditionalFormatting sqref="E49:AF51">
    <cfRule type="expression" dxfId="7424" priority="301">
      <formula>E49&gt;$AG49</formula>
    </cfRule>
  </conditionalFormatting>
  <conditionalFormatting sqref="AG52">
    <cfRule type="expression" dxfId="7423" priority="297">
      <formula>AG$9&gt;=20/24</formula>
    </cfRule>
    <cfRule type="expression" dxfId="7422" priority="298">
      <formula>AND(AG$9&gt;=14/24,AG$9&lt;20/24)</formula>
    </cfRule>
    <cfRule type="expression" dxfId="7421" priority="299">
      <formula>AND(AG$9&gt;=8/24,AG$9&lt;14/24)</formula>
    </cfRule>
    <cfRule type="expression" dxfId="7420" priority="300">
      <formula>AG$9&lt;8/24</formula>
    </cfRule>
  </conditionalFormatting>
  <conditionalFormatting sqref="AG52">
    <cfRule type="expression" dxfId="7419" priority="296">
      <formula>AG52&gt;$AG52</formula>
    </cfRule>
  </conditionalFormatting>
  <conditionalFormatting sqref="C107:AF107">
    <cfRule type="expression" dxfId="7418" priority="292">
      <formula>C$9&gt;=20/24</formula>
    </cfRule>
    <cfRule type="expression" dxfId="7417" priority="293">
      <formula>AND(C$9&gt;=14/24,C$9&lt;20/24)</formula>
    </cfRule>
    <cfRule type="expression" dxfId="7416" priority="294">
      <formula>AND(C$9&gt;=8/24,C$9&lt;14/24)</formula>
    </cfRule>
    <cfRule type="expression" dxfId="7415" priority="295">
      <formula>C$9&lt;8/24</formula>
    </cfRule>
  </conditionalFormatting>
  <conditionalFormatting sqref="AL40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414" priority="290">
      <formula>$AH40=0</formula>
    </cfRule>
  </conditionalFormatting>
  <conditionalFormatting sqref="A90">
    <cfRule type="expression" dxfId="7413" priority="288">
      <formula>$AH90=0</formula>
    </cfRule>
  </conditionalFormatting>
  <conditionalFormatting sqref="A87">
    <cfRule type="expression" dxfId="7412" priority="289">
      <formula>$AH87=0</formula>
    </cfRule>
  </conditionalFormatting>
  <conditionalFormatting sqref="D110:AF110">
    <cfRule type="expression" dxfId="7411" priority="284">
      <formula>D$9&gt;=20/24</formula>
    </cfRule>
    <cfRule type="expression" dxfId="7410" priority="285">
      <formula>AND(D$9&gt;=14/24,D$9&lt;20/24)</formula>
    </cfRule>
    <cfRule type="expression" dxfId="7409" priority="286">
      <formula>AND(D$9&gt;=8/24,D$9&lt;14/24)</formula>
    </cfRule>
    <cfRule type="expression" dxfId="7408" priority="287">
      <formula>D$9&lt;8/24</formula>
    </cfRule>
  </conditionalFormatting>
  <conditionalFormatting sqref="A110">
    <cfRule type="expression" dxfId="7407" priority="283">
      <formula>$AH110=0</formula>
    </cfRule>
  </conditionalFormatting>
  <conditionalFormatting sqref="A21">
    <cfRule type="expression" dxfId="7406" priority="281">
      <formula>$AH21=0</formula>
    </cfRule>
  </conditionalFormatting>
  <conditionalFormatting sqref="AL21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405" priority="279">
      <formula>$AH37=0</formula>
    </cfRule>
  </conditionalFormatting>
  <conditionalFormatting sqref="AL37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7404" priority="275">
      <formula>Y$9&gt;=20/24</formula>
    </cfRule>
    <cfRule type="expression" dxfId="7403" priority="276">
      <formula>AND(Y$9&gt;=14/24,Y$9&lt;20/24)</formula>
    </cfRule>
    <cfRule type="expression" dxfId="7402" priority="277">
      <formula>AND(Y$9&gt;=8/24,Y$9&lt;14/24)</formula>
    </cfRule>
    <cfRule type="expression" dxfId="7401" priority="278">
      <formula>Y$9&lt;8/24</formula>
    </cfRule>
  </conditionalFormatting>
  <conditionalFormatting sqref="Y100:AC106">
    <cfRule type="expression" dxfId="7400" priority="271">
      <formula>Y$9&gt;=20/24</formula>
    </cfRule>
    <cfRule type="expression" dxfId="7399" priority="272">
      <formula>AND(Y$9&gt;=14/24,Y$9&lt;20/24)</formula>
    </cfRule>
    <cfRule type="expression" dxfId="7398" priority="273">
      <formula>AND(Y$9&gt;=8/24,Y$9&lt;14/24)</formula>
    </cfRule>
    <cfRule type="expression" dxfId="7397" priority="274">
      <formula>Y$9&lt;8/24</formula>
    </cfRule>
  </conditionalFormatting>
  <conditionalFormatting sqref="C109 C111:C116 Z34:Z43 Z18:Z32">
    <cfRule type="expression" dxfId="7396" priority="267">
      <formula>C$9&gt;=20/24</formula>
    </cfRule>
    <cfRule type="expression" dxfId="7395" priority="268">
      <formula>AND(C$9&gt;=14/24,C$9&lt;20/24)</formula>
    </cfRule>
    <cfRule type="expression" dxfId="7394" priority="269">
      <formula>AND(C$9&gt;=8/24,C$9&lt;14/24)</formula>
    </cfRule>
    <cfRule type="expression" dxfId="7393" priority="270">
      <formula>C$9&lt;8/24</formula>
    </cfRule>
  </conditionalFormatting>
  <conditionalFormatting sqref="C47:X47">
    <cfRule type="expression" dxfId="7392" priority="263">
      <formula>C$9&gt;=20/24</formula>
    </cfRule>
    <cfRule type="expression" dxfId="7391" priority="264">
      <formula>AND(C$9&gt;=14/24,C$9&lt;20/24)</formula>
    </cfRule>
    <cfRule type="expression" dxfId="7390" priority="265">
      <formula>AND(C$9&gt;=8/24,C$9&lt;14/24)</formula>
    </cfRule>
    <cfRule type="expression" dxfId="7389" priority="266">
      <formula>C$9&lt;8/24</formula>
    </cfRule>
  </conditionalFormatting>
  <conditionalFormatting sqref="Z34:Z43 Z18:Z32 C47:X47">
    <cfRule type="expression" dxfId="7388" priority="262">
      <formula>C18&gt;$AG18</formula>
    </cfRule>
  </conditionalFormatting>
  <conditionalFormatting sqref="C99:E99">
    <cfRule type="expression" dxfId="7387" priority="258">
      <formula>C$9&gt;=20/24</formula>
    </cfRule>
    <cfRule type="expression" dxfId="7386" priority="259">
      <formula>AND(C$9&gt;=14/24,C$9&lt;20/24)</formula>
    </cfRule>
    <cfRule type="expression" dxfId="7385" priority="260">
      <formula>AND(C$9&gt;=8/24,C$9&lt;14/24)</formula>
    </cfRule>
    <cfRule type="expression" dxfId="7384" priority="261">
      <formula>C$9&lt;8/24</formula>
    </cfRule>
  </conditionalFormatting>
  <conditionalFormatting sqref="C86 C96:W96 C83:AF85 Y75:AA75 C100:E106 E74:X75 E67:P69 S76:AA76 AB75:AF76">
    <cfRule type="expression" dxfId="7383" priority="254">
      <formula>C$9&gt;=20/24</formula>
    </cfRule>
    <cfRule type="expression" dxfId="7382" priority="255">
      <formula>AND(C$9&gt;=14/24,C$9&lt;20/24)</formula>
    </cfRule>
    <cfRule type="expression" dxfId="7381" priority="256">
      <formula>AND(C$9&gt;=8/24,C$9&lt;14/24)</formula>
    </cfRule>
    <cfRule type="expression" dxfId="7380" priority="257">
      <formula>C$9&lt;8/24</formula>
    </cfRule>
  </conditionalFormatting>
  <conditionalFormatting sqref="E56:L57 E67:P69">
    <cfRule type="expression" dxfId="7379" priority="253">
      <formula>E56&gt;$AG56</formula>
    </cfRule>
  </conditionalFormatting>
  <conditionalFormatting sqref="L58:P58">
    <cfRule type="expression" dxfId="7378" priority="249">
      <formula>L$9&gt;=20/24</formula>
    </cfRule>
    <cfRule type="expression" dxfId="7377" priority="250">
      <formula>AND(L$9&gt;=14/24,L$9&lt;20/24)</formula>
    </cfRule>
    <cfRule type="expression" dxfId="7376" priority="251">
      <formula>AND(L$9&gt;=8/24,L$9&lt;14/24)</formula>
    </cfRule>
    <cfRule type="expression" dxfId="7375" priority="252">
      <formula>L$9&lt;8/24</formula>
    </cfRule>
  </conditionalFormatting>
  <conditionalFormatting sqref="L58:P58">
    <cfRule type="expression" dxfId="7374" priority="248">
      <formula>L58&gt;$AG58</formula>
    </cfRule>
  </conditionalFormatting>
  <conditionalFormatting sqref="B71:D71 B54:D57">
    <cfRule type="expression" dxfId="7373" priority="172">
      <formula>B$9&gt;=20/24</formula>
    </cfRule>
    <cfRule type="expression" dxfId="7372" priority="173">
      <formula>AND(B$9&gt;=14/24,B$9&lt;20/24)</formula>
    </cfRule>
    <cfRule type="expression" dxfId="7371" priority="174">
      <formula>AND(B$9&gt;=8/24,B$9&lt;14/24)</formula>
    </cfRule>
    <cfRule type="expression" dxfId="7370" priority="175">
      <formula>B$9&lt;8/24</formula>
    </cfRule>
  </conditionalFormatting>
  <conditionalFormatting sqref="Y46:AF46">
    <cfRule type="expression" dxfId="7369" priority="244">
      <formula>Y$9&gt;=20/24</formula>
    </cfRule>
    <cfRule type="expression" dxfId="7368" priority="245">
      <formula>AND(Y$9&gt;=14/24,Y$9&lt;20/24)</formula>
    </cfRule>
    <cfRule type="expression" dxfId="7367" priority="246">
      <formula>AND(Y$9&gt;=8/24,Y$9&lt;14/24)</formula>
    </cfRule>
    <cfRule type="expression" dxfId="7366" priority="247">
      <formula>Y$9&lt;8/24</formula>
    </cfRule>
  </conditionalFormatting>
  <conditionalFormatting sqref="Y46:AF46">
    <cfRule type="expression" dxfId="7365" priority="243">
      <formula>Y46&gt;$AG46</formula>
    </cfRule>
  </conditionalFormatting>
  <conditionalFormatting sqref="C87:AF87 C89:AF89 C98:AF98 L70:AF70">
    <cfRule type="expression" dxfId="7364" priority="239">
      <formula>C$9&gt;=20/24</formula>
    </cfRule>
    <cfRule type="expression" dxfId="7363" priority="240">
      <formula>AND(C$9&gt;=14/24,C$9&lt;20/24)</formula>
    </cfRule>
    <cfRule type="expression" dxfId="7362" priority="241">
      <formula>AND(C$9&gt;=8/24,C$9&lt;14/24)</formula>
    </cfRule>
    <cfRule type="expression" dxfId="7361" priority="242">
      <formula>C$9&lt;8/24</formula>
    </cfRule>
  </conditionalFormatting>
  <conditionalFormatting sqref="L70:AF70 C48:AF48 C65:AF66">
    <cfRule type="expression" dxfId="7360" priority="238">
      <formula>C48&gt;$AG48</formula>
    </cfRule>
  </conditionalFormatting>
  <conditionalFormatting sqref="C82:AF82">
    <cfRule type="expression" dxfId="7359" priority="234">
      <formula>C$9&gt;=20/24</formula>
    </cfRule>
    <cfRule type="expression" dxfId="7358" priority="235">
      <formula>AND(C$9&gt;=14/24,C$9&lt;20/24)</formula>
    </cfRule>
    <cfRule type="expression" dxfId="7357" priority="236">
      <formula>AND(C$9&gt;=8/24,C$9&lt;14/24)</formula>
    </cfRule>
    <cfRule type="expression" dxfId="7356" priority="237">
      <formula>C$9&lt;8/24</formula>
    </cfRule>
  </conditionalFormatting>
  <conditionalFormatting sqref="C91:W95">
    <cfRule type="expression" dxfId="7355" priority="230">
      <formula>C$9&gt;=20/24</formula>
    </cfRule>
    <cfRule type="expression" dxfId="7354" priority="231">
      <formula>AND(C$9&gt;=14/24,C$9&lt;20/24)</formula>
    </cfRule>
    <cfRule type="expression" dxfId="7353" priority="232">
      <formula>AND(C$9&gt;=8/24,C$9&lt;14/24)</formula>
    </cfRule>
    <cfRule type="expression" dxfId="7352" priority="233">
      <formula>C$9&lt;8/24</formula>
    </cfRule>
  </conditionalFormatting>
  <conditionalFormatting sqref="C52:AF52">
    <cfRule type="expression" dxfId="7351" priority="226">
      <formula>C$9&gt;=20/24</formula>
    </cfRule>
    <cfRule type="expression" dxfId="7350" priority="227">
      <formula>AND(C$9&gt;=14/24,C$9&lt;20/24)</formula>
    </cfRule>
    <cfRule type="expression" dxfId="7349" priority="228">
      <formula>AND(C$9&gt;=8/24,C$9&lt;14/24)</formula>
    </cfRule>
    <cfRule type="expression" dxfId="7348" priority="229">
      <formula>C$9&lt;8/24</formula>
    </cfRule>
  </conditionalFormatting>
  <conditionalFormatting sqref="C52:AF52">
    <cfRule type="expression" dxfId="7347" priority="225">
      <formula>C52&gt;$AG52</formula>
    </cfRule>
  </conditionalFormatting>
  <conditionalFormatting sqref="B49:D51">
    <cfRule type="expression" dxfId="7346" priority="140">
      <formula>B$9&gt;=20/24</formula>
    </cfRule>
    <cfRule type="expression" dxfId="7345" priority="141">
      <formula>AND(B$9&gt;=14/24,B$9&lt;20/24)</formula>
    </cfRule>
    <cfRule type="expression" dxfId="7344" priority="142">
      <formula>AND(B$9&gt;=8/24,B$9&lt;14/24)</formula>
    </cfRule>
    <cfRule type="expression" dxfId="7343" priority="143">
      <formula>B$9&lt;8/24</formula>
    </cfRule>
  </conditionalFormatting>
  <conditionalFormatting sqref="C110">
    <cfRule type="expression" dxfId="7342" priority="217">
      <formula>C$9&gt;=20/24</formula>
    </cfRule>
    <cfRule type="expression" dxfId="7341" priority="218">
      <formula>AND(C$9&gt;=14/24,C$9&lt;20/24)</formula>
    </cfRule>
    <cfRule type="expression" dxfId="7340" priority="219">
      <formula>AND(C$9&gt;=8/24,C$9&lt;14/24)</formula>
    </cfRule>
    <cfRule type="expression" dxfId="7339" priority="220">
      <formula>C$9&lt;8/24</formula>
    </cfRule>
  </conditionalFormatting>
  <conditionalFormatting sqref="S63:AF64 S59:Y62 AA59:AF62">
    <cfRule type="expression" dxfId="7338" priority="213">
      <formula>S$9&gt;=20/24</formula>
    </cfRule>
    <cfRule type="expression" dxfId="7337" priority="214">
      <formula>AND(S$9&gt;=14/24,S$9&lt;20/24)</formula>
    </cfRule>
    <cfRule type="expression" dxfId="7336" priority="215">
      <formula>AND(S$9&gt;=8/24,S$9&lt;14/24)</formula>
    </cfRule>
    <cfRule type="expression" dxfId="7335" priority="216">
      <formula>S$9&lt;8/24</formula>
    </cfRule>
  </conditionalFormatting>
  <conditionalFormatting sqref="S63:AF64 S59:Y62 AA59:AF62">
    <cfRule type="expression" dxfId="7334" priority="212">
      <formula>S59&gt;$AG59</formula>
    </cfRule>
  </conditionalFormatting>
  <conditionalFormatting sqref="Z45 W14:Z15">
    <cfRule type="expression" dxfId="7333" priority="211">
      <formula>W14&gt;$AG14</formula>
    </cfRule>
  </conditionalFormatting>
  <conditionalFormatting sqref="S12:Z12 AB12:AF12">
    <cfRule type="expression" dxfId="7332" priority="207">
      <formula>S$9&gt;=20/24</formula>
    </cfRule>
    <cfRule type="expression" dxfId="7331" priority="208">
      <formula>AND(S$9&gt;=14/24,S$9&lt;20/24)</formula>
    </cfRule>
    <cfRule type="expression" dxfId="7330" priority="209">
      <formula>AND(S$9&gt;=8/24,S$9&lt;14/24)</formula>
    </cfRule>
    <cfRule type="expression" dxfId="7329" priority="210">
      <formula>S$9&lt;8/24</formula>
    </cfRule>
  </conditionalFormatting>
  <conditionalFormatting sqref="S12:Z12 AB12:AF12">
    <cfRule type="expression" dxfId="7328" priority="206">
      <formula>S12&gt;$AG12</formula>
    </cfRule>
  </conditionalFormatting>
  <conditionalFormatting sqref="W14:Z15">
    <cfRule type="expression" dxfId="7327" priority="202">
      <formula>W$9&gt;=20/24</formula>
    </cfRule>
    <cfRule type="expression" dxfId="7326" priority="203">
      <formula>AND(W$9&gt;=14/24,W$9&lt;20/24)</formula>
    </cfRule>
    <cfRule type="expression" dxfId="7325" priority="204">
      <formula>AND(W$9&gt;=8/24,W$9&lt;14/24)</formula>
    </cfRule>
    <cfRule type="expression" dxfId="7324" priority="205">
      <formula>W$9&lt;8/24</formula>
    </cfRule>
  </conditionalFormatting>
  <conditionalFormatting sqref="Z45">
    <cfRule type="expression" dxfId="7323" priority="198">
      <formula>Z$9&gt;=20/24</formula>
    </cfRule>
    <cfRule type="expression" dxfId="7322" priority="199">
      <formula>AND(Z$9&gt;=14/24,Z$9&lt;20/24)</formula>
    </cfRule>
    <cfRule type="expression" dxfId="7321" priority="200">
      <formula>AND(Z$9&gt;=8/24,Z$9&lt;14/24)</formula>
    </cfRule>
    <cfRule type="expression" dxfId="7320" priority="201">
      <formula>Z$9&lt;8/24</formula>
    </cfRule>
  </conditionalFormatting>
  <conditionalFormatting sqref="S77:AF81">
    <cfRule type="expression" dxfId="7319" priority="194">
      <formula>S$9&gt;=20/24</formula>
    </cfRule>
    <cfRule type="expression" dxfId="7318" priority="195">
      <formula>AND(S$9&gt;=14/24,S$9&lt;20/24)</formula>
    </cfRule>
    <cfRule type="expression" dxfId="7317" priority="196">
      <formula>AND(S$9&gt;=8/24,S$9&lt;14/24)</formula>
    </cfRule>
    <cfRule type="expression" dxfId="7316" priority="197">
      <formula>S$9&lt;8/24</formula>
    </cfRule>
  </conditionalFormatting>
  <conditionalFormatting sqref="AL78:AN78 AL84:AN84 AN79:AN80">
    <cfRule type="expression" dxfId="7315" priority="190">
      <formula>AL$9&gt;=20/24</formula>
    </cfRule>
    <cfRule type="expression" dxfId="7314" priority="191">
      <formula>AND(AL$9&gt;=14/24,AL$9&lt;20/24)</formula>
    </cfRule>
    <cfRule type="expression" dxfId="7313" priority="192">
      <formula>AND(AL$9&gt;=8/24,AL$9&lt;14/24)</formula>
    </cfRule>
    <cfRule type="expression" dxfId="7312" priority="193">
      <formula>AL$9&lt;8/24</formula>
    </cfRule>
  </conditionalFormatting>
  <conditionalFormatting sqref="AN81:AN82">
    <cfRule type="expression" dxfId="7311" priority="186">
      <formula>AN$9&gt;=20/24</formula>
    </cfRule>
    <cfRule type="expression" dxfId="7310" priority="187">
      <formula>AND(AN$9&gt;=14/24,AN$9&lt;20/24)</formula>
    </cfRule>
    <cfRule type="expression" dxfId="7309" priority="188">
      <formula>AND(AN$9&gt;=8/24,AN$9&lt;14/24)</formula>
    </cfRule>
    <cfRule type="expression" dxfId="7308" priority="189">
      <formula>AN$9&lt;8/24</formula>
    </cfRule>
  </conditionalFormatting>
  <conditionalFormatting sqref="AL79:AM83">
    <cfRule type="expression" dxfId="7307" priority="408">
      <formula>AJ$9&gt;=20/24</formula>
    </cfRule>
    <cfRule type="expression" dxfId="7306" priority="409">
      <formula>AND(AJ$9&gt;=14/24,AJ$9&lt;20/24)</formula>
    </cfRule>
    <cfRule type="expression" dxfId="7305" priority="410">
      <formula>AND(AJ$9&gt;=8/24,AJ$9&lt;14/24)</formula>
    </cfRule>
    <cfRule type="expression" dxfId="7304" priority="411">
      <formula>AJ$9&lt;8/24</formula>
    </cfRule>
  </conditionalFormatting>
  <conditionalFormatting sqref="A117">
    <cfRule type="expression" dxfId="7303" priority="185">
      <formula>$AH117=0</formula>
    </cfRule>
  </conditionalFormatting>
  <conditionalFormatting sqref="B109 B111:B116 B14:V15 B12:R12 B17:W32 X17:Z17 B13:Z13 B34:Y43 B45:Y45 X18:Y32 AB13:AF13 AB17:AF17">
    <cfRule type="expression" dxfId="7302" priority="181">
      <formula>B$9&gt;=20/24</formula>
    </cfRule>
    <cfRule type="expression" dxfId="7301" priority="182">
      <formula>AND(B$9&gt;=14/24,B$9&lt;20/24)</formula>
    </cfRule>
    <cfRule type="expression" dxfId="7300" priority="183">
      <formula>AND(B$9&gt;=8/24,B$9&lt;14/24)</formula>
    </cfRule>
    <cfRule type="expression" dxfId="7299" priority="184">
      <formula>B$9&lt;8/24</formula>
    </cfRule>
  </conditionalFormatting>
  <conditionalFormatting sqref="B14:V15 B12:R12 B17:W32 X17:Z17 B13:Z13 B34:Y43 B45:Y45 X18:Y32 AB13:AF13 AB17:AF17">
    <cfRule type="expression" dxfId="7298" priority="180">
      <formula>B12&gt;$AG12</formula>
    </cfRule>
  </conditionalFormatting>
  <conditionalFormatting sqref="B99">
    <cfRule type="expression" dxfId="7297" priority="176">
      <formula>B$9&gt;=20/24</formula>
    </cfRule>
    <cfRule type="expression" dxfId="7296" priority="177">
      <formula>AND(B$9&gt;=14/24,B$9&lt;20/24)</formula>
    </cfRule>
    <cfRule type="expression" dxfId="7295" priority="178">
      <formula>AND(B$9&gt;=8/24,B$9&lt;14/24)</formula>
    </cfRule>
    <cfRule type="expression" dxfId="7294" priority="179">
      <formula>B$9&lt;8/24</formula>
    </cfRule>
  </conditionalFormatting>
  <conditionalFormatting sqref="B53:D53">
    <cfRule type="expression" dxfId="7293" priority="168">
      <formula>B$9&gt;=20/24</formula>
    </cfRule>
    <cfRule type="expression" dxfId="7292" priority="169">
      <formula>AND(B$9&gt;=14/24,B$9&lt;20/24)</formula>
    </cfRule>
    <cfRule type="expression" dxfId="7291" priority="170">
      <formula>AND(B$9&gt;=8/24,B$9&lt;14/24)</formula>
    </cfRule>
    <cfRule type="expression" dxfId="7290" priority="171">
      <formula>B$9&lt;8/24</formula>
    </cfRule>
  </conditionalFormatting>
  <conditionalFormatting sqref="B53:D57">
    <cfRule type="expression" dxfId="7289" priority="167">
      <formula>B53&gt;$AG53</formula>
    </cfRule>
  </conditionalFormatting>
  <conditionalFormatting sqref="B96 B100:B106 B86 B47 B67:D69 B72:D74">
    <cfRule type="expression" dxfId="7288" priority="163">
      <formula>B$9&gt;=20/24</formula>
    </cfRule>
    <cfRule type="expression" dxfId="7287" priority="164">
      <formula>AND(B$9&gt;=14/24,B$9&lt;20/24)</formula>
    </cfRule>
    <cfRule type="expression" dxfId="7286" priority="165">
      <formula>AND(B$9&gt;=8/24,B$9&lt;14/24)</formula>
    </cfRule>
    <cfRule type="expression" dxfId="7285" priority="166">
      <formula>B$9&lt;8/24</formula>
    </cfRule>
  </conditionalFormatting>
  <conditionalFormatting sqref="B47 B67:D69">
    <cfRule type="expression" dxfId="7284" priority="162">
      <formula>B47&gt;$AG47</formula>
    </cfRule>
  </conditionalFormatting>
  <conditionalFormatting sqref="B97 B88:C88">
    <cfRule type="expression" dxfId="7283" priority="158">
      <formula>B$9&gt;=20/24</formula>
    </cfRule>
    <cfRule type="expression" dxfId="7282" priority="159">
      <formula>AND(B$9&gt;=14/24,B$9&lt;20/24)</formula>
    </cfRule>
    <cfRule type="expression" dxfId="7281" priority="160">
      <formula>AND(B$9&gt;=8/24,B$9&lt;14/24)</formula>
    </cfRule>
    <cfRule type="expression" dxfId="7280" priority="161">
      <formula>B$9&lt;8/24</formula>
    </cfRule>
  </conditionalFormatting>
  <conditionalFormatting sqref="B46:X46">
    <cfRule type="expression" dxfId="7279" priority="154">
      <formula>B$9&gt;=20/24</formula>
    </cfRule>
    <cfRule type="expression" dxfId="7278" priority="155">
      <formula>AND(B$9&gt;=14/24,B$9&lt;20/24)</formula>
    </cfRule>
    <cfRule type="expression" dxfId="7277" priority="156">
      <formula>AND(B$9&gt;=8/24,B$9&lt;14/24)</formula>
    </cfRule>
    <cfRule type="expression" dxfId="7276" priority="157">
      <formula>B$9&lt;8/24</formula>
    </cfRule>
  </conditionalFormatting>
  <conditionalFormatting sqref="B46:X46">
    <cfRule type="expression" dxfId="7275" priority="153">
      <formula>B46&gt;$AG46</formula>
    </cfRule>
  </conditionalFormatting>
  <conditionalFormatting sqref="B58:K58">
    <cfRule type="expression" dxfId="7274" priority="149">
      <formula>B$9&gt;=20/24</formula>
    </cfRule>
    <cfRule type="expression" dxfId="7273" priority="150">
      <formula>AND(B$9&gt;=14/24,B$9&lt;20/24)</formula>
    </cfRule>
    <cfRule type="expression" dxfId="7272" priority="151">
      <formula>AND(B$9&gt;=8/24,B$9&lt;14/24)</formula>
    </cfRule>
    <cfRule type="expression" dxfId="7271" priority="152">
      <formula>B$9&lt;8/24</formula>
    </cfRule>
  </conditionalFormatting>
  <conditionalFormatting sqref="B58:K58">
    <cfRule type="expression" dxfId="7270" priority="148">
      <formula>B58&gt;$AG58</formula>
    </cfRule>
  </conditionalFormatting>
  <conditionalFormatting sqref="B91:B95">
    <cfRule type="expression" dxfId="7269" priority="144">
      <formula>B$9&gt;=20/24</formula>
    </cfRule>
    <cfRule type="expression" dxfId="7268" priority="145">
      <formula>AND(B$9&gt;=14/24,B$9&lt;20/24)</formula>
    </cfRule>
    <cfRule type="expression" dxfId="7267" priority="146">
      <formula>AND(B$9&gt;=8/24,B$9&lt;14/24)</formula>
    </cfRule>
    <cfRule type="expression" dxfId="7266" priority="147">
      <formula>B$9&lt;8/24</formula>
    </cfRule>
  </conditionalFormatting>
  <conditionalFormatting sqref="B49:D51">
    <cfRule type="expression" dxfId="7265" priority="139">
      <formula>B49&gt;$AG49</formula>
    </cfRule>
  </conditionalFormatting>
  <conditionalFormatting sqref="B107">
    <cfRule type="expression" dxfId="7264" priority="135">
      <formula>B$9&gt;=20/24</formula>
    </cfRule>
    <cfRule type="expression" dxfId="7263" priority="136">
      <formula>AND(B$9&gt;=14/24,B$9&lt;20/24)</formula>
    </cfRule>
    <cfRule type="expression" dxfId="7262" priority="137">
      <formula>AND(B$9&gt;=8/24,B$9&lt;14/24)</formula>
    </cfRule>
    <cfRule type="expression" dxfId="7261" priority="138">
      <formula>B$9&lt;8/24</formula>
    </cfRule>
  </conditionalFormatting>
  <conditionalFormatting sqref="B110">
    <cfRule type="expression" dxfId="7260" priority="131">
      <formula>B$9&gt;=20/24</formula>
    </cfRule>
    <cfRule type="expression" dxfId="7259" priority="132">
      <formula>AND(B$9&gt;=14/24,B$9&lt;20/24)</formula>
    </cfRule>
    <cfRule type="expression" dxfId="7258" priority="133">
      <formula>AND(B$9&gt;=8/24,B$9&lt;14/24)</formula>
    </cfRule>
    <cfRule type="expression" dxfId="7257" priority="134">
      <formula>B$9&lt;8/24</formula>
    </cfRule>
  </conditionalFormatting>
  <conditionalFormatting sqref="B83:B85 B75:D76 E76:R76">
    <cfRule type="expression" dxfId="7256" priority="127">
      <formula>B$9&gt;=20/24</formula>
    </cfRule>
    <cfRule type="expression" dxfId="7255" priority="128">
      <formula>AND(B$9&gt;=14/24,B$9&lt;20/24)</formula>
    </cfRule>
    <cfRule type="expression" dxfId="7254" priority="129">
      <formula>AND(B$9&gt;=8/24,B$9&lt;14/24)</formula>
    </cfRule>
    <cfRule type="expression" dxfId="7253" priority="130">
      <formula>B$9&lt;8/24</formula>
    </cfRule>
  </conditionalFormatting>
  <conditionalFormatting sqref="B89 B98 B87 B70:K70">
    <cfRule type="expression" dxfId="7252" priority="123">
      <formula>B$9&gt;=20/24</formula>
    </cfRule>
    <cfRule type="expression" dxfId="7251" priority="124">
      <formula>AND(B$9&gt;=14/24,B$9&lt;20/24)</formula>
    </cfRule>
    <cfRule type="expression" dxfId="7250" priority="125">
      <formula>AND(B$9&gt;=8/24,B$9&lt;14/24)</formula>
    </cfRule>
    <cfRule type="expression" dxfId="7249" priority="126">
      <formula>B$9&lt;8/24</formula>
    </cfRule>
  </conditionalFormatting>
  <conditionalFormatting sqref="B48 B65:B66 B70:K70">
    <cfRule type="expression" dxfId="7248" priority="122">
      <formula>B48&gt;$AG48</formula>
    </cfRule>
  </conditionalFormatting>
  <conditionalFormatting sqref="B82">
    <cfRule type="expression" dxfId="7247" priority="118">
      <formula>B$9&gt;=20/24</formula>
    </cfRule>
    <cfRule type="expression" dxfId="7246" priority="119">
      <formula>AND(B$9&gt;=14/24,B$9&lt;20/24)</formula>
    </cfRule>
    <cfRule type="expression" dxfId="7245" priority="120">
      <formula>AND(B$9&gt;=8/24,B$9&lt;14/24)</formula>
    </cfRule>
    <cfRule type="expression" dxfId="7244" priority="121">
      <formula>B$9&lt;8/24</formula>
    </cfRule>
  </conditionalFormatting>
  <conditionalFormatting sqref="B52">
    <cfRule type="expression" dxfId="7243" priority="114">
      <formula>B$9&gt;=20/24</formula>
    </cfRule>
    <cfRule type="expression" dxfId="7242" priority="115">
      <formula>AND(B$9&gt;=14/24,B$9&lt;20/24)</formula>
    </cfRule>
    <cfRule type="expression" dxfId="7241" priority="116">
      <formula>AND(B$9&gt;=8/24,B$9&lt;14/24)</formula>
    </cfRule>
    <cfRule type="expression" dxfId="7240" priority="117">
      <formula>B$9&lt;8/24</formula>
    </cfRule>
  </conditionalFormatting>
  <conditionalFormatting sqref="B52">
    <cfRule type="expression" dxfId="7239" priority="113">
      <formula>B52&gt;$AG52</formula>
    </cfRule>
  </conditionalFormatting>
  <conditionalFormatting sqref="B59:R64">
    <cfRule type="expression" dxfId="7238" priority="105">
      <formula>B$9&gt;=20/24</formula>
    </cfRule>
    <cfRule type="expression" dxfId="7237" priority="106">
      <formula>AND(B$9&gt;=14/24,B$9&lt;20/24)</formula>
    </cfRule>
    <cfRule type="expression" dxfId="7236" priority="107">
      <formula>AND(B$9&gt;=8/24,B$9&lt;14/24)</formula>
    </cfRule>
    <cfRule type="expression" dxfId="7235" priority="108">
      <formula>B$9&lt;8/24</formula>
    </cfRule>
  </conditionalFormatting>
  <conditionalFormatting sqref="B59:R64">
    <cfRule type="expression" dxfId="7234" priority="104">
      <formula>B59&gt;$AG59</formula>
    </cfRule>
  </conditionalFormatting>
  <conditionalFormatting sqref="B77:R81">
    <cfRule type="expression" dxfId="7233" priority="100">
      <formula>B$9&gt;=20/24</formula>
    </cfRule>
    <cfRule type="expression" dxfId="7232" priority="101">
      <formula>AND(B$9&gt;=14/24,B$9&lt;20/24)</formula>
    </cfRule>
    <cfRule type="expression" dxfId="7231" priority="102">
      <formula>AND(B$9&gt;=8/24,B$9&lt;14/24)</formula>
    </cfRule>
    <cfRule type="expression" dxfId="7230" priority="103">
      <formula>B$9&lt;8/24</formula>
    </cfRule>
  </conditionalFormatting>
  <conditionalFormatting sqref="A11">
    <cfRule type="expression" dxfId="7229" priority="99">
      <formula>$AH11=0</formula>
    </cfRule>
  </conditionalFormatting>
  <conditionalFormatting sqref="B11:Z11 AB11:AF11">
    <cfRule type="expression" dxfId="7228" priority="90">
      <formula>B$9&gt;=20/24</formula>
    </cfRule>
    <cfRule type="expression" dxfId="7227" priority="91">
      <formula>AND(B$9&gt;=14/24,B$9&lt;20/24)</formula>
    </cfRule>
    <cfRule type="expression" dxfId="7226" priority="92">
      <formula>AND(B$9&gt;=8/24,B$9&lt;14/24)</formula>
    </cfRule>
    <cfRule type="expression" dxfId="7225" priority="93">
      <formula>B$9&lt;8/24</formula>
    </cfRule>
  </conditionalFormatting>
  <conditionalFormatting sqref="B11:Z11 AB11:AF11">
    <cfRule type="expression" dxfId="7224" priority="89">
      <formula>B11&gt;$AG11</formula>
    </cfRule>
  </conditionalFormatting>
  <conditionalFormatting sqref="A16">
    <cfRule type="expression" dxfId="7223" priority="87">
      <formula>$AH16=0</formula>
    </cfRule>
  </conditionalFormatting>
  <conditionalFormatting sqref="AL16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W16:Z16">
    <cfRule type="expression" dxfId="7222" priority="83">
      <formula>W$9&gt;=20/24</formula>
    </cfRule>
    <cfRule type="expression" dxfId="7221" priority="84">
      <formula>AND(W$9&gt;=14/24,W$9&lt;20/24)</formula>
    </cfRule>
    <cfRule type="expression" dxfId="7220" priority="85">
      <formula>AND(W$9&gt;=8/24,W$9&lt;14/24)</formula>
    </cfRule>
    <cfRule type="expression" dxfId="7219" priority="86">
      <formula>W$9&lt;8/24</formula>
    </cfRule>
  </conditionalFormatting>
  <conditionalFormatting sqref="W16:Z16">
    <cfRule type="expression" dxfId="7218" priority="82">
      <formula>W16&gt;$AG16</formula>
    </cfRule>
  </conditionalFormatting>
  <conditionalFormatting sqref="B16:V16">
    <cfRule type="expression" dxfId="7217" priority="78">
      <formula>B$9&gt;=20/24</formula>
    </cfRule>
    <cfRule type="expression" dxfId="7216" priority="79">
      <formula>AND(B$9&gt;=14/24,B$9&lt;20/24)</formula>
    </cfRule>
    <cfRule type="expression" dxfId="7215" priority="80">
      <formula>AND(B$9&gt;=8/24,B$9&lt;14/24)</formula>
    </cfRule>
    <cfRule type="expression" dxfId="7214" priority="81">
      <formula>B$9&lt;8/24</formula>
    </cfRule>
  </conditionalFormatting>
  <conditionalFormatting sqref="B16:V16">
    <cfRule type="expression" dxfId="7213" priority="77">
      <formula>B16&gt;$AG16</formula>
    </cfRule>
  </conditionalFormatting>
  <conditionalFormatting sqref="A33">
    <cfRule type="expression" dxfId="7212" priority="75">
      <formula>$AH33=0</formula>
    </cfRule>
  </conditionalFormatting>
  <conditionalFormatting sqref="AL33">
    <cfRule type="iconSet" priority="76">
      <iconSet iconSet="3TrafficLights2" reverse="1">
        <cfvo type="percent" val="0"/>
        <cfvo type="num" val="1"/>
        <cfvo type="num" val="1"/>
      </iconSet>
    </cfRule>
  </conditionalFormatting>
  <conditionalFormatting sqref="Z33">
    <cfRule type="expression" dxfId="7211" priority="71">
      <formula>Z$9&gt;=20/24</formula>
    </cfRule>
    <cfRule type="expression" dxfId="7210" priority="72">
      <formula>AND(Z$9&gt;=14/24,Z$9&lt;20/24)</formula>
    </cfRule>
    <cfRule type="expression" dxfId="7209" priority="73">
      <formula>AND(Z$9&gt;=8/24,Z$9&lt;14/24)</formula>
    </cfRule>
    <cfRule type="expression" dxfId="7208" priority="74">
      <formula>Z$9&lt;8/24</formula>
    </cfRule>
  </conditionalFormatting>
  <conditionalFormatting sqref="Z33">
    <cfRule type="expression" dxfId="7207" priority="70">
      <formula>Z33&gt;$AG33</formula>
    </cfRule>
  </conditionalFormatting>
  <conditionalFormatting sqref="B33:Y33">
    <cfRule type="expression" dxfId="7206" priority="66">
      <formula>B$9&gt;=20/24</formula>
    </cfRule>
    <cfRule type="expression" dxfId="7205" priority="67">
      <formula>AND(B$9&gt;=14/24,B$9&lt;20/24)</formula>
    </cfRule>
    <cfRule type="expression" dxfId="7204" priority="68">
      <formula>AND(B$9&gt;=8/24,B$9&lt;14/24)</formula>
    </cfRule>
    <cfRule type="expression" dxfId="7203" priority="69">
      <formula>B$9&lt;8/24</formula>
    </cfRule>
  </conditionalFormatting>
  <conditionalFormatting sqref="B33:Y33">
    <cfRule type="expression" dxfId="7202" priority="65">
      <formula>B33&gt;$AG33</formula>
    </cfRule>
  </conditionalFormatting>
  <conditionalFormatting sqref="A44">
    <cfRule type="expression" dxfId="7201" priority="63">
      <formula>$AH44=0</formula>
    </cfRule>
  </conditionalFormatting>
  <conditionalFormatting sqref="AL44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Z44">
    <cfRule type="expression" dxfId="7200" priority="62">
      <formula>Z44&gt;$AG44</formula>
    </cfRule>
  </conditionalFormatting>
  <conditionalFormatting sqref="Z44">
    <cfRule type="expression" dxfId="7199" priority="58">
      <formula>Z$9&gt;=20/24</formula>
    </cfRule>
    <cfRule type="expression" dxfId="7198" priority="59">
      <formula>AND(Z$9&gt;=14/24,Z$9&lt;20/24)</formula>
    </cfRule>
    <cfRule type="expression" dxfId="7197" priority="60">
      <formula>AND(Z$9&gt;=8/24,Z$9&lt;14/24)</formula>
    </cfRule>
    <cfRule type="expression" dxfId="7196" priority="61">
      <formula>Z$9&lt;8/24</formula>
    </cfRule>
  </conditionalFormatting>
  <conditionalFormatting sqref="B44:Y44">
    <cfRule type="expression" dxfId="7195" priority="54">
      <formula>B$9&gt;=20/24</formula>
    </cfRule>
    <cfRule type="expression" dxfId="7194" priority="55">
      <formula>AND(B$9&gt;=14/24,B$9&lt;20/24)</formula>
    </cfRule>
    <cfRule type="expression" dxfId="7193" priority="56">
      <formula>AND(B$9&gt;=8/24,B$9&lt;14/24)</formula>
    </cfRule>
    <cfRule type="expression" dxfId="7192" priority="57">
      <formula>B$9&lt;8/24</formula>
    </cfRule>
  </conditionalFormatting>
  <conditionalFormatting sqref="B44:Y44">
    <cfRule type="expression" dxfId="7191" priority="53">
      <formula>B44&gt;$AG44</formula>
    </cfRule>
  </conditionalFormatting>
  <conditionalFormatting sqref="B117">
    <cfRule type="expression" dxfId="7190" priority="41">
      <formula>B$9&gt;=20/24</formula>
    </cfRule>
    <cfRule type="expression" dxfId="7189" priority="42">
      <formula>AND(B$9&gt;=14/24,B$9&lt;20/24)</formula>
    </cfRule>
    <cfRule type="expression" dxfId="7188" priority="43">
      <formula>AND(B$9&gt;=8/24,B$9&lt;14/24)</formula>
    </cfRule>
    <cfRule type="expression" dxfId="7187" priority="44">
      <formula>B$9&lt;8/24</formula>
    </cfRule>
  </conditionalFormatting>
  <conditionalFormatting sqref="D117:AF117">
    <cfRule type="expression" dxfId="7186" priority="49">
      <formula>D$9&gt;=20/24</formula>
    </cfRule>
    <cfRule type="expression" dxfId="7185" priority="50">
      <formula>AND(D$9&gt;=14/24,D$9&lt;20/24)</formula>
    </cfRule>
    <cfRule type="expression" dxfId="7184" priority="51">
      <formula>AND(D$9&gt;=8/24,D$9&lt;14/24)</formula>
    </cfRule>
    <cfRule type="expression" dxfId="7183" priority="52">
      <formula>D$9&lt;8/24</formula>
    </cfRule>
  </conditionalFormatting>
  <conditionalFormatting sqref="C117">
    <cfRule type="expression" dxfId="7182" priority="45">
      <formula>C$9&gt;=20/24</formula>
    </cfRule>
    <cfRule type="expression" dxfId="7181" priority="46">
      <formula>AND(C$9&gt;=14/24,C$9&lt;20/24)</formula>
    </cfRule>
    <cfRule type="expression" dxfId="7180" priority="47">
      <formula>AND(C$9&gt;=8/24,C$9&lt;14/24)</formula>
    </cfRule>
    <cfRule type="expression" dxfId="7179" priority="48">
      <formula>C$9&lt;8/24</formula>
    </cfRule>
  </conditionalFormatting>
  <conditionalFormatting sqref="AA14:AF15">
    <cfRule type="expression" dxfId="7178" priority="40">
      <formula>AA14&gt;$AG14</formula>
    </cfRule>
  </conditionalFormatting>
  <conditionalFormatting sqref="AA12">
    <cfRule type="expression" dxfId="7177" priority="36">
      <formula>AA$9&gt;=20/24</formula>
    </cfRule>
    <cfRule type="expression" dxfId="7176" priority="37">
      <formula>AND(AA$9&gt;=14/24,AA$9&lt;20/24)</formula>
    </cfRule>
    <cfRule type="expression" dxfId="7175" priority="38">
      <formula>AND(AA$9&gt;=8/24,AA$9&lt;14/24)</formula>
    </cfRule>
    <cfRule type="expression" dxfId="7174" priority="39">
      <formula>AA$9&lt;8/24</formula>
    </cfRule>
  </conditionalFormatting>
  <conditionalFormatting sqref="AA12">
    <cfRule type="expression" dxfId="7173" priority="35">
      <formula>AA12&gt;$AG12</formula>
    </cfRule>
  </conditionalFormatting>
  <conditionalFormatting sqref="AA14:AF15">
    <cfRule type="expression" dxfId="7172" priority="31">
      <formula>AA$9&gt;=20/24</formula>
    </cfRule>
    <cfRule type="expression" dxfId="7171" priority="32">
      <formula>AND(AA$9&gt;=14/24,AA$9&lt;20/24)</formula>
    </cfRule>
    <cfRule type="expression" dxfId="7170" priority="33">
      <formula>AND(AA$9&gt;=8/24,AA$9&lt;14/24)</formula>
    </cfRule>
    <cfRule type="expression" dxfId="7169" priority="34">
      <formula>AA$9&lt;8/24</formula>
    </cfRule>
  </conditionalFormatting>
  <conditionalFormatting sqref="AA13 AA17:AA32 AA34:AF43 AA45:AF45 AB18:AF32">
    <cfRule type="expression" dxfId="7168" priority="27">
      <formula>AA$9&gt;=20/24</formula>
    </cfRule>
    <cfRule type="expression" dxfId="7167" priority="28">
      <formula>AND(AA$9&gt;=14/24,AA$9&lt;20/24)</formula>
    </cfRule>
    <cfRule type="expression" dxfId="7166" priority="29">
      <formula>AND(AA$9&gt;=8/24,AA$9&lt;14/24)</formula>
    </cfRule>
    <cfRule type="expression" dxfId="7165" priority="30">
      <formula>AA$9&lt;8/24</formula>
    </cfRule>
  </conditionalFormatting>
  <conditionalFormatting sqref="AA13 AA17:AA32 AA34:AF43 AA45:AF45 AB18:AF32">
    <cfRule type="expression" dxfId="7164" priority="26">
      <formula>AA13&gt;$AG13</formula>
    </cfRule>
  </conditionalFormatting>
  <conditionalFormatting sqref="AA11">
    <cfRule type="expression" dxfId="7163" priority="22">
      <formula>AA$9&gt;=20/24</formula>
    </cfRule>
    <cfRule type="expression" dxfId="7162" priority="23">
      <formula>AND(AA$9&gt;=14/24,AA$9&lt;20/24)</formula>
    </cfRule>
    <cfRule type="expression" dxfId="7161" priority="24">
      <formula>AND(AA$9&gt;=8/24,AA$9&lt;14/24)</formula>
    </cfRule>
    <cfRule type="expression" dxfId="7160" priority="25">
      <formula>AA$9&lt;8/24</formula>
    </cfRule>
  </conditionalFormatting>
  <conditionalFormatting sqref="AA11">
    <cfRule type="expression" dxfId="7159" priority="21">
      <formula>AA11&gt;$AG11</formula>
    </cfRule>
  </conditionalFormatting>
  <conditionalFormatting sqref="AA16:AF16">
    <cfRule type="expression" dxfId="7158" priority="17">
      <formula>AA$9&gt;=20/24</formula>
    </cfRule>
    <cfRule type="expression" dxfId="7157" priority="18">
      <formula>AND(AA$9&gt;=14/24,AA$9&lt;20/24)</formula>
    </cfRule>
    <cfRule type="expression" dxfId="7156" priority="19">
      <formula>AND(AA$9&gt;=8/24,AA$9&lt;14/24)</formula>
    </cfRule>
    <cfRule type="expression" dxfId="7155" priority="20">
      <formula>AA$9&lt;8/24</formula>
    </cfRule>
  </conditionalFormatting>
  <conditionalFormatting sqref="AA16:AF16">
    <cfRule type="expression" dxfId="7154" priority="16">
      <formula>AA16&gt;$AG16</formula>
    </cfRule>
  </conditionalFormatting>
  <conditionalFormatting sqref="AA33:AF33">
    <cfRule type="expression" dxfId="7153" priority="12">
      <formula>AA$9&gt;=20/24</formula>
    </cfRule>
    <cfRule type="expression" dxfId="7152" priority="13">
      <formula>AND(AA$9&gt;=14/24,AA$9&lt;20/24)</formula>
    </cfRule>
    <cfRule type="expression" dxfId="7151" priority="14">
      <formula>AND(AA$9&gt;=8/24,AA$9&lt;14/24)</formula>
    </cfRule>
    <cfRule type="expression" dxfId="7150" priority="15">
      <formula>AA$9&lt;8/24</formula>
    </cfRule>
  </conditionalFormatting>
  <conditionalFormatting sqref="AA33:AF33">
    <cfRule type="expression" dxfId="7149" priority="11">
      <formula>AA33&gt;$AG33</formula>
    </cfRule>
  </conditionalFormatting>
  <conditionalFormatting sqref="AA44:AF44">
    <cfRule type="expression" dxfId="7148" priority="7">
      <formula>AA$9&gt;=20/24</formula>
    </cfRule>
    <cfRule type="expression" dxfId="7147" priority="8">
      <formula>AND(AA$9&gt;=14/24,AA$9&lt;20/24)</formula>
    </cfRule>
    <cfRule type="expression" dxfId="7146" priority="9">
      <formula>AND(AA$9&gt;=8/24,AA$9&lt;14/24)</formula>
    </cfRule>
    <cfRule type="expression" dxfId="7145" priority="10">
      <formula>AA$9&lt;8/24</formula>
    </cfRule>
  </conditionalFormatting>
  <conditionalFormatting sqref="AA44:AF44">
    <cfRule type="expression" dxfId="7144" priority="6">
      <formula>AA44&gt;$AG44</formula>
    </cfRule>
  </conditionalFormatting>
  <conditionalFormatting sqref="Z59">
    <cfRule type="expression" dxfId="7143" priority="2">
      <formula>Z$9&gt;=20/24</formula>
    </cfRule>
    <cfRule type="expression" dxfId="7142" priority="3">
      <formula>AND(Z$9&gt;=14/24,Z$9&lt;20/24)</formula>
    </cfRule>
    <cfRule type="expression" dxfId="7141" priority="4">
      <formula>AND(Z$9&gt;=8/24,Z$9&lt;14/24)</formula>
    </cfRule>
    <cfRule type="expression" dxfId="7140" priority="5">
      <formula>Z$9&lt;8/24</formula>
    </cfRule>
  </conditionalFormatting>
  <conditionalFormatting sqref="Z59">
    <cfRule type="expression" dxfId="7139" priority="1">
      <formula>Z59&gt;$AG59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1" id="{7C2CBE5F-0985-4926-A0D4-651510EB166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2" id="{CF5DA30E-F7C9-4CF9-8F18-6805DC1E4C3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3" id="{8DCAE52B-F980-4FE9-9A79-0A75E1DB1F4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4" id="{86479751-6731-4493-887A-FC5D7AE08B1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109" id="{AED5C135-BC45-4737-803A-55B084A5300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0" id="{8EEBD44B-9D7D-4637-B5AD-6C968F4D4B1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1" id="{632F3689-C032-42CE-A22E-A05B5BC591C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2" id="{D269E82C-F774-40CE-9674-4991D910F1B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62" activePane="bottomLeft" state="frozen"/>
      <selection activeCell="Z85" sqref="Z85"/>
      <selection pane="bottomLeft" activeCell="AK70" sqref="AK70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2079/12/14</v>
      </c>
      <c r="C4" s="196"/>
      <c r="D4" s="196"/>
      <c r="E4" s="197" t="str">
        <f ca="1">"2079/"&amp;"12/"&amp;INT(MID(CELL("filename",G6),FIND("]",CELL("filename",G6))+1,200))</f>
        <v>2079/12/14</v>
      </c>
      <c r="F4" s="197"/>
      <c r="G4" s="197"/>
      <c r="H4" s="197" t="str">
        <f ca="1">TEXT(E4,"dddd")</f>
        <v>Thursday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493</v>
      </c>
      <c r="C5" s="33">
        <f t="shared" si="0"/>
        <v>492</v>
      </c>
      <c r="D5" s="33">
        <f t="shared" si="0"/>
        <v>514.79999999999995</v>
      </c>
      <c r="E5" s="33">
        <f t="shared" si="0"/>
        <v>471.7</v>
      </c>
      <c r="F5" s="33">
        <f t="shared" si="0"/>
        <v>467.6</v>
      </c>
      <c r="G5" s="33">
        <f t="shared" si="0"/>
        <v>479.50000000000006</v>
      </c>
      <c r="H5" s="33">
        <f t="shared" si="0"/>
        <v>424.9</v>
      </c>
      <c r="I5" s="33">
        <f t="shared" si="0"/>
        <v>429.59999999999997</v>
      </c>
      <c r="J5" s="33">
        <f t="shared" si="0"/>
        <v>431.3</v>
      </c>
      <c r="K5" s="33">
        <f t="shared" si="0"/>
        <v>435.5</v>
      </c>
      <c r="L5" s="33">
        <f t="shared" si="0"/>
        <v>459.7</v>
      </c>
      <c r="M5" s="33">
        <f t="shared" si="0"/>
        <v>502.8</v>
      </c>
      <c r="N5" s="33">
        <f t="shared" si="0"/>
        <v>499.6</v>
      </c>
      <c r="O5" s="33">
        <f t="shared" si="0"/>
        <v>509</v>
      </c>
      <c r="P5" s="33">
        <f t="shared" si="0"/>
        <v>524.70000000000005</v>
      </c>
      <c r="Q5" s="33">
        <f t="shared" si="0"/>
        <v>557.1</v>
      </c>
      <c r="R5" s="33">
        <f t="shared" si="0"/>
        <v>564.59999999999991</v>
      </c>
      <c r="S5" s="33">
        <f t="shared" si="0"/>
        <v>568.59999999999991</v>
      </c>
      <c r="T5" s="33">
        <f t="shared" si="0"/>
        <v>450.50000000000006</v>
      </c>
      <c r="U5" s="33">
        <f t="shared" si="0"/>
        <v>522.29999999999995</v>
      </c>
      <c r="V5" s="33">
        <f t="shared" si="0"/>
        <v>529.6</v>
      </c>
      <c r="W5" s="33">
        <f t="shared" si="0"/>
        <v>529.6</v>
      </c>
      <c r="X5" s="33">
        <f t="shared" si="0"/>
        <v>490.90000000000003</v>
      </c>
      <c r="Y5" s="33">
        <f t="shared" si="0"/>
        <v>423.2</v>
      </c>
      <c r="Z5" s="33">
        <f t="shared" si="0"/>
        <v>283.3</v>
      </c>
      <c r="AA5" s="33">
        <f t="shared" si="0"/>
        <v>379.8</v>
      </c>
      <c r="AB5" s="33">
        <f t="shared" si="0"/>
        <v>488.20000000000005</v>
      </c>
      <c r="AC5" s="33">
        <f t="shared" si="0"/>
        <v>541.80000000000007</v>
      </c>
      <c r="AD5" s="33">
        <f t="shared" si="0"/>
        <v>501.3</v>
      </c>
      <c r="AE5" s="33">
        <f t="shared" si="0"/>
        <v>502.5</v>
      </c>
      <c r="AF5" s="33">
        <f>B82</f>
        <v>499.3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1447MW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Load=1090</v>
      </c>
      <c r="B7" s="38">
        <f t="shared" ref="B7:AF7" si="1">B89</f>
        <v>1103.94</v>
      </c>
      <c r="C7" s="38">
        <f t="shared" si="1"/>
        <v>1097.54</v>
      </c>
      <c r="D7" s="38">
        <f t="shared" si="1"/>
        <v>1089.94</v>
      </c>
      <c r="E7" s="38">
        <f t="shared" si="1"/>
        <v>1115.44</v>
      </c>
      <c r="F7" s="38">
        <f t="shared" si="1"/>
        <v>1096.8400000000001</v>
      </c>
      <c r="G7" s="38">
        <f t="shared" si="1"/>
        <v>1120.94</v>
      </c>
      <c r="H7" s="38">
        <f t="shared" si="1"/>
        <v>1193.74</v>
      </c>
      <c r="I7" s="38">
        <f t="shared" si="1"/>
        <v>1240.74</v>
      </c>
      <c r="J7" s="38">
        <f t="shared" si="1"/>
        <v>1326.04</v>
      </c>
      <c r="K7" s="38">
        <f t="shared" si="1"/>
        <v>1445.2399999999998</v>
      </c>
      <c r="L7" s="38">
        <f t="shared" si="1"/>
        <v>1446.74</v>
      </c>
      <c r="M7" s="38">
        <f t="shared" si="1"/>
        <v>1411.6399999999999</v>
      </c>
      <c r="N7" s="38">
        <f>N89</f>
        <v>1337.9399999999998</v>
      </c>
      <c r="O7" s="38">
        <f t="shared" si="1"/>
        <v>1300.3400000000001</v>
      </c>
      <c r="P7" s="38">
        <f t="shared" si="1"/>
        <v>1141.54</v>
      </c>
      <c r="Q7" s="38">
        <f t="shared" si="1"/>
        <v>1345.44</v>
      </c>
      <c r="R7" s="38">
        <f t="shared" si="1"/>
        <v>1346.3400000000001</v>
      </c>
      <c r="S7" s="38">
        <f t="shared" si="1"/>
        <v>1378.24</v>
      </c>
      <c r="T7" s="38">
        <f t="shared" si="1"/>
        <v>1382.24</v>
      </c>
      <c r="U7" s="38">
        <f t="shared" si="1"/>
        <v>1243.44</v>
      </c>
      <c r="V7" s="38">
        <f t="shared" si="1"/>
        <v>1204.54</v>
      </c>
      <c r="W7" s="38">
        <f t="shared" si="1"/>
        <v>1205.8400000000001</v>
      </c>
      <c r="X7" s="38">
        <f t="shared" si="1"/>
        <v>1281.8400000000001</v>
      </c>
      <c r="Y7" s="38">
        <f t="shared" si="1"/>
        <v>1357.54</v>
      </c>
      <c r="Z7" s="38">
        <f t="shared" si="1"/>
        <v>1558.4399999999998</v>
      </c>
      <c r="AA7" s="38">
        <f t="shared" si="1"/>
        <v>1527.0399999999997</v>
      </c>
      <c r="AB7" s="38">
        <f t="shared" si="1"/>
        <v>1303.4399999999998</v>
      </c>
      <c r="AC7" s="38">
        <f t="shared" si="1"/>
        <v>1277.6400000000001</v>
      </c>
      <c r="AD7" s="38">
        <f t="shared" si="1"/>
        <v>1274.54</v>
      </c>
      <c r="AE7" s="38">
        <f t="shared" si="1"/>
        <v>1231.94</v>
      </c>
      <c r="AF7" s="38">
        <f t="shared" si="1"/>
        <v>1167.04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25</v>
      </c>
      <c r="C11" s="50">
        <v>25</v>
      </c>
      <c r="D11" s="50">
        <v>25</v>
      </c>
      <c r="E11" s="50">
        <v>25</v>
      </c>
      <c r="F11" s="50">
        <v>25</v>
      </c>
      <c r="G11" s="50">
        <v>25</v>
      </c>
      <c r="H11" s="50">
        <v>25</v>
      </c>
      <c r="I11" s="50">
        <v>25</v>
      </c>
      <c r="J11" s="50">
        <v>25</v>
      </c>
      <c r="K11" s="50">
        <v>25</v>
      </c>
      <c r="L11" s="50">
        <v>25</v>
      </c>
      <c r="M11" s="50">
        <v>25</v>
      </c>
      <c r="N11" s="50">
        <v>25</v>
      </c>
      <c r="O11" s="50">
        <v>25</v>
      </c>
      <c r="P11" s="50">
        <v>25</v>
      </c>
      <c r="Q11" s="50">
        <v>25</v>
      </c>
      <c r="R11" s="50">
        <v>25</v>
      </c>
      <c r="S11" s="50">
        <v>25</v>
      </c>
      <c r="T11" s="50">
        <v>25</v>
      </c>
      <c r="U11" s="50">
        <v>25</v>
      </c>
      <c r="V11" s="50">
        <v>25</v>
      </c>
      <c r="W11" s="50">
        <v>25</v>
      </c>
      <c r="X11" s="50">
        <v>25</v>
      </c>
      <c r="Y11" s="50">
        <v>25</v>
      </c>
      <c r="Z11" s="50">
        <v>25</v>
      </c>
      <c r="AA11" s="50">
        <v>25</v>
      </c>
      <c r="AB11" s="50">
        <v>25</v>
      </c>
      <c r="AC11" s="50">
        <v>25</v>
      </c>
      <c r="AD11" s="50">
        <v>25</v>
      </c>
      <c r="AE11" s="50">
        <v>25</v>
      </c>
      <c r="AF11" s="50">
        <v>25</v>
      </c>
      <c r="AG11" s="51">
        <v>86</v>
      </c>
      <c r="AH11" s="52">
        <f t="shared" ref="AH11:AH74" si="2">MAX(B11:AF11)</f>
        <v>25</v>
      </c>
      <c r="AI11" s="53">
        <f t="shared" ref="AI11:AI74" si="3">MIN(B11:AF11)</f>
        <v>25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14.3</v>
      </c>
      <c r="C12" s="50">
        <v>14.3</v>
      </c>
      <c r="D12" s="50">
        <v>14.3</v>
      </c>
      <c r="E12" s="50">
        <v>14.5</v>
      </c>
      <c r="F12" s="50">
        <v>14.5</v>
      </c>
      <c r="G12" s="50">
        <v>14.5</v>
      </c>
      <c r="H12" s="50">
        <v>16.5</v>
      </c>
      <c r="I12" s="50">
        <v>16.5</v>
      </c>
      <c r="J12" s="50">
        <v>16.5</v>
      </c>
      <c r="K12" s="50">
        <v>16.5</v>
      </c>
      <c r="L12" s="50">
        <v>16.5</v>
      </c>
      <c r="M12" s="50">
        <v>16.5</v>
      </c>
      <c r="N12" s="50">
        <v>16.5</v>
      </c>
      <c r="O12" s="50">
        <v>16.5</v>
      </c>
      <c r="P12" s="50">
        <v>16.5</v>
      </c>
      <c r="Q12" s="50">
        <v>16.5</v>
      </c>
      <c r="R12" s="50">
        <v>16.5</v>
      </c>
      <c r="S12" s="50">
        <v>16.5</v>
      </c>
      <c r="T12" s="50">
        <v>16.5</v>
      </c>
      <c r="U12" s="50">
        <v>16.5</v>
      </c>
      <c r="V12" s="50">
        <v>16.5</v>
      </c>
      <c r="W12" s="50">
        <v>16.5</v>
      </c>
      <c r="X12" s="50">
        <v>16.5</v>
      </c>
      <c r="Y12" s="50">
        <v>16.5</v>
      </c>
      <c r="Z12" s="50">
        <v>13</v>
      </c>
      <c r="AA12" s="50">
        <v>16.5</v>
      </c>
      <c r="AB12" s="50">
        <v>16.5</v>
      </c>
      <c r="AC12" s="50">
        <v>16.5</v>
      </c>
      <c r="AD12" s="50">
        <v>16.5</v>
      </c>
      <c r="AE12" s="50">
        <v>16.5</v>
      </c>
      <c r="AF12" s="50">
        <v>16.5</v>
      </c>
      <c r="AG12" s="51">
        <v>52.4</v>
      </c>
      <c r="AH12" s="52">
        <f t="shared" si="2"/>
        <v>16.5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16.2</v>
      </c>
      <c r="C14" s="50">
        <v>16.2</v>
      </c>
      <c r="D14" s="50">
        <v>16.2</v>
      </c>
      <c r="E14" s="50">
        <v>17.100000000000001</v>
      </c>
      <c r="F14" s="50">
        <v>17.100000000000001</v>
      </c>
      <c r="G14" s="50">
        <v>17.100000000000001</v>
      </c>
      <c r="H14" s="50">
        <v>16.3</v>
      </c>
      <c r="I14" s="50">
        <v>16.3</v>
      </c>
      <c r="J14" s="50">
        <v>16.3</v>
      </c>
      <c r="K14" s="50">
        <v>16.3</v>
      </c>
      <c r="L14" s="50">
        <v>16.3</v>
      </c>
      <c r="M14" s="50">
        <v>16.3</v>
      </c>
      <c r="N14" s="50">
        <v>16.3</v>
      </c>
      <c r="O14" s="50">
        <v>16.3</v>
      </c>
      <c r="P14" s="50">
        <v>16.3</v>
      </c>
      <c r="Q14" s="50">
        <v>16.3</v>
      </c>
      <c r="R14" s="50">
        <v>16.3</v>
      </c>
      <c r="S14" s="50">
        <v>16.3</v>
      </c>
      <c r="T14" s="50">
        <v>16.3</v>
      </c>
      <c r="U14" s="50">
        <v>16.3</v>
      </c>
      <c r="V14" s="50">
        <v>16.3</v>
      </c>
      <c r="W14" s="50">
        <v>16.3</v>
      </c>
      <c r="X14" s="50">
        <v>16.3</v>
      </c>
      <c r="Y14" s="50">
        <v>16.3</v>
      </c>
      <c r="Z14" s="50">
        <v>16.8</v>
      </c>
      <c r="AA14" s="50">
        <v>16.3</v>
      </c>
      <c r="AB14" s="50">
        <v>16.3</v>
      </c>
      <c r="AC14" s="50">
        <v>16.3</v>
      </c>
      <c r="AD14" s="50">
        <v>16.3</v>
      </c>
      <c r="AE14" s="50">
        <v>16.3</v>
      </c>
      <c r="AF14" s="50">
        <v>16.3</v>
      </c>
      <c r="AG14" s="55">
        <v>45</v>
      </c>
      <c r="AH14" s="52">
        <f t="shared" si="2"/>
        <v>17.100000000000001</v>
      </c>
      <c r="AI14" s="53">
        <f t="shared" si="3"/>
        <v>16.2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8.3000000000000007</v>
      </c>
      <c r="C18" s="50">
        <v>8.3000000000000007</v>
      </c>
      <c r="D18" s="50">
        <v>8.3000000000000007</v>
      </c>
      <c r="E18" s="50">
        <v>8.3000000000000007</v>
      </c>
      <c r="F18" s="50">
        <v>8.3000000000000007</v>
      </c>
      <c r="G18" s="50">
        <v>8.3000000000000007</v>
      </c>
      <c r="H18" s="50">
        <v>8.3000000000000007</v>
      </c>
      <c r="I18" s="50">
        <v>8.3000000000000007</v>
      </c>
      <c r="J18" s="50">
        <v>8.3000000000000007</v>
      </c>
      <c r="K18" s="50">
        <v>8.3000000000000007</v>
      </c>
      <c r="L18" s="50">
        <v>8.3000000000000007</v>
      </c>
      <c r="M18" s="50">
        <v>8.3000000000000007</v>
      </c>
      <c r="N18" s="50">
        <v>8.3000000000000007</v>
      </c>
      <c r="O18" s="50">
        <v>8.3000000000000007</v>
      </c>
      <c r="P18" s="50">
        <v>8.3000000000000007</v>
      </c>
      <c r="Q18" s="50">
        <v>8.3000000000000007</v>
      </c>
      <c r="R18" s="50">
        <v>8.3000000000000007</v>
      </c>
      <c r="S18" s="50">
        <v>8.3000000000000007</v>
      </c>
      <c r="T18" s="50">
        <v>8.3000000000000007</v>
      </c>
      <c r="U18" s="50">
        <v>8.3000000000000007</v>
      </c>
      <c r="V18" s="50">
        <v>8.3000000000000007</v>
      </c>
      <c r="W18" s="50">
        <v>8.3000000000000007</v>
      </c>
      <c r="X18" s="50">
        <v>8.3000000000000007</v>
      </c>
      <c r="Y18" s="50">
        <v>8.3000000000000007</v>
      </c>
      <c r="Z18" s="50">
        <v>7</v>
      </c>
      <c r="AA18" s="50">
        <v>8.3000000000000007</v>
      </c>
      <c r="AB18" s="50">
        <v>8.3000000000000007</v>
      </c>
      <c r="AC18" s="50">
        <v>8.3000000000000007</v>
      </c>
      <c r="AD18" s="50">
        <v>8.3000000000000007</v>
      </c>
      <c r="AE18" s="50">
        <v>8.3000000000000007</v>
      </c>
      <c r="AF18" s="50">
        <v>8.3000000000000007</v>
      </c>
      <c r="AG18" s="56">
        <v>30</v>
      </c>
      <c r="AH18" s="52">
        <f t="shared" si="2"/>
        <v>8.3000000000000007</v>
      </c>
      <c r="AI18" s="53">
        <f t="shared" si="3"/>
        <v>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9.6</v>
      </c>
      <c r="F19" s="50">
        <v>9.6</v>
      </c>
      <c r="G19" s="50">
        <v>9.6</v>
      </c>
      <c r="H19" s="50">
        <v>9.6</v>
      </c>
      <c r="I19" s="50">
        <v>9.6</v>
      </c>
      <c r="J19" s="50">
        <v>9.6</v>
      </c>
      <c r="K19" s="50">
        <v>9.6</v>
      </c>
      <c r="L19" s="50">
        <v>9.6</v>
      </c>
      <c r="M19" s="50">
        <v>9.6</v>
      </c>
      <c r="N19" s="50">
        <v>9.6</v>
      </c>
      <c r="O19" s="50">
        <v>9.6</v>
      </c>
      <c r="P19" s="50">
        <v>9.6</v>
      </c>
      <c r="Q19" s="50">
        <v>9.6</v>
      </c>
      <c r="R19" s="50">
        <v>9.6</v>
      </c>
      <c r="S19" s="50">
        <v>9.6</v>
      </c>
      <c r="T19" s="50">
        <v>9.6</v>
      </c>
      <c r="U19" s="50">
        <v>9.6</v>
      </c>
      <c r="V19" s="50">
        <v>9.6</v>
      </c>
      <c r="W19" s="50">
        <v>9.6</v>
      </c>
      <c r="X19" s="50">
        <v>9.6</v>
      </c>
      <c r="Y19" s="50">
        <v>9.6</v>
      </c>
      <c r="Z19" s="50">
        <v>6.6</v>
      </c>
      <c r="AA19" s="50">
        <v>9.6</v>
      </c>
      <c r="AB19" s="50">
        <v>9.6</v>
      </c>
      <c r="AC19" s="50">
        <v>9.6</v>
      </c>
      <c r="AD19" s="50">
        <v>9.6</v>
      </c>
      <c r="AE19" s="50">
        <v>9.6</v>
      </c>
      <c r="AF19" s="50">
        <v>9.6</v>
      </c>
      <c r="AG19" s="55">
        <v>24.2</v>
      </c>
      <c r="AH19" s="52">
        <f t="shared" si="2"/>
        <v>9.6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12</v>
      </c>
      <c r="N20" s="50">
        <v>12</v>
      </c>
      <c r="O20" s="50">
        <v>12</v>
      </c>
      <c r="P20" s="50">
        <v>12</v>
      </c>
      <c r="Q20" s="50">
        <v>12</v>
      </c>
      <c r="R20" s="50">
        <v>12</v>
      </c>
      <c r="S20" s="50">
        <v>12</v>
      </c>
      <c r="T20" s="50">
        <v>12</v>
      </c>
      <c r="U20" s="50">
        <v>12</v>
      </c>
      <c r="V20" s="50">
        <v>12</v>
      </c>
      <c r="W20" s="50">
        <v>12</v>
      </c>
      <c r="X20" s="50">
        <v>12</v>
      </c>
      <c r="Y20" s="50">
        <v>12</v>
      </c>
      <c r="Z20" s="50">
        <v>12</v>
      </c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12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9.1999999999999993</v>
      </c>
      <c r="C22" s="50">
        <v>9.1999999999999993</v>
      </c>
      <c r="D22" s="50">
        <v>9.1999999999999993</v>
      </c>
      <c r="E22" s="50">
        <v>8.6999999999999993</v>
      </c>
      <c r="F22" s="50">
        <v>8.6999999999999993</v>
      </c>
      <c r="G22" s="50">
        <v>8.6999999999999993</v>
      </c>
      <c r="H22" s="50">
        <v>8.1999999999999993</v>
      </c>
      <c r="I22" s="50">
        <v>8.1999999999999993</v>
      </c>
      <c r="J22" s="50">
        <v>8.1999999999999993</v>
      </c>
      <c r="K22" s="50">
        <v>8.1999999999999993</v>
      </c>
      <c r="L22" s="50">
        <v>8.1999999999999993</v>
      </c>
      <c r="M22" s="50">
        <v>8.1999999999999993</v>
      </c>
      <c r="N22" s="50">
        <v>8.1999999999999993</v>
      </c>
      <c r="O22" s="50">
        <v>8.1999999999999993</v>
      </c>
      <c r="P22" s="50">
        <v>8.1999999999999993</v>
      </c>
      <c r="Q22" s="50">
        <v>8.1999999999999993</v>
      </c>
      <c r="R22" s="50">
        <v>8.1999999999999993</v>
      </c>
      <c r="S22" s="50">
        <v>8.1999999999999993</v>
      </c>
      <c r="T22" s="50">
        <v>8.1999999999999993</v>
      </c>
      <c r="U22" s="50">
        <v>8.1999999999999993</v>
      </c>
      <c r="V22" s="50">
        <v>8.1999999999999993</v>
      </c>
      <c r="W22" s="50">
        <v>8.1999999999999993</v>
      </c>
      <c r="X22" s="50">
        <v>8.1999999999999993</v>
      </c>
      <c r="Y22" s="50">
        <v>8.1999999999999993</v>
      </c>
      <c r="Z22" s="50">
        <v>8.1999999999999993</v>
      </c>
      <c r="AA22" s="50">
        <v>8.1999999999999993</v>
      </c>
      <c r="AB22" s="50">
        <v>8.1999999999999993</v>
      </c>
      <c r="AC22" s="50">
        <v>8.1999999999999993</v>
      </c>
      <c r="AD22" s="50">
        <v>8.1999999999999993</v>
      </c>
      <c r="AE22" s="50">
        <v>8.1999999999999993</v>
      </c>
      <c r="AF22" s="50">
        <v>8.1999999999999993</v>
      </c>
      <c r="AG22" s="55">
        <v>25</v>
      </c>
      <c r="AH22" s="52">
        <f t="shared" si="2"/>
        <v>9.1999999999999993</v>
      </c>
      <c r="AI22" s="53">
        <f t="shared" si="3"/>
        <v>8.1999999999999993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8.1999999999999993</v>
      </c>
      <c r="C26" s="50">
        <v>8.1999999999999993</v>
      </c>
      <c r="D26" s="50">
        <v>8.1999999999999993</v>
      </c>
      <c r="E26" s="50">
        <v>8.1999999999999993</v>
      </c>
      <c r="F26" s="50">
        <v>8.1999999999999993</v>
      </c>
      <c r="G26" s="50">
        <v>8.1999999999999993</v>
      </c>
      <c r="H26" s="50">
        <v>8.1999999999999993</v>
      </c>
      <c r="I26" s="50">
        <v>8.1999999999999993</v>
      </c>
      <c r="J26" s="50">
        <v>8.1999999999999993</v>
      </c>
      <c r="K26" s="50">
        <v>8.1999999999999993</v>
      </c>
      <c r="L26" s="50">
        <v>8.1999999999999993</v>
      </c>
      <c r="M26" s="50">
        <v>8.1999999999999993</v>
      </c>
      <c r="N26" s="50">
        <v>8.1999999999999993</v>
      </c>
      <c r="O26" s="50">
        <v>8.1999999999999993</v>
      </c>
      <c r="P26" s="50">
        <v>8.1999999999999993</v>
      </c>
      <c r="Q26" s="50">
        <v>8.1999999999999993</v>
      </c>
      <c r="R26" s="50">
        <v>8.1999999999999993</v>
      </c>
      <c r="S26" s="50">
        <v>8.1999999999999993</v>
      </c>
      <c r="T26" s="50">
        <v>8.1999999999999993</v>
      </c>
      <c r="U26" s="50">
        <v>8.1999999999999993</v>
      </c>
      <c r="V26" s="50">
        <v>8.1999999999999993</v>
      </c>
      <c r="W26" s="50">
        <v>8.1999999999999993</v>
      </c>
      <c r="X26" s="50">
        <v>8.1999999999999993</v>
      </c>
      <c r="Y26" s="50">
        <v>8.1999999999999993</v>
      </c>
      <c r="Z26" s="50">
        <v>8.1999999999999993</v>
      </c>
      <c r="AA26" s="50">
        <v>8.1999999999999993</v>
      </c>
      <c r="AB26" s="50">
        <v>8.1999999999999993</v>
      </c>
      <c r="AC26" s="50">
        <v>8.1999999999999993</v>
      </c>
      <c r="AD26" s="50">
        <v>8.1999999999999993</v>
      </c>
      <c r="AE26" s="50">
        <v>8.1999999999999993</v>
      </c>
      <c r="AF26" s="50">
        <v>8.1999999999999993</v>
      </c>
      <c r="AG26" s="55">
        <v>23.5</v>
      </c>
      <c r="AH26" s="52">
        <f t="shared" si="2"/>
        <v>8.1999999999999993</v>
      </c>
      <c r="AI26" s="53">
        <f t="shared" si="3"/>
        <v>8.1999999999999993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5">
        <v>22.2</v>
      </c>
      <c r="AH27" s="52">
        <f t="shared" si="2"/>
        <v>0</v>
      </c>
      <c r="AI27" s="53">
        <f t="shared" si="3"/>
        <v>0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11.5</v>
      </c>
      <c r="C30" s="50">
        <v>11.5</v>
      </c>
      <c r="D30" s="50">
        <v>11.5</v>
      </c>
      <c r="E30" s="50">
        <v>11.5</v>
      </c>
      <c r="F30" s="50">
        <v>11.5</v>
      </c>
      <c r="G30" s="50">
        <v>11.5</v>
      </c>
      <c r="H30" s="50">
        <v>11.5</v>
      </c>
      <c r="I30" s="50">
        <v>11.5</v>
      </c>
      <c r="J30" s="50">
        <v>11.5</v>
      </c>
      <c r="K30" s="50">
        <v>11.5</v>
      </c>
      <c r="L30" s="50">
        <v>11.5</v>
      </c>
      <c r="M30" s="50">
        <v>11.5</v>
      </c>
      <c r="N30" s="50">
        <v>11.5</v>
      </c>
      <c r="O30" s="50">
        <v>11.5</v>
      </c>
      <c r="P30" s="50">
        <v>11.5</v>
      </c>
      <c r="Q30" s="50">
        <v>11.5</v>
      </c>
      <c r="R30" s="50">
        <v>11.5</v>
      </c>
      <c r="S30" s="50">
        <v>11.5</v>
      </c>
      <c r="T30" s="50">
        <v>11.5</v>
      </c>
      <c r="U30" s="50">
        <v>11.5</v>
      </c>
      <c r="V30" s="50">
        <v>11.5</v>
      </c>
      <c r="W30" s="50">
        <v>11.5</v>
      </c>
      <c r="X30" s="50">
        <v>11.5</v>
      </c>
      <c r="Y30" s="50">
        <v>11.5</v>
      </c>
      <c r="Z30" s="50">
        <v>11.5</v>
      </c>
      <c r="AA30" s="50">
        <v>11.5</v>
      </c>
      <c r="AB30" s="50">
        <v>11.5</v>
      </c>
      <c r="AC30" s="50">
        <v>11.5</v>
      </c>
      <c r="AD30" s="50">
        <v>11.5</v>
      </c>
      <c r="AE30" s="50">
        <v>11.5</v>
      </c>
      <c r="AF30" s="50">
        <v>11.5</v>
      </c>
      <c r="AG30" s="55">
        <v>22</v>
      </c>
      <c r="AH30" s="52">
        <f t="shared" si="2"/>
        <v>11.5</v>
      </c>
      <c r="AI30" s="53">
        <f t="shared" si="3"/>
        <v>11.5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5</v>
      </c>
      <c r="Q36" s="50">
        <v>5</v>
      </c>
      <c r="R36" s="50">
        <v>5</v>
      </c>
      <c r="S36" s="50">
        <v>5</v>
      </c>
      <c r="T36" s="50">
        <v>5</v>
      </c>
      <c r="U36" s="50">
        <v>5</v>
      </c>
      <c r="V36" s="50">
        <v>5</v>
      </c>
      <c r="W36" s="50">
        <v>5</v>
      </c>
      <c r="X36" s="50">
        <v>5</v>
      </c>
      <c r="Y36" s="50">
        <v>5</v>
      </c>
      <c r="Z36" s="50">
        <v>5</v>
      </c>
      <c r="AA36" s="50">
        <v>5</v>
      </c>
      <c r="AB36" s="50">
        <v>5</v>
      </c>
      <c r="AC36" s="50">
        <v>5</v>
      </c>
      <c r="AD36" s="50">
        <v>5</v>
      </c>
      <c r="AE36" s="50">
        <v>5</v>
      </c>
      <c r="AF36" s="50">
        <v>5</v>
      </c>
      <c r="AG36" s="55">
        <v>13</v>
      </c>
      <c r="AH36" s="52">
        <f t="shared" si="2"/>
        <v>5</v>
      </c>
      <c r="AI36" s="53">
        <f t="shared" si="3"/>
        <v>5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12</v>
      </c>
      <c r="C38" s="50">
        <v>12</v>
      </c>
      <c r="D38" s="50">
        <v>12</v>
      </c>
      <c r="E38" s="50">
        <v>12</v>
      </c>
      <c r="F38" s="50">
        <v>12</v>
      </c>
      <c r="G38" s="50">
        <v>12</v>
      </c>
      <c r="H38" s="50">
        <v>12</v>
      </c>
      <c r="I38" s="50">
        <v>12</v>
      </c>
      <c r="J38" s="50">
        <v>12</v>
      </c>
      <c r="K38" s="50">
        <v>12</v>
      </c>
      <c r="L38" s="50">
        <v>12</v>
      </c>
      <c r="M38" s="50">
        <v>12</v>
      </c>
      <c r="N38" s="50">
        <v>12</v>
      </c>
      <c r="O38" s="50">
        <v>12</v>
      </c>
      <c r="P38" s="50">
        <v>12</v>
      </c>
      <c r="Q38" s="50">
        <v>12</v>
      </c>
      <c r="R38" s="50">
        <v>12</v>
      </c>
      <c r="S38" s="50">
        <v>12</v>
      </c>
      <c r="T38" s="50">
        <v>12</v>
      </c>
      <c r="U38" s="50">
        <v>12</v>
      </c>
      <c r="V38" s="50">
        <v>12</v>
      </c>
      <c r="W38" s="50">
        <v>12</v>
      </c>
      <c r="X38" s="50">
        <v>12</v>
      </c>
      <c r="Y38" s="50">
        <v>12</v>
      </c>
      <c r="Z38" s="50">
        <v>12</v>
      </c>
      <c r="AA38" s="50">
        <v>12</v>
      </c>
      <c r="AB38" s="50">
        <v>12</v>
      </c>
      <c r="AC38" s="50">
        <v>12</v>
      </c>
      <c r="AD38" s="50">
        <v>12</v>
      </c>
      <c r="AE38" s="50">
        <v>12</v>
      </c>
      <c r="AF38" s="50">
        <v>12</v>
      </c>
      <c r="AG38" s="55">
        <v>12</v>
      </c>
      <c r="AH38" s="52">
        <f t="shared" si="2"/>
        <v>12</v>
      </c>
      <c r="AI38" s="53">
        <f t="shared" si="3"/>
        <v>12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4.9000000000000004</v>
      </c>
      <c r="C41" s="50">
        <v>4.9000000000000004</v>
      </c>
      <c r="D41" s="50">
        <v>4.9000000000000004</v>
      </c>
      <c r="E41" s="50">
        <v>4.9000000000000004</v>
      </c>
      <c r="F41" s="50">
        <v>4.9000000000000004</v>
      </c>
      <c r="G41" s="50">
        <v>4.9000000000000004</v>
      </c>
      <c r="H41" s="50">
        <v>4.9000000000000004</v>
      </c>
      <c r="I41" s="50">
        <v>4.9000000000000004</v>
      </c>
      <c r="J41" s="50">
        <v>4.9000000000000004</v>
      </c>
      <c r="K41" s="50">
        <v>4.9000000000000004</v>
      </c>
      <c r="L41" s="50">
        <v>4.9000000000000004</v>
      </c>
      <c r="M41" s="50">
        <v>4.9000000000000004</v>
      </c>
      <c r="N41" s="50">
        <v>4.9000000000000004</v>
      </c>
      <c r="O41" s="50">
        <v>4.9000000000000004</v>
      </c>
      <c r="P41" s="50">
        <v>4.9000000000000004</v>
      </c>
      <c r="Q41" s="50">
        <v>4.9000000000000004</v>
      </c>
      <c r="R41" s="50">
        <v>4.9000000000000004</v>
      </c>
      <c r="S41" s="50">
        <v>4.9000000000000004</v>
      </c>
      <c r="T41" s="50">
        <v>4.9000000000000004</v>
      </c>
      <c r="U41" s="50">
        <v>4.9000000000000004</v>
      </c>
      <c r="V41" s="50">
        <v>4.9000000000000004</v>
      </c>
      <c r="W41" s="50">
        <v>4.9000000000000004</v>
      </c>
      <c r="X41" s="50">
        <v>4.9000000000000004</v>
      </c>
      <c r="Y41" s="50">
        <v>4.9000000000000004</v>
      </c>
      <c r="Z41" s="50">
        <v>4.9000000000000004</v>
      </c>
      <c r="AA41" s="50">
        <v>4.9000000000000004</v>
      </c>
      <c r="AB41" s="50">
        <v>4.9000000000000004</v>
      </c>
      <c r="AC41" s="50">
        <v>4.9000000000000004</v>
      </c>
      <c r="AD41" s="50">
        <v>4.9000000000000004</v>
      </c>
      <c r="AE41" s="50">
        <v>4.9000000000000004</v>
      </c>
      <c r="AF41" s="50">
        <v>4.9000000000000004</v>
      </c>
      <c r="AG41" s="56">
        <v>11.88</v>
      </c>
      <c r="AH41" s="52">
        <f t="shared" si="2"/>
        <v>4.9000000000000004</v>
      </c>
      <c r="AI41" s="53">
        <f t="shared" si="3"/>
        <v>4.9000000000000004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335.5</v>
      </c>
      <c r="C48" s="67">
        <f t="shared" si="4"/>
        <v>335.5</v>
      </c>
      <c r="D48" s="67">
        <f t="shared" si="4"/>
        <v>335.5</v>
      </c>
      <c r="E48" s="67">
        <f t="shared" si="4"/>
        <v>339.1</v>
      </c>
      <c r="F48" s="67">
        <f t="shared" si="4"/>
        <v>339.1</v>
      </c>
      <c r="G48" s="67">
        <f t="shared" si="4"/>
        <v>339.1</v>
      </c>
      <c r="H48" s="67">
        <f t="shared" si="4"/>
        <v>339.79999999999995</v>
      </c>
      <c r="I48" s="67">
        <f t="shared" si="4"/>
        <v>339.79999999999995</v>
      </c>
      <c r="J48" s="67">
        <f t="shared" si="4"/>
        <v>339.79999999999995</v>
      </c>
      <c r="K48" s="67">
        <f t="shared" si="4"/>
        <v>339.79999999999995</v>
      </c>
      <c r="L48" s="67">
        <f t="shared" si="4"/>
        <v>339.79999999999995</v>
      </c>
      <c r="M48" s="67">
        <f t="shared" si="4"/>
        <v>339.79999999999995</v>
      </c>
      <c r="N48" s="67">
        <f t="shared" si="4"/>
        <v>339.79999999999995</v>
      </c>
      <c r="O48" s="67">
        <f t="shared" si="4"/>
        <v>339.79999999999995</v>
      </c>
      <c r="P48" s="67">
        <f t="shared" si="4"/>
        <v>339.79999999999995</v>
      </c>
      <c r="Q48" s="67">
        <f t="shared" si="4"/>
        <v>339.79999999999995</v>
      </c>
      <c r="R48" s="67">
        <f t="shared" si="4"/>
        <v>339.79999999999995</v>
      </c>
      <c r="S48" s="67">
        <f t="shared" si="4"/>
        <v>339.79999999999995</v>
      </c>
      <c r="T48" s="67">
        <f t="shared" si="4"/>
        <v>339.79999999999995</v>
      </c>
      <c r="U48" s="67">
        <f t="shared" ref="U48:V48" si="5">SUM(U12:U46)</f>
        <v>339.79999999999995</v>
      </c>
      <c r="V48" s="67">
        <f t="shared" si="5"/>
        <v>339.79999999999995</v>
      </c>
      <c r="W48" s="67">
        <f t="shared" ref="W48:X48" si="6">SUM(W12:W46)</f>
        <v>339.79999999999995</v>
      </c>
      <c r="X48" s="67">
        <f t="shared" si="6"/>
        <v>339.79999999999995</v>
      </c>
      <c r="Y48" s="67">
        <f t="shared" ref="Y48:AA48" si="7">SUM(Y12:Y46)</f>
        <v>339.79999999999995</v>
      </c>
      <c r="Z48" s="67">
        <v>332.5</v>
      </c>
      <c r="AA48" s="67">
        <f t="shared" si="7"/>
        <v>339.79999999999995</v>
      </c>
      <c r="AB48" s="67">
        <f t="shared" si="4"/>
        <v>339.79999999999995</v>
      </c>
      <c r="AC48" s="67">
        <f t="shared" si="4"/>
        <v>339.79999999999995</v>
      </c>
      <c r="AD48" s="67">
        <f t="shared" si="4"/>
        <v>339.79999999999995</v>
      </c>
      <c r="AE48" s="67">
        <f t="shared" si="4"/>
        <v>339.79999999999995</v>
      </c>
      <c r="AF48" s="67">
        <f t="shared" si="4"/>
        <v>339.79999999999995</v>
      </c>
      <c r="AG48" s="68">
        <f t="shared" si="4"/>
        <v>875.68</v>
      </c>
      <c r="AH48" s="52">
        <f t="shared" si="2"/>
        <v>339.79999999999995</v>
      </c>
      <c r="AI48" s="53">
        <f t="shared" si="3"/>
        <v>332.5</v>
      </c>
      <c r="AK48" s="54"/>
    </row>
    <row r="49" spans="1:41" x14ac:dyDescent="0.25">
      <c r="A49" s="69" t="s">
        <v>53</v>
      </c>
      <c r="B49" s="50">
        <v>20</v>
      </c>
      <c r="C49" s="50">
        <v>20</v>
      </c>
      <c r="D49" s="50">
        <v>20</v>
      </c>
      <c r="E49" s="50">
        <v>35</v>
      </c>
      <c r="F49" s="50">
        <v>55</v>
      </c>
      <c r="G49" s="50">
        <v>35</v>
      </c>
      <c r="H49" s="50">
        <v>75</v>
      </c>
      <c r="I49" s="50">
        <v>120</v>
      </c>
      <c r="J49" s="50">
        <v>125</v>
      </c>
      <c r="K49" s="50">
        <v>110</v>
      </c>
      <c r="L49" s="50">
        <v>130</v>
      </c>
      <c r="M49" s="70">
        <v>90</v>
      </c>
      <c r="N49" s="70">
        <v>0</v>
      </c>
      <c r="O49" s="70">
        <v>0</v>
      </c>
      <c r="P49" s="70">
        <v>0</v>
      </c>
      <c r="Q49" s="50">
        <v>76</v>
      </c>
      <c r="R49" s="50">
        <v>60</v>
      </c>
      <c r="S49" s="50">
        <v>68</v>
      </c>
      <c r="T49" s="50">
        <v>68</v>
      </c>
      <c r="U49" s="50">
        <v>60</v>
      </c>
      <c r="V49" s="50">
        <v>30</v>
      </c>
      <c r="W49" s="50">
        <v>30</v>
      </c>
      <c r="X49" s="50">
        <v>80</v>
      </c>
      <c r="Y49" s="50">
        <v>150</v>
      </c>
      <c r="Z49" s="50">
        <v>225</v>
      </c>
      <c r="AA49" s="50">
        <v>350</v>
      </c>
      <c r="AB49" s="50">
        <v>190</v>
      </c>
      <c r="AC49" s="50">
        <v>100</v>
      </c>
      <c r="AD49" s="50">
        <v>70</v>
      </c>
      <c r="AE49" s="50">
        <v>70</v>
      </c>
      <c r="AF49" s="50">
        <v>70</v>
      </c>
      <c r="AG49" s="56">
        <v>456</v>
      </c>
      <c r="AH49" s="52">
        <f t="shared" si="2"/>
        <v>350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27.2</v>
      </c>
      <c r="C50" s="72">
        <v>27.2</v>
      </c>
      <c r="D50" s="72">
        <v>27.2</v>
      </c>
      <c r="E50" s="72">
        <v>27</v>
      </c>
      <c r="F50" s="72">
        <v>27</v>
      </c>
      <c r="G50" s="72">
        <v>27</v>
      </c>
      <c r="H50" s="72">
        <v>27</v>
      </c>
      <c r="I50" s="72">
        <v>27</v>
      </c>
      <c r="J50" s="72">
        <v>27</v>
      </c>
      <c r="K50" s="72">
        <v>27</v>
      </c>
      <c r="L50" s="72">
        <v>27</v>
      </c>
      <c r="M50" s="72">
        <v>27</v>
      </c>
      <c r="N50" s="72">
        <v>27</v>
      </c>
      <c r="O50" s="72">
        <v>27</v>
      </c>
      <c r="P50" s="72">
        <v>27</v>
      </c>
      <c r="Q50" s="72">
        <v>27</v>
      </c>
      <c r="R50" s="72">
        <v>27</v>
      </c>
      <c r="S50" s="72">
        <v>27</v>
      </c>
      <c r="T50" s="72">
        <v>27</v>
      </c>
      <c r="U50" s="72">
        <v>27</v>
      </c>
      <c r="V50" s="72">
        <v>27</v>
      </c>
      <c r="W50" s="72">
        <v>27</v>
      </c>
      <c r="X50" s="72">
        <v>27</v>
      </c>
      <c r="Y50" s="72">
        <v>27</v>
      </c>
      <c r="Z50" s="72">
        <v>27</v>
      </c>
      <c r="AA50" s="72">
        <v>27</v>
      </c>
      <c r="AB50" s="72">
        <v>27</v>
      </c>
      <c r="AC50" s="72">
        <v>27</v>
      </c>
      <c r="AD50" s="72">
        <v>27</v>
      </c>
      <c r="AE50" s="72">
        <v>27</v>
      </c>
      <c r="AF50" s="72">
        <v>27</v>
      </c>
      <c r="AG50" s="61">
        <v>60</v>
      </c>
      <c r="AH50" s="52">
        <f t="shared" si="2"/>
        <v>27.2</v>
      </c>
      <c r="AI50" s="53">
        <f t="shared" si="3"/>
        <v>27</v>
      </c>
      <c r="AK50" s="54"/>
    </row>
    <row r="51" spans="1:41" ht="15.75" thickBot="1" x14ac:dyDescent="0.3">
      <c r="A51" s="73" t="s">
        <v>55</v>
      </c>
      <c r="B51" s="74">
        <v>8.8000000000000007</v>
      </c>
      <c r="C51" s="74">
        <v>8.8000000000000007</v>
      </c>
      <c r="D51" s="74">
        <v>8.8000000000000007</v>
      </c>
      <c r="E51" s="74">
        <v>10.1</v>
      </c>
      <c r="F51" s="74">
        <v>10.1</v>
      </c>
      <c r="G51" s="74">
        <v>10.1</v>
      </c>
      <c r="H51" s="74">
        <v>10.1</v>
      </c>
      <c r="I51" s="74">
        <v>10.1</v>
      </c>
      <c r="J51" s="74">
        <v>10.1</v>
      </c>
      <c r="K51" s="74">
        <v>10.1</v>
      </c>
      <c r="L51" s="74">
        <v>10.1</v>
      </c>
      <c r="M51" s="74">
        <v>10.199999999999999</v>
      </c>
      <c r="N51" s="74">
        <v>10.199999999999999</v>
      </c>
      <c r="O51" s="74">
        <v>10.199999999999999</v>
      </c>
      <c r="P51" s="74">
        <v>10.199999999999999</v>
      </c>
      <c r="Q51" s="74">
        <v>10.6</v>
      </c>
      <c r="R51" s="74">
        <v>9.3000000000000007</v>
      </c>
      <c r="S51" s="74">
        <v>9.3000000000000007</v>
      </c>
      <c r="T51" s="74">
        <v>9.3000000000000007</v>
      </c>
      <c r="U51" s="74">
        <v>9.3000000000000007</v>
      </c>
      <c r="V51" s="74">
        <v>9.3000000000000007</v>
      </c>
      <c r="W51" s="74">
        <v>9.3000000000000007</v>
      </c>
      <c r="X51" s="74">
        <v>9.3000000000000007</v>
      </c>
      <c r="Y51" s="74">
        <v>9.3000000000000007</v>
      </c>
      <c r="Z51" s="74">
        <v>9.3000000000000007</v>
      </c>
      <c r="AA51" s="74">
        <v>9.3000000000000007</v>
      </c>
      <c r="AB51" s="74">
        <v>9.3000000000000007</v>
      </c>
      <c r="AC51" s="74">
        <v>9.3000000000000007</v>
      </c>
      <c r="AD51" s="74">
        <v>9.3000000000000007</v>
      </c>
      <c r="AE51" s="74">
        <v>9.3000000000000007</v>
      </c>
      <c r="AF51" s="74">
        <v>9.3000000000000007</v>
      </c>
      <c r="AG51" s="75">
        <v>22.1</v>
      </c>
      <c r="AH51" s="52">
        <f t="shared" si="2"/>
        <v>10.6</v>
      </c>
      <c r="AI51" s="53">
        <f t="shared" si="3"/>
        <v>8.8000000000000007</v>
      </c>
      <c r="AK51" s="54"/>
    </row>
    <row r="52" spans="1:41" ht="15.75" thickBot="1" x14ac:dyDescent="0.3">
      <c r="A52" s="76" t="s">
        <v>56</v>
      </c>
      <c r="B52" s="67">
        <f t="shared" ref="B52:AG52" si="8">SUM(B49:B51)</f>
        <v>56</v>
      </c>
      <c r="C52" s="67">
        <f t="shared" si="8"/>
        <v>56</v>
      </c>
      <c r="D52" s="67">
        <f t="shared" si="8"/>
        <v>56</v>
      </c>
      <c r="E52" s="67">
        <f t="shared" si="8"/>
        <v>72.099999999999994</v>
      </c>
      <c r="F52" s="67">
        <f t="shared" si="8"/>
        <v>92.1</v>
      </c>
      <c r="G52" s="67">
        <f t="shared" si="8"/>
        <v>72.099999999999994</v>
      </c>
      <c r="H52" s="67">
        <f t="shared" si="8"/>
        <v>112.1</v>
      </c>
      <c r="I52" s="67">
        <f t="shared" si="8"/>
        <v>157.1</v>
      </c>
      <c r="J52" s="67">
        <f t="shared" si="8"/>
        <v>162.1</v>
      </c>
      <c r="K52" s="67">
        <f t="shared" si="8"/>
        <v>147.1</v>
      </c>
      <c r="L52" s="67">
        <f t="shared" si="8"/>
        <v>167.1</v>
      </c>
      <c r="M52" s="67">
        <f t="shared" si="8"/>
        <v>127.2</v>
      </c>
      <c r="N52" s="67">
        <f t="shared" si="8"/>
        <v>37.200000000000003</v>
      </c>
      <c r="O52" s="67">
        <f t="shared" si="8"/>
        <v>37.200000000000003</v>
      </c>
      <c r="P52" s="67">
        <f t="shared" si="8"/>
        <v>37.200000000000003</v>
      </c>
      <c r="Q52" s="67">
        <f t="shared" si="8"/>
        <v>113.6</v>
      </c>
      <c r="R52" s="67">
        <f t="shared" si="8"/>
        <v>96.3</v>
      </c>
      <c r="S52" s="67">
        <f t="shared" si="8"/>
        <v>104.3</v>
      </c>
      <c r="T52" s="67">
        <f t="shared" si="8"/>
        <v>104.3</v>
      </c>
      <c r="U52" s="67">
        <f t="shared" ref="U52" si="9">SUM(U49:U51)</f>
        <v>96.3</v>
      </c>
      <c r="V52" s="67">
        <f t="shared" si="8"/>
        <v>66.3</v>
      </c>
      <c r="W52" s="67">
        <f t="shared" ref="W52:X52" si="10">SUM(W49:W51)</f>
        <v>66.3</v>
      </c>
      <c r="X52" s="67">
        <f t="shared" si="10"/>
        <v>116.3</v>
      </c>
      <c r="Y52" s="67">
        <f t="shared" ref="Y52:AA52" si="11">SUM(Y49:Y51)</f>
        <v>186.3</v>
      </c>
      <c r="Z52" s="67">
        <v>261.3</v>
      </c>
      <c r="AA52" s="67">
        <f t="shared" si="11"/>
        <v>386.3</v>
      </c>
      <c r="AB52" s="67">
        <f t="shared" si="8"/>
        <v>226.3</v>
      </c>
      <c r="AC52" s="67">
        <f t="shared" si="8"/>
        <v>136.30000000000001</v>
      </c>
      <c r="AD52" s="67">
        <f t="shared" si="8"/>
        <v>106.3</v>
      </c>
      <c r="AE52" s="67">
        <f t="shared" si="8"/>
        <v>106.3</v>
      </c>
      <c r="AF52" s="67">
        <f t="shared" si="8"/>
        <v>106.3</v>
      </c>
      <c r="AG52" s="68">
        <f t="shared" si="8"/>
        <v>538.1</v>
      </c>
      <c r="AH52" s="52">
        <f t="shared" si="2"/>
        <v>386.3</v>
      </c>
      <c r="AI52" s="53">
        <f t="shared" si="3"/>
        <v>37.200000000000003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28</v>
      </c>
      <c r="H53" s="50">
        <v>41</v>
      </c>
      <c r="I53" s="50">
        <v>63.6</v>
      </c>
      <c r="J53" s="50">
        <v>110</v>
      </c>
      <c r="K53" s="50">
        <v>103.9</v>
      </c>
      <c r="L53" s="50">
        <v>89.5</v>
      </c>
      <c r="M53" s="50">
        <v>61.2</v>
      </c>
      <c r="N53" s="50">
        <v>61.2</v>
      </c>
      <c r="O53" s="50">
        <v>61.2</v>
      </c>
      <c r="P53" s="50">
        <v>61</v>
      </c>
      <c r="Q53" s="50">
        <v>91</v>
      </c>
      <c r="R53" s="50">
        <v>81.3</v>
      </c>
      <c r="S53" s="50">
        <v>92</v>
      </c>
      <c r="T53" s="50">
        <v>92</v>
      </c>
      <c r="U53" s="50">
        <v>92</v>
      </c>
      <c r="V53" s="50">
        <v>70</v>
      </c>
      <c r="W53" s="50">
        <v>70</v>
      </c>
      <c r="X53" s="50">
        <v>96</v>
      </c>
      <c r="Y53" s="50">
        <v>124.2</v>
      </c>
      <c r="Z53" s="50">
        <v>140</v>
      </c>
      <c r="AA53" s="50">
        <v>138.5</v>
      </c>
      <c r="AB53" s="50">
        <v>125</v>
      </c>
      <c r="AC53" s="50">
        <v>90</v>
      </c>
      <c r="AD53" s="50">
        <v>61.4</v>
      </c>
      <c r="AE53" s="50">
        <v>61.4</v>
      </c>
      <c r="AF53" s="50">
        <v>30.5</v>
      </c>
      <c r="AG53" s="56">
        <v>144</v>
      </c>
      <c r="AH53" s="52">
        <f t="shared" si="2"/>
        <v>140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22</v>
      </c>
      <c r="C54" s="72">
        <v>22</v>
      </c>
      <c r="D54" s="72">
        <v>22</v>
      </c>
      <c r="E54" s="72">
        <v>22.4</v>
      </c>
      <c r="F54" s="72">
        <v>29.6</v>
      </c>
      <c r="G54" s="72">
        <v>22.5</v>
      </c>
      <c r="H54" s="72">
        <v>22.3</v>
      </c>
      <c r="I54" s="72">
        <v>34.799999999999997</v>
      </c>
      <c r="J54" s="72">
        <v>34.799999999999997</v>
      </c>
      <c r="K54" s="72">
        <v>34.799999999999997</v>
      </c>
      <c r="L54" s="72">
        <v>34.799999999999997</v>
      </c>
      <c r="M54" s="72">
        <v>25.4</v>
      </c>
      <c r="N54" s="72">
        <v>25.4</v>
      </c>
      <c r="O54" s="72">
        <v>25.4</v>
      </c>
      <c r="P54" s="72">
        <v>25.4</v>
      </c>
      <c r="Q54" s="72">
        <v>34.700000000000003</v>
      </c>
      <c r="R54" s="50">
        <v>34.700000000000003</v>
      </c>
      <c r="S54" s="50">
        <v>34.700000000000003</v>
      </c>
      <c r="T54" s="50">
        <v>34.700000000000003</v>
      </c>
      <c r="U54" s="50">
        <v>22</v>
      </c>
      <c r="V54" s="50">
        <v>0</v>
      </c>
      <c r="W54" s="50">
        <v>0</v>
      </c>
      <c r="X54" s="50">
        <v>0</v>
      </c>
      <c r="Y54" s="50">
        <v>0</v>
      </c>
      <c r="Z54" s="50">
        <v>19</v>
      </c>
      <c r="AA54" s="50">
        <v>19</v>
      </c>
      <c r="AB54" s="50">
        <v>19</v>
      </c>
      <c r="AC54" s="72">
        <v>0</v>
      </c>
      <c r="AD54" s="72">
        <v>0</v>
      </c>
      <c r="AE54" s="72">
        <v>0</v>
      </c>
      <c r="AF54" s="72">
        <v>0</v>
      </c>
      <c r="AG54" s="61">
        <v>70</v>
      </c>
      <c r="AH54" s="52">
        <f t="shared" si="2"/>
        <v>34.799999999999997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16.7</v>
      </c>
      <c r="C55" s="72">
        <v>22.5</v>
      </c>
      <c r="D55" s="72">
        <v>15.9</v>
      </c>
      <c r="E55" s="72">
        <v>0</v>
      </c>
      <c r="F55" s="72">
        <v>0.8</v>
      </c>
      <c r="G55" s="72">
        <v>17.899999999999999</v>
      </c>
      <c r="H55" s="72">
        <v>18.899999999999999</v>
      </c>
      <c r="I55" s="72">
        <v>32.700000000000003</v>
      </c>
      <c r="J55" s="72">
        <v>54.9</v>
      </c>
      <c r="K55" s="72">
        <v>54.6</v>
      </c>
      <c r="L55" s="72">
        <v>55.2</v>
      </c>
      <c r="M55" s="72">
        <v>35.799999999999997</v>
      </c>
      <c r="N55" s="72">
        <v>15</v>
      </c>
      <c r="O55" s="72">
        <v>15</v>
      </c>
      <c r="P55" s="72">
        <v>15</v>
      </c>
      <c r="Q55" s="72">
        <v>46</v>
      </c>
      <c r="R55" s="50">
        <v>40.799999999999997</v>
      </c>
      <c r="S55" s="50">
        <v>46.3</v>
      </c>
      <c r="T55" s="50">
        <v>46.3</v>
      </c>
      <c r="U55" s="50">
        <v>46.3</v>
      </c>
      <c r="V55" s="50">
        <v>37.9</v>
      </c>
      <c r="W55" s="50">
        <v>37.9</v>
      </c>
      <c r="X55" s="50">
        <v>37.9</v>
      </c>
      <c r="Y55" s="50">
        <v>54.1</v>
      </c>
      <c r="Z55" s="50">
        <v>55</v>
      </c>
      <c r="AA55" s="50">
        <v>46.6</v>
      </c>
      <c r="AB55" s="50">
        <v>35</v>
      </c>
      <c r="AC55" s="72">
        <v>44.8</v>
      </c>
      <c r="AD55" s="72">
        <v>46.7</v>
      </c>
      <c r="AE55" s="72">
        <v>46.3</v>
      </c>
      <c r="AF55" s="72">
        <v>16.100000000000001</v>
      </c>
      <c r="AG55" s="61">
        <v>69</v>
      </c>
      <c r="AH55" s="52">
        <f t="shared" si="2"/>
        <v>55.2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36</v>
      </c>
      <c r="C56" s="72">
        <v>40.1</v>
      </c>
      <c r="D56" s="72">
        <v>40.1</v>
      </c>
      <c r="E56" s="63">
        <v>37.799999999999997</v>
      </c>
      <c r="F56" s="63">
        <v>34.299999999999997</v>
      </c>
      <c r="G56" s="63">
        <v>34.5</v>
      </c>
      <c r="H56" s="63">
        <v>36.299999999999997</v>
      </c>
      <c r="I56" s="63">
        <v>36</v>
      </c>
      <c r="J56" s="63">
        <v>36</v>
      </c>
      <c r="K56" s="63">
        <v>36.299999999999997</v>
      </c>
      <c r="L56" s="63">
        <v>36</v>
      </c>
      <c r="M56" s="72">
        <v>36</v>
      </c>
      <c r="N56" s="72">
        <v>36</v>
      </c>
      <c r="O56" s="72">
        <v>36</v>
      </c>
      <c r="P56" s="72">
        <v>36</v>
      </c>
      <c r="Q56" s="72">
        <v>35.799999999999997</v>
      </c>
      <c r="R56" s="50">
        <v>35.799999999999997</v>
      </c>
      <c r="S56" s="50">
        <v>35.799999999999997</v>
      </c>
      <c r="T56" s="50">
        <v>35.799999999999997</v>
      </c>
      <c r="U56" s="50">
        <v>35.799999999999997</v>
      </c>
      <c r="V56" s="50">
        <v>32.5</v>
      </c>
      <c r="W56" s="50">
        <v>32.5</v>
      </c>
      <c r="X56" s="50">
        <v>32.5</v>
      </c>
      <c r="Y56" s="50">
        <v>33</v>
      </c>
      <c r="Z56" s="50">
        <v>33</v>
      </c>
      <c r="AA56" s="50">
        <v>34.299999999999997</v>
      </c>
      <c r="AB56" s="50">
        <v>34.299999999999997</v>
      </c>
      <c r="AC56" s="50">
        <v>34.299999999999997</v>
      </c>
      <c r="AD56" s="50">
        <v>34.299999999999997</v>
      </c>
      <c r="AE56" s="50">
        <v>34.299999999999997</v>
      </c>
      <c r="AF56" s="50">
        <v>34.299999999999997</v>
      </c>
      <c r="AG56" s="61">
        <v>60</v>
      </c>
      <c r="AH56" s="52">
        <f t="shared" si="2"/>
        <v>40.1</v>
      </c>
      <c r="AI56" s="53">
        <f t="shared" si="3"/>
        <v>32.5</v>
      </c>
      <c r="AK56" s="54"/>
    </row>
    <row r="57" spans="1:41" x14ac:dyDescent="0.25">
      <c r="A57" s="60" t="s">
        <v>61</v>
      </c>
      <c r="B57" s="72">
        <v>10</v>
      </c>
      <c r="C57" s="72">
        <v>0</v>
      </c>
      <c r="D57" s="72">
        <v>0</v>
      </c>
      <c r="E57" s="63">
        <v>0</v>
      </c>
      <c r="F57" s="63">
        <v>0</v>
      </c>
      <c r="G57" s="63">
        <v>10</v>
      </c>
      <c r="H57" s="63">
        <v>15</v>
      </c>
      <c r="I57" s="63">
        <v>23</v>
      </c>
      <c r="J57" s="63">
        <v>30</v>
      </c>
      <c r="K57" s="63">
        <v>18.600000000000001</v>
      </c>
      <c r="L57" s="63">
        <v>10</v>
      </c>
      <c r="M57" s="72">
        <v>10</v>
      </c>
      <c r="N57" s="72">
        <v>0</v>
      </c>
      <c r="O57" s="72">
        <v>0</v>
      </c>
      <c r="P57" s="72">
        <v>10</v>
      </c>
      <c r="Q57" s="72">
        <v>14</v>
      </c>
      <c r="R57" s="50">
        <v>14.8</v>
      </c>
      <c r="S57" s="50">
        <v>15</v>
      </c>
      <c r="T57" s="50">
        <v>15</v>
      </c>
      <c r="U57" s="50">
        <v>15</v>
      </c>
      <c r="V57" s="50">
        <v>0</v>
      </c>
      <c r="W57" s="50">
        <v>0</v>
      </c>
      <c r="X57" s="50">
        <v>0</v>
      </c>
      <c r="Y57" s="50">
        <v>0</v>
      </c>
      <c r="Z57" s="50">
        <v>15.2</v>
      </c>
      <c r="AA57" s="50">
        <v>0</v>
      </c>
      <c r="AB57" s="72">
        <v>15</v>
      </c>
      <c r="AC57" s="72">
        <v>15</v>
      </c>
      <c r="AD57" s="72">
        <v>15</v>
      </c>
      <c r="AE57" s="72">
        <v>15</v>
      </c>
      <c r="AF57" s="72">
        <v>10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8</v>
      </c>
      <c r="N58" s="50">
        <v>12</v>
      </c>
      <c r="O58" s="50">
        <v>12</v>
      </c>
      <c r="P58" s="50">
        <v>14</v>
      </c>
      <c r="Q58" s="72">
        <v>16</v>
      </c>
      <c r="R58" s="50">
        <v>16</v>
      </c>
      <c r="S58" s="50">
        <v>16</v>
      </c>
      <c r="T58" s="50">
        <v>16</v>
      </c>
      <c r="U58" s="50">
        <v>16</v>
      </c>
      <c r="V58" s="50">
        <v>6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16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10</v>
      </c>
      <c r="C59" s="72">
        <v>10</v>
      </c>
      <c r="D59" s="72">
        <v>10</v>
      </c>
      <c r="E59" s="72">
        <v>10</v>
      </c>
      <c r="F59" s="72">
        <v>10</v>
      </c>
      <c r="G59" s="72">
        <v>10</v>
      </c>
      <c r="H59" s="72">
        <v>10</v>
      </c>
      <c r="I59" s="72">
        <v>10</v>
      </c>
      <c r="J59" s="72">
        <v>10</v>
      </c>
      <c r="K59" s="72">
        <v>10</v>
      </c>
      <c r="L59" s="72">
        <v>10</v>
      </c>
      <c r="M59" s="72">
        <v>10</v>
      </c>
      <c r="N59" s="72">
        <v>10</v>
      </c>
      <c r="O59" s="72">
        <v>10</v>
      </c>
      <c r="P59" s="72">
        <v>10</v>
      </c>
      <c r="Q59" s="72">
        <v>10</v>
      </c>
      <c r="R59" s="72">
        <v>10</v>
      </c>
      <c r="S59" s="72">
        <v>10</v>
      </c>
      <c r="T59" s="72">
        <v>10</v>
      </c>
      <c r="U59" s="72">
        <v>10</v>
      </c>
      <c r="V59" s="72">
        <v>10</v>
      </c>
      <c r="W59" s="72">
        <v>10</v>
      </c>
      <c r="X59" s="72">
        <v>10</v>
      </c>
      <c r="Y59" s="72">
        <v>9.5</v>
      </c>
      <c r="Z59" s="72">
        <v>9.5</v>
      </c>
      <c r="AA59" s="72">
        <v>9.5</v>
      </c>
      <c r="AB59" s="72">
        <v>9.5</v>
      </c>
      <c r="AC59" s="72">
        <v>9.5</v>
      </c>
      <c r="AD59" s="72">
        <v>9.5</v>
      </c>
      <c r="AE59" s="72">
        <v>9.5</v>
      </c>
      <c r="AF59" s="72">
        <v>9.5</v>
      </c>
      <c r="AG59" s="61">
        <v>24</v>
      </c>
      <c r="AH59" s="52">
        <f t="shared" si="2"/>
        <v>10</v>
      </c>
      <c r="AI59" s="53">
        <f t="shared" si="3"/>
        <v>9.5</v>
      </c>
      <c r="AK59" s="54"/>
    </row>
    <row r="60" spans="1:41" x14ac:dyDescent="0.25">
      <c r="A60" s="60" t="s">
        <v>64</v>
      </c>
      <c r="B60" s="72">
        <v>3.4</v>
      </c>
      <c r="C60" s="72">
        <v>3.4</v>
      </c>
      <c r="D60" s="72">
        <v>3.4</v>
      </c>
      <c r="E60" s="72">
        <v>3.4</v>
      </c>
      <c r="F60" s="72">
        <v>3.4</v>
      </c>
      <c r="G60" s="72">
        <v>3.4</v>
      </c>
      <c r="H60" s="72">
        <v>3.4</v>
      </c>
      <c r="I60" s="72">
        <v>3.4</v>
      </c>
      <c r="J60" s="72">
        <v>3.4</v>
      </c>
      <c r="K60" s="72">
        <v>3.4</v>
      </c>
      <c r="L60" s="72">
        <v>3.4</v>
      </c>
      <c r="M60" s="72">
        <v>3.4</v>
      </c>
      <c r="N60" s="72">
        <v>3.4</v>
      </c>
      <c r="O60" s="72">
        <v>3.4</v>
      </c>
      <c r="P60" s="72">
        <v>3.4</v>
      </c>
      <c r="Q60" s="72">
        <v>3.4</v>
      </c>
      <c r="R60" s="72">
        <v>3.4</v>
      </c>
      <c r="S60" s="72">
        <v>3.4</v>
      </c>
      <c r="T60" s="72">
        <v>3.4</v>
      </c>
      <c r="U60" s="72">
        <v>3.4</v>
      </c>
      <c r="V60" s="72">
        <v>3.4</v>
      </c>
      <c r="W60" s="72">
        <v>3.4</v>
      </c>
      <c r="X60" s="72">
        <v>3.4</v>
      </c>
      <c r="Y60" s="72">
        <v>3.4</v>
      </c>
      <c r="Z60" s="72">
        <v>3.4</v>
      </c>
      <c r="AA60" s="72">
        <v>3.4</v>
      </c>
      <c r="AB60" s="72">
        <v>3.4</v>
      </c>
      <c r="AC60" s="72">
        <v>3.4</v>
      </c>
      <c r="AD60" s="72">
        <v>3.4</v>
      </c>
      <c r="AE60" s="72">
        <v>3.4</v>
      </c>
      <c r="AF60" s="72">
        <v>3.4</v>
      </c>
      <c r="AG60" s="61">
        <v>15</v>
      </c>
      <c r="AH60" s="52">
        <f t="shared" si="2"/>
        <v>3.4</v>
      </c>
      <c r="AI60" s="53">
        <f t="shared" si="3"/>
        <v>3.4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7.5</v>
      </c>
      <c r="C61" s="72">
        <v>7.5</v>
      </c>
      <c r="D61" s="72">
        <v>7.5</v>
      </c>
      <c r="E61" s="72">
        <v>7.5</v>
      </c>
      <c r="F61" s="72">
        <v>7.5</v>
      </c>
      <c r="G61" s="72">
        <v>7.5</v>
      </c>
      <c r="H61" s="72">
        <v>7.5</v>
      </c>
      <c r="I61" s="72">
        <v>7.5</v>
      </c>
      <c r="J61" s="72">
        <v>7.5</v>
      </c>
      <c r="K61" s="72">
        <v>7.5</v>
      </c>
      <c r="L61" s="72">
        <v>7.5</v>
      </c>
      <c r="M61" s="72">
        <v>7.5</v>
      </c>
      <c r="N61" s="72">
        <v>7.5</v>
      </c>
      <c r="O61" s="72">
        <v>7.5</v>
      </c>
      <c r="P61" s="72">
        <v>7.5</v>
      </c>
      <c r="Q61" s="72">
        <v>7.5</v>
      </c>
      <c r="R61" s="72">
        <v>7.5</v>
      </c>
      <c r="S61" s="72">
        <v>7.5</v>
      </c>
      <c r="T61" s="72">
        <v>7.5</v>
      </c>
      <c r="U61" s="72">
        <v>7.5</v>
      </c>
      <c r="V61" s="72">
        <v>7.5</v>
      </c>
      <c r="W61" s="72">
        <v>7.5</v>
      </c>
      <c r="X61" s="72">
        <v>7.5</v>
      </c>
      <c r="Y61" s="72">
        <v>7.5</v>
      </c>
      <c r="Z61" s="72">
        <v>7.5</v>
      </c>
      <c r="AA61" s="72">
        <v>7.5</v>
      </c>
      <c r="AB61" s="72">
        <v>7.5</v>
      </c>
      <c r="AC61" s="72">
        <v>7.5</v>
      </c>
      <c r="AD61" s="72">
        <v>7.5</v>
      </c>
      <c r="AE61" s="72">
        <v>7.5</v>
      </c>
      <c r="AF61" s="72">
        <v>7.5</v>
      </c>
      <c r="AG61" s="61">
        <v>14.1</v>
      </c>
      <c r="AH61" s="52">
        <f t="shared" si="2"/>
        <v>7.5</v>
      </c>
      <c r="AI61" s="53">
        <f t="shared" si="3"/>
        <v>7.5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3.4</v>
      </c>
      <c r="C62" s="72">
        <v>3.4</v>
      </c>
      <c r="D62" s="72">
        <v>3.4</v>
      </c>
      <c r="E62" s="72">
        <v>3.4</v>
      </c>
      <c r="F62" s="72">
        <v>3.4</v>
      </c>
      <c r="G62" s="72">
        <v>3.4</v>
      </c>
      <c r="H62" s="72">
        <v>3.4</v>
      </c>
      <c r="I62" s="72">
        <v>3.4</v>
      </c>
      <c r="J62" s="72">
        <v>3.4</v>
      </c>
      <c r="K62" s="72">
        <v>3.4</v>
      </c>
      <c r="L62" s="72">
        <v>3.4</v>
      </c>
      <c r="M62" s="72">
        <v>3.4</v>
      </c>
      <c r="N62" s="72">
        <v>3.4</v>
      </c>
      <c r="O62" s="72">
        <v>3.4</v>
      </c>
      <c r="P62" s="72">
        <v>3.4</v>
      </c>
      <c r="Q62" s="72">
        <v>3.4</v>
      </c>
      <c r="R62" s="72">
        <v>3.4</v>
      </c>
      <c r="S62" s="72">
        <v>3.4</v>
      </c>
      <c r="T62" s="72">
        <v>3.4</v>
      </c>
      <c r="U62" s="72">
        <v>3.4</v>
      </c>
      <c r="V62" s="72">
        <v>3.4</v>
      </c>
      <c r="W62" s="72">
        <v>3.4</v>
      </c>
      <c r="X62" s="72">
        <v>3.4</v>
      </c>
      <c r="Y62" s="72">
        <v>3.4</v>
      </c>
      <c r="Z62" s="72">
        <v>3.4</v>
      </c>
      <c r="AA62" s="72">
        <v>3.4</v>
      </c>
      <c r="AB62" s="72">
        <v>3.4</v>
      </c>
      <c r="AC62" s="72">
        <v>3.4</v>
      </c>
      <c r="AD62" s="72">
        <v>3.4</v>
      </c>
      <c r="AE62" s="72">
        <v>3.4</v>
      </c>
      <c r="AF62" s="72">
        <v>3.4</v>
      </c>
      <c r="AG62" s="61">
        <v>14</v>
      </c>
      <c r="AH62" s="52">
        <f t="shared" si="2"/>
        <v>3.4</v>
      </c>
      <c r="AI62" s="53">
        <f t="shared" si="3"/>
        <v>3.4</v>
      </c>
      <c r="AK62" s="54"/>
    </row>
    <row r="63" spans="1:41" x14ac:dyDescent="0.25">
      <c r="A63" s="60" t="s">
        <v>67</v>
      </c>
      <c r="B63" s="72">
        <v>2.4</v>
      </c>
      <c r="C63" s="72">
        <v>2.4</v>
      </c>
      <c r="D63" s="72">
        <v>2.4</v>
      </c>
      <c r="E63" s="72">
        <v>2.4</v>
      </c>
      <c r="F63" s="72">
        <v>2.4</v>
      </c>
      <c r="G63" s="72">
        <v>2.4</v>
      </c>
      <c r="H63" s="72">
        <v>2.4</v>
      </c>
      <c r="I63" s="72">
        <v>2.4</v>
      </c>
      <c r="J63" s="72">
        <v>2.4</v>
      </c>
      <c r="K63" s="72">
        <v>2.4</v>
      </c>
      <c r="L63" s="72">
        <v>2.4</v>
      </c>
      <c r="M63" s="72">
        <v>2.4</v>
      </c>
      <c r="N63" s="72">
        <v>2.4</v>
      </c>
      <c r="O63" s="72">
        <v>2.4</v>
      </c>
      <c r="P63" s="72">
        <v>2.4</v>
      </c>
      <c r="Q63" s="72">
        <v>2.4</v>
      </c>
      <c r="R63" s="72">
        <v>2.4</v>
      </c>
      <c r="S63" s="72">
        <v>2.4</v>
      </c>
      <c r="T63" s="72">
        <v>2.4</v>
      </c>
      <c r="U63" s="72">
        <v>2.4</v>
      </c>
      <c r="V63" s="72">
        <v>2.4</v>
      </c>
      <c r="W63" s="72">
        <v>2.4</v>
      </c>
      <c r="X63" s="72">
        <v>2.4</v>
      </c>
      <c r="Y63" s="72">
        <v>2.4</v>
      </c>
      <c r="Z63" s="72">
        <v>2.4</v>
      </c>
      <c r="AA63" s="72">
        <v>2.4</v>
      </c>
      <c r="AB63" s="72">
        <v>2.4</v>
      </c>
      <c r="AC63" s="72">
        <v>2.4</v>
      </c>
      <c r="AD63" s="72">
        <v>2.4</v>
      </c>
      <c r="AE63" s="72">
        <v>2.4</v>
      </c>
      <c r="AF63" s="72">
        <v>2.4</v>
      </c>
      <c r="AG63" s="61">
        <v>10.050000000000001</v>
      </c>
      <c r="AH63" s="52">
        <f t="shared" si="2"/>
        <v>2.4</v>
      </c>
      <c r="AI63" s="53">
        <f t="shared" si="3"/>
        <v>2.4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2">SUM(B53:B65)</f>
        <v>116.54000000000002</v>
      </c>
      <c r="C66" s="67">
        <f t="shared" si="12"/>
        <v>116.44000000000001</v>
      </c>
      <c r="D66" s="67">
        <f t="shared" si="12"/>
        <v>109.84000000000002</v>
      </c>
      <c r="E66" s="67">
        <f t="shared" si="12"/>
        <v>92.04</v>
      </c>
      <c r="F66" s="67">
        <f t="shared" si="12"/>
        <v>96.54000000000002</v>
      </c>
      <c r="G66" s="67">
        <f t="shared" si="12"/>
        <v>144.74</v>
      </c>
      <c r="H66" s="67">
        <f t="shared" si="12"/>
        <v>165.34</v>
      </c>
      <c r="I66" s="67">
        <f t="shared" si="12"/>
        <v>221.94000000000003</v>
      </c>
      <c r="J66" s="67">
        <f t="shared" si="12"/>
        <v>297.54000000000002</v>
      </c>
      <c r="K66" s="67">
        <f t="shared" si="12"/>
        <v>280.03999999999991</v>
      </c>
      <c r="L66" s="67">
        <f t="shared" si="12"/>
        <v>257.34000000000003</v>
      </c>
      <c r="M66" s="67">
        <f t="shared" si="12"/>
        <v>208.23999999999998</v>
      </c>
      <c r="N66" s="67">
        <f t="shared" si="12"/>
        <v>181.44</v>
      </c>
      <c r="O66" s="67">
        <f t="shared" si="12"/>
        <v>181.44</v>
      </c>
      <c r="P66" s="67">
        <f t="shared" si="12"/>
        <v>193.24</v>
      </c>
      <c r="Q66" s="67">
        <f t="shared" si="12"/>
        <v>269.33999999999997</v>
      </c>
      <c r="R66" s="67">
        <f t="shared" si="12"/>
        <v>255.24000000000004</v>
      </c>
      <c r="S66" s="67">
        <f t="shared" si="12"/>
        <v>271.64000000000004</v>
      </c>
      <c r="T66" s="67">
        <f t="shared" si="12"/>
        <v>271.64000000000004</v>
      </c>
      <c r="U66" s="67">
        <f t="shared" ref="U66" si="13">SUM(U53:U65)</f>
        <v>258.94000000000005</v>
      </c>
      <c r="V66" s="67">
        <f t="shared" si="12"/>
        <v>178.24</v>
      </c>
      <c r="W66" s="67">
        <f t="shared" si="12"/>
        <v>172.24</v>
      </c>
      <c r="X66" s="67">
        <f t="shared" ref="X66:Y66" si="14">SUM(X53:X65)</f>
        <v>198.24</v>
      </c>
      <c r="Y66" s="67">
        <f t="shared" si="14"/>
        <v>242.64000000000001</v>
      </c>
      <c r="Z66" s="67">
        <v>293.53999999999996</v>
      </c>
      <c r="AA66" s="67">
        <f t="shared" ref="AA66" si="15">SUM(AA53:AA65)</f>
        <v>269.73999999999995</v>
      </c>
      <c r="AB66" s="67">
        <f t="shared" si="12"/>
        <v>259.64000000000004</v>
      </c>
      <c r="AC66" s="67">
        <f t="shared" si="12"/>
        <v>215.44000000000003</v>
      </c>
      <c r="AD66" s="67">
        <f t="shared" si="12"/>
        <v>188.73999999999998</v>
      </c>
      <c r="AE66" s="67">
        <f t="shared" si="12"/>
        <v>188.34</v>
      </c>
      <c r="AF66" s="67">
        <f t="shared" si="12"/>
        <v>122.24000000000002</v>
      </c>
      <c r="AG66" s="68">
        <f t="shared" si="12"/>
        <v>489.91</v>
      </c>
      <c r="AH66" s="52">
        <f t="shared" si="2"/>
        <v>297.54000000000002</v>
      </c>
      <c r="AI66" s="53">
        <f t="shared" si="3"/>
        <v>92.04</v>
      </c>
      <c r="AK66" s="54"/>
    </row>
    <row r="67" spans="1:40" x14ac:dyDescent="0.25">
      <c r="A67" s="49" t="s">
        <v>71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40</v>
      </c>
      <c r="P67" s="50">
        <v>40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72</v>
      </c>
      <c r="B68" s="72">
        <v>26.8</v>
      </c>
      <c r="C68" s="72">
        <v>26.8</v>
      </c>
      <c r="D68" s="72">
        <v>26.8</v>
      </c>
      <c r="E68" s="72">
        <v>27.4</v>
      </c>
      <c r="F68" s="72">
        <v>27.4</v>
      </c>
      <c r="G68" s="72">
        <v>27.4</v>
      </c>
      <c r="H68" s="72">
        <v>27</v>
      </c>
      <c r="I68" s="72">
        <v>27</v>
      </c>
      <c r="J68" s="72">
        <v>27</v>
      </c>
      <c r="K68" s="72">
        <v>27</v>
      </c>
      <c r="L68" s="72">
        <v>27</v>
      </c>
      <c r="M68" s="72">
        <v>26.9</v>
      </c>
      <c r="N68" s="72">
        <v>26.9</v>
      </c>
      <c r="O68" s="72">
        <v>16.3</v>
      </c>
      <c r="P68" s="72">
        <v>16.3</v>
      </c>
      <c r="Q68" s="50">
        <v>27.8</v>
      </c>
      <c r="R68" s="50">
        <v>27.8</v>
      </c>
      <c r="S68" s="50">
        <v>27.8</v>
      </c>
      <c r="T68" s="50">
        <v>27.8</v>
      </c>
      <c r="U68" s="50">
        <v>27.8</v>
      </c>
      <c r="V68" s="50">
        <v>27.8</v>
      </c>
      <c r="W68" s="50">
        <v>27.8</v>
      </c>
      <c r="X68" s="50">
        <v>27.8</v>
      </c>
      <c r="Y68" s="50">
        <v>27.8</v>
      </c>
      <c r="Z68" s="50">
        <v>27.8</v>
      </c>
      <c r="AA68" s="50">
        <v>27.8</v>
      </c>
      <c r="AB68" s="50">
        <v>27.8</v>
      </c>
      <c r="AC68" s="50">
        <v>27.8</v>
      </c>
      <c r="AD68" s="50">
        <v>27.8</v>
      </c>
      <c r="AE68" s="50">
        <v>26.5</v>
      </c>
      <c r="AF68" s="50">
        <v>26.5</v>
      </c>
      <c r="AG68" s="61">
        <v>32</v>
      </c>
      <c r="AH68" s="52">
        <f t="shared" si="2"/>
        <v>27.8</v>
      </c>
      <c r="AI68" s="53">
        <f t="shared" si="3"/>
        <v>16.3</v>
      </c>
      <c r="AK68" s="54"/>
    </row>
    <row r="69" spans="1:40" ht="15.75" thickBot="1" x14ac:dyDescent="0.3">
      <c r="A69" s="78" t="s">
        <v>73</v>
      </c>
      <c r="B69" s="74">
        <v>9.8000000000000007</v>
      </c>
      <c r="C69" s="74">
        <v>9.8000000000000007</v>
      </c>
      <c r="D69" s="74">
        <v>9.8000000000000007</v>
      </c>
      <c r="E69" s="74">
        <v>10</v>
      </c>
      <c r="F69" s="74">
        <v>10</v>
      </c>
      <c r="G69" s="74">
        <v>10</v>
      </c>
      <c r="H69" s="74">
        <v>10</v>
      </c>
      <c r="I69" s="74">
        <v>10</v>
      </c>
      <c r="J69" s="74">
        <v>10</v>
      </c>
      <c r="K69" s="74">
        <v>10</v>
      </c>
      <c r="L69" s="74">
        <v>10</v>
      </c>
      <c r="M69" s="74">
        <v>9.8000000000000007</v>
      </c>
      <c r="N69" s="74">
        <v>9.8000000000000007</v>
      </c>
      <c r="O69" s="74">
        <v>6</v>
      </c>
      <c r="P69" s="74">
        <v>6</v>
      </c>
      <c r="Q69" s="50">
        <v>10.199999999999999</v>
      </c>
      <c r="R69" s="50">
        <v>10.1</v>
      </c>
      <c r="S69" s="50">
        <v>10.1</v>
      </c>
      <c r="T69" s="50">
        <v>10.1</v>
      </c>
      <c r="U69" s="50">
        <v>10.1</v>
      </c>
      <c r="V69" s="50">
        <v>10.1</v>
      </c>
      <c r="W69" s="50">
        <v>10.1</v>
      </c>
      <c r="X69" s="50">
        <v>10.1</v>
      </c>
      <c r="Y69" s="50">
        <v>10.1</v>
      </c>
      <c r="Z69" s="50">
        <v>10.1</v>
      </c>
      <c r="AA69" s="50">
        <v>10.1</v>
      </c>
      <c r="AB69" s="50">
        <v>10.1</v>
      </c>
      <c r="AC69" s="50">
        <v>10.1</v>
      </c>
      <c r="AD69" s="50">
        <v>10.1</v>
      </c>
      <c r="AE69" s="50">
        <v>9.6999999999999993</v>
      </c>
      <c r="AF69" s="50">
        <v>9.6999999999999993</v>
      </c>
      <c r="AG69" s="75">
        <v>14</v>
      </c>
      <c r="AH69" s="52">
        <f t="shared" si="2"/>
        <v>10.199999999999999</v>
      </c>
      <c r="AI69" s="53">
        <f t="shared" si="3"/>
        <v>6</v>
      </c>
      <c r="AK69" s="54"/>
    </row>
    <row r="70" spans="1:40" ht="15.75" thickBot="1" x14ac:dyDescent="0.3">
      <c r="A70" s="81" t="s">
        <v>74</v>
      </c>
      <c r="B70" s="67">
        <f t="shared" ref="B70:L70" si="16">B67+B68+B69</f>
        <v>96.6</v>
      </c>
      <c r="C70" s="67">
        <f t="shared" si="16"/>
        <v>96.6</v>
      </c>
      <c r="D70" s="67">
        <f t="shared" si="16"/>
        <v>96.6</v>
      </c>
      <c r="E70" s="67">
        <f t="shared" si="16"/>
        <v>97.4</v>
      </c>
      <c r="F70" s="67">
        <f t="shared" si="16"/>
        <v>97.4</v>
      </c>
      <c r="G70" s="67">
        <f t="shared" si="16"/>
        <v>97.4</v>
      </c>
      <c r="H70" s="67">
        <f t="shared" si="16"/>
        <v>97</v>
      </c>
      <c r="I70" s="67">
        <f t="shared" si="16"/>
        <v>97</v>
      </c>
      <c r="J70" s="67">
        <f t="shared" si="16"/>
        <v>97</v>
      </c>
      <c r="K70" s="67">
        <f t="shared" si="16"/>
        <v>97</v>
      </c>
      <c r="L70" s="67">
        <f t="shared" si="16"/>
        <v>97</v>
      </c>
      <c r="M70" s="67">
        <f t="shared" ref="M70:AF70" si="17">M67+M68+M69</f>
        <v>96.7</v>
      </c>
      <c r="N70" s="67">
        <f t="shared" si="17"/>
        <v>96.7</v>
      </c>
      <c r="O70" s="67">
        <f t="shared" si="17"/>
        <v>62.3</v>
      </c>
      <c r="P70" s="67">
        <f t="shared" si="17"/>
        <v>62.3</v>
      </c>
      <c r="Q70" s="67">
        <f t="shared" si="17"/>
        <v>98</v>
      </c>
      <c r="R70" s="67">
        <f t="shared" si="17"/>
        <v>97.899999999999991</v>
      </c>
      <c r="S70" s="67">
        <f t="shared" si="17"/>
        <v>97.899999999999991</v>
      </c>
      <c r="T70" s="67">
        <f t="shared" si="17"/>
        <v>97.899999999999991</v>
      </c>
      <c r="U70" s="67">
        <f t="shared" ref="U70" si="18">U67+U68+U69</f>
        <v>97.899999999999991</v>
      </c>
      <c r="V70" s="67">
        <f t="shared" si="17"/>
        <v>97.899999999999991</v>
      </c>
      <c r="W70" s="67">
        <f t="shared" si="17"/>
        <v>97.899999999999991</v>
      </c>
      <c r="X70" s="67">
        <f t="shared" ref="X70:Y70" si="19">X67+X68+X69</f>
        <v>97.899999999999991</v>
      </c>
      <c r="Y70" s="67">
        <f t="shared" si="19"/>
        <v>97.899999999999991</v>
      </c>
      <c r="Z70" s="67">
        <v>97.899999999999991</v>
      </c>
      <c r="AA70" s="67">
        <f t="shared" ref="AA70" si="20">AA67+AA68+AA69</f>
        <v>97.899999999999991</v>
      </c>
      <c r="AB70" s="67">
        <f t="shared" si="17"/>
        <v>97.899999999999991</v>
      </c>
      <c r="AC70" s="67">
        <f t="shared" si="17"/>
        <v>97.899999999999991</v>
      </c>
      <c r="AD70" s="67">
        <f t="shared" si="17"/>
        <v>97.899999999999991</v>
      </c>
      <c r="AE70" s="67">
        <f t="shared" si="17"/>
        <v>96.2</v>
      </c>
      <c r="AF70" s="67">
        <f t="shared" si="17"/>
        <v>96.2</v>
      </c>
      <c r="AG70" s="68">
        <f>SUM(AG67:AG69)</f>
        <v>106</v>
      </c>
      <c r="AH70" s="52">
        <f t="shared" si="2"/>
        <v>98</v>
      </c>
      <c r="AI70" s="53">
        <f t="shared" si="3"/>
        <v>62.3</v>
      </c>
      <c r="AK70" s="54"/>
    </row>
    <row r="71" spans="1:40" x14ac:dyDescent="0.25">
      <c r="A71" s="49" t="s">
        <v>75</v>
      </c>
      <c r="B71" s="50">
        <v>63</v>
      </c>
      <c r="C71" s="50">
        <v>65</v>
      </c>
      <c r="D71" s="50">
        <v>65.400000000000006</v>
      </c>
      <c r="E71" s="50">
        <v>73.8</v>
      </c>
      <c r="F71" s="50">
        <v>65.3</v>
      </c>
      <c r="G71" s="50">
        <v>58</v>
      </c>
      <c r="H71" s="50">
        <v>71.599999999999994</v>
      </c>
      <c r="I71" s="50">
        <v>68.5</v>
      </c>
      <c r="J71" s="50">
        <v>64.5</v>
      </c>
      <c r="K71" s="50">
        <v>58.8</v>
      </c>
      <c r="L71" s="50">
        <v>60.6</v>
      </c>
      <c r="M71" s="50">
        <v>56.9</v>
      </c>
      <c r="N71" s="50">
        <v>74</v>
      </c>
      <c r="O71" s="50">
        <v>67</v>
      </c>
      <c r="P71" s="50">
        <v>63</v>
      </c>
      <c r="Q71" s="50">
        <v>66.2</v>
      </c>
      <c r="R71" s="50">
        <v>68.099999999999994</v>
      </c>
      <c r="S71" s="50">
        <v>70.2</v>
      </c>
      <c r="T71" s="50">
        <v>66.2</v>
      </c>
      <c r="U71" s="50">
        <v>70.099999999999994</v>
      </c>
      <c r="V71" s="50">
        <v>61.9</v>
      </c>
      <c r="W71" s="50">
        <v>59.2</v>
      </c>
      <c r="X71" s="50">
        <v>59.2</v>
      </c>
      <c r="Y71" s="50">
        <v>77.2</v>
      </c>
      <c r="Z71" s="50">
        <v>66.2</v>
      </c>
      <c r="AA71" s="50">
        <v>66.3</v>
      </c>
      <c r="AB71" s="50">
        <v>67.8</v>
      </c>
      <c r="AC71" s="50">
        <v>68.5</v>
      </c>
      <c r="AD71" s="50">
        <v>67.8</v>
      </c>
      <c r="AE71" s="50">
        <v>65</v>
      </c>
      <c r="AF71" s="50">
        <v>59</v>
      </c>
      <c r="AG71" s="56"/>
      <c r="AH71" s="52">
        <f t="shared" si="2"/>
        <v>77.2</v>
      </c>
      <c r="AI71" s="53">
        <f t="shared" si="3"/>
        <v>56.9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357</v>
      </c>
      <c r="C73" s="72">
        <v>346</v>
      </c>
      <c r="D73" s="72">
        <v>372</v>
      </c>
      <c r="E73" s="72">
        <v>387</v>
      </c>
      <c r="F73" s="72">
        <v>355</v>
      </c>
      <c r="G73" s="72">
        <v>330</v>
      </c>
      <c r="H73" s="72">
        <v>330</v>
      </c>
      <c r="I73" s="72">
        <v>275</v>
      </c>
      <c r="J73" s="72">
        <v>281.89999999999998</v>
      </c>
      <c r="K73" s="72">
        <v>284</v>
      </c>
      <c r="L73" s="72">
        <v>288.39999999999998</v>
      </c>
      <c r="M73" s="72">
        <v>313</v>
      </c>
      <c r="N73" s="72">
        <v>343</v>
      </c>
      <c r="O73" s="72">
        <v>340</v>
      </c>
      <c r="P73" s="72">
        <v>352</v>
      </c>
      <c r="Q73" s="72">
        <v>360</v>
      </c>
      <c r="R73" s="72">
        <v>394</v>
      </c>
      <c r="S73" s="72">
        <v>400</v>
      </c>
      <c r="T73" s="72">
        <v>402</v>
      </c>
      <c r="U73" s="72">
        <v>280</v>
      </c>
      <c r="V73" s="72">
        <v>360</v>
      </c>
      <c r="W73" s="72">
        <v>370</v>
      </c>
      <c r="X73" s="72">
        <v>370</v>
      </c>
      <c r="Y73" s="72">
        <v>322</v>
      </c>
      <c r="Z73" s="72">
        <v>265</v>
      </c>
      <c r="AA73" s="72">
        <v>130</v>
      </c>
      <c r="AB73" s="72">
        <v>225</v>
      </c>
      <c r="AC73" s="72">
        <v>282.60000000000002</v>
      </c>
      <c r="AD73" s="72">
        <v>391.3</v>
      </c>
      <c r="AE73" s="72">
        <v>353.6</v>
      </c>
      <c r="AF73" s="72">
        <v>357</v>
      </c>
      <c r="AG73" s="82"/>
      <c r="AH73" s="52">
        <f t="shared" si="2"/>
        <v>402</v>
      </c>
      <c r="AI73" s="53">
        <f t="shared" si="3"/>
        <v>130</v>
      </c>
      <c r="AK73" s="54"/>
    </row>
    <row r="74" spans="1:40" x14ac:dyDescent="0.25">
      <c r="A74" s="60" t="s">
        <v>78</v>
      </c>
      <c r="B74" s="72">
        <v>53</v>
      </c>
      <c r="C74" s="72">
        <v>54.6</v>
      </c>
      <c r="D74" s="72">
        <v>54.6</v>
      </c>
      <c r="E74" s="83">
        <v>54</v>
      </c>
      <c r="F74" s="83">
        <v>51.4</v>
      </c>
      <c r="G74" s="83">
        <v>52</v>
      </c>
      <c r="H74" s="83">
        <v>52.1</v>
      </c>
      <c r="I74" s="83">
        <v>55.7</v>
      </c>
      <c r="J74" s="83">
        <v>58.4</v>
      </c>
      <c r="K74" s="83">
        <v>60.5</v>
      </c>
      <c r="L74" s="83">
        <v>60</v>
      </c>
      <c r="M74" s="83">
        <v>60</v>
      </c>
      <c r="N74" s="83">
        <v>51.7</v>
      </c>
      <c r="O74" s="83">
        <v>56</v>
      </c>
      <c r="P74" s="83">
        <v>56</v>
      </c>
      <c r="Q74" s="83">
        <v>61.5</v>
      </c>
      <c r="R74" s="83">
        <v>58.2</v>
      </c>
      <c r="S74" s="83">
        <v>58.1</v>
      </c>
      <c r="T74" s="83">
        <v>58.1</v>
      </c>
      <c r="U74" s="83">
        <v>58.1</v>
      </c>
      <c r="V74" s="83">
        <v>58.1</v>
      </c>
      <c r="W74" s="83">
        <v>58.1</v>
      </c>
      <c r="X74" s="83">
        <v>58.1</v>
      </c>
      <c r="Y74" s="83">
        <v>58.1</v>
      </c>
      <c r="Z74" s="83">
        <v>57</v>
      </c>
      <c r="AA74" s="83">
        <v>58.1</v>
      </c>
      <c r="AB74" s="83">
        <v>58.1</v>
      </c>
      <c r="AC74" s="72">
        <v>54</v>
      </c>
      <c r="AD74" s="72">
        <v>53</v>
      </c>
      <c r="AE74" s="72">
        <v>51.3</v>
      </c>
      <c r="AF74" s="72">
        <v>52.9</v>
      </c>
      <c r="AG74" s="82"/>
      <c r="AH74" s="52">
        <f t="shared" si="2"/>
        <v>61.5</v>
      </c>
      <c r="AI74" s="53">
        <f t="shared" si="3"/>
        <v>51.3</v>
      </c>
      <c r="AK74" s="54"/>
    </row>
    <row r="75" spans="1:40" x14ac:dyDescent="0.25">
      <c r="A75" s="60" t="s">
        <v>79</v>
      </c>
      <c r="B75" s="50">
        <v>26.3</v>
      </c>
      <c r="C75" s="50">
        <v>27.4</v>
      </c>
      <c r="D75" s="50">
        <v>0</v>
      </c>
      <c r="E75" s="50">
        <v>0</v>
      </c>
      <c r="F75" s="50">
        <v>0</v>
      </c>
      <c r="G75" s="50">
        <v>27.6</v>
      </c>
      <c r="H75" s="50">
        <v>25.8</v>
      </c>
      <c r="I75" s="50">
        <v>25.7</v>
      </c>
      <c r="J75" s="50">
        <v>24.8</v>
      </c>
      <c r="K75" s="50">
        <v>28</v>
      </c>
      <c r="L75" s="50">
        <v>26.5</v>
      </c>
      <c r="M75" s="50">
        <v>29.8</v>
      </c>
      <c r="N75" s="50">
        <v>34.1</v>
      </c>
      <c r="O75" s="50">
        <v>36.6</v>
      </c>
      <c r="P75" s="50">
        <v>38</v>
      </c>
      <c r="Q75" s="50">
        <v>37</v>
      </c>
      <c r="R75" s="50">
        <v>36.799999999999997</v>
      </c>
      <c r="S75" s="50">
        <v>36.299999999999997</v>
      </c>
      <c r="T75" s="50">
        <v>36.299999999999997</v>
      </c>
      <c r="U75" s="50">
        <v>36.299999999999997</v>
      </c>
      <c r="V75" s="50">
        <v>36.299999999999997</v>
      </c>
      <c r="W75" s="50">
        <v>36.299999999999997</v>
      </c>
      <c r="X75" s="50">
        <v>36.299999999999997</v>
      </c>
      <c r="Y75" s="50">
        <v>27.6</v>
      </c>
      <c r="Z75" s="50">
        <v>27</v>
      </c>
      <c r="AA75" s="50">
        <v>22.9</v>
      </c>
      <c r="AB75" s="50">
        <v>22.9</v>
      </c>
      <c r="AC75" s="50">
        <v>77.099999999999994</v>
      </c>
      <c r="AD75" s="50">
        <v>23.7</v>
      </c>
      <c r="AE75" s="50">
        <v>25.4</v>
      </c>
      <c r="AF75" s="50">
        <v>27.6</v>
      </c>
      <c r="AG75" s="82"/>
      <c r="AH75" s="52">
        <f t="shared" ref="AH75:AH117" si="21">MAX(B75:AF75)</f>
        <v>77.099999999999994</v>
      </c>
      <c r="AI75" s="53">
        <f t="shared" ref="AI75:AI117" si="22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6</v>
      </c>
      <c r="U76" s="84">
        <v>6</v>
      </c>
      <c r="V76" s="84">
        <v>6</v>
      </c>
      <c r="W76" s="84">
        <v>6</v>
      </c>
      <c r="X76" s="84">
        <v>6</v>
      </c>
      <c r="Y76" s="84">
        <v>6</v>
      </c>
      <c r="Z76" s="84">
        <v>6</v>
      </c>
      <c r="AA76" s="84">
        <v>6</v>
      </c>
      <c r="AB76" s="84">
        <v>6</v>
      </c>
      <c r="AC76" s="84">
        <v>6</v>
      </c>
      <c r="AD76" s="84">
        <v>6</v>
      </c>
      <c r="AE76" s="84">
        <v>6</v>
      </c>
      <c r="AF76" s="84">
        <v>6</v>
      </c>
      <c r="AG76" s="82"/>
      <c r="AH76" s="52">
        <f t="shared" si="21"/>
        <v>6</v>
      </c>
      <c r="AI76" s="53">
        <f t="shared" si="22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21"/>
        <v>0</v>
      </c>
      <c r="AI77" s="53">
        <f t="shared" si="22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21"/>
        <v>0</v>
      </c>
      <c r="AI78" s="53">
        <f t="shared" si="22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21"/>
        <v>0</v>
      </c>
      <c r="AI79" s="53">
        <f t="shared" si="22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21"/>
        <v>0</v>
      </c>
      <c r="AI80" s="53">
        <f t="shared" si="22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21"/>
        <v>0</v>
      </c>
      <c r="AI81" s="53">
        <f t="shared" si="22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23">SUMIF(B71:B81,"&gt;0")</f>
        <v>499.3</v>
      </c>
      <c r="C82" s="67">
        <f t="shared" si="23"/>
        <v>493</v>
      </c>
      <c r="D82" s="67">
        <f t="shared" si="23"/>
        <v>492</v>
      </c>
      <c r="E82" s="67">
        <f t="shared" si="23"/>
        <v>514.79999999999995</v>
      </c>
      <c r="F82" s="67">
        <f t="shared" si="23"/>
        <v>471.7</v>
      </c>
      <c r="G82" s="67">
        <f t="shared" si="23"/>
        <v>467.6</v>
      </c>
      <c r="H82" s="67">
        <f t="shared" si="23"/>
        <v>479.50000000000006</v>
      </c>
      <c r="I82" s="67">
        <f t="shared" si="23"/>
        <v>424.9</v>
      </c>
      <c r="J82" s="67">
        <f t="shared" si="23"/>
        <v>429.59999999999997</v>
      </c>
      <c r="K82" s="67">
        <f t="shared" si="23"/>
        <v>431.3</v>
      </c>
      <c r="L82" s="67">
        <f t="shared" si="23"/>
        <v>435.5</v>
      </c>
      <c r="M82" s="67">
        <f t="shared" si="23"/>
        <v>459.7</v>
      </c>
      <c r="N82" s="67">
        <f t="shared" si="23"/>
        <v>502.8</v>
      </c>
      <c r="O82" s="67">
        <f t="shared" si="23"/>
        <v>499.6</v>
      </c>
      <c r="P82" s="67">
        <f t="shared" si="23"/>
        <v>509</v>
      </c>
      <c r="Q82" s="67">
        <f t="shared" si="23"/>
        <v>524.70000000000005</v>
      </c>
      <c r="R82" s="67">
        <f t="shared" si="23"/>
        <v>557.1</v>
      </c>
      <c r="S82" s="67">
        <f t="shared" si="23"/>
        <v>564.59999999999991</v>
      </c>
      <c r="T82" s="67">
        <f t="shared" si="23"/>
        <v>568.59999999999991</v>
      </c>
      <c r="U82" s="67">
        <f t="shared" ref="U82" si="24">SUMIF(U71:U81,"&gt;0")</f>
        <v>450.50000000000006</v>
      </c>
      <c r="V82" s="67">
        <f t="shared" si="23"/>
        <v>522.29999999999995</v>
      </c>
      <c r="W82" s="67">
        <f t="shared" si="23"/>
        <v>529.6</v>
      </c>
      <c r="X82" s="67">
        <f t="shared" ref="X82:Y82" si="25">SUMIF(X71:X81,"&gt;0")</f>
        <v>529.6</v>
      </c>
      <c r="Y82" s="67">
        <f t="shared" si="25"/>
        <v>490.90000000000003</v>
      </c>
      <c r="Z82" s="67">
        <v>423.2</v>
      </c>
      <c r="AA82" s="67">
        <f t="shared" ref="AA82" si="26">SUMIF(AA71:AA81,"&gt;0")</f>
        <v>283.3</v>
      </c>
      <c r="AB82" s="67">
        <f t="shared" si="23"/>
        <v>379.8</v>
      </c>
      <c r="AC82" s="67">
        <f t="shared" si="23"/>
        <v>488.20000000000005</v>
      </c>
      <c r="AD82" s="67">
        <f t="shared" si="23"/>
        <v>541.80000000000007</v>
      </c>
      <c r="AE82" s="67">
        <f t="shared" si="23"/>
        <v>501.3</v>
      </c>
      <c r="AF82" s="67">
        <f t="shared" si="23"/>
        <v>502.5</v>
      </c>
      <c r="AG82" s="95">
        <f>SUM(AG71:AG81)</f>
        <v>0</v>
      </c>
      <c r="AH82" s="52">
        <f t="shared" si="21"/>
        <v>568.59999999999991</v>
      </c>
      <c r="AI82" s="53">
        <f t="shared" si="22"/>
        <v>283.3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1"/>
        <v>0</v>
      </c>
      <c r="AI83" s="53">
        <f t="shared" si="22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1"/>
        <v>0</v>
      </c>
      <c r="AI84" s="53">
        <f t="shared" si="22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1"/>
        <v>0</v>
      </c>
      <c r="AI85" s="53">
        <f t="shared" si="22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21"/>
        <v>0</v>
      </c>
      <c r="AI86" s="53">
        <f t="shared" si="22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27">B48+B52+B70+B66+B82+B86</f>
        <v>1103.94</v>
      </c>
      <c r="C87" s="102">
        <f t="shared" si="27"/>
        <v>1097.54</v>
      </c>
      <c r="D87" s="102">
        <f t="shared" si="27"/>
        <v>1089.94</v>
      </c>
      <c r="E87" s="102">
        <f t="shared" si="27"/>
        <v>1115.44</v>
      </c>
      <c r="F87" s="102">
        <f t="shared" si="27"/>
        <v>1096.8400000000001</v>
      </c>
      <c r="G87" s="102">
        <f t="shared" si="27"/>
        <v>1120.94</v>
      </c>
      <c r="H87" s="102">
        <f t="shared" si="27"/>
        <v>1193.74</v>
      </c>
      <c r="I87" s="102">
        <f t="shared" si="27"/>
        <v>1240.74</v>
      </c>
      <c r="J87" s="102">
        <f t="shared" si="27"/>
        <v>1326.04</v>
      </c>
      <c r="K87" s="102">
        <f t="shared" si="27"/>
        <v>1295.2399999999998</v>
      </c>
      <c r="L87" s="102">
        <f t="shared" si="27"/>
        <v>1296.74</v>
      </c>
      <c r="M87" s="102">
        <f t="shared" si="27"/>
        <v>1231.6399999999999</v>
      </c>
      <c r="N87" s="102">
        <f t="shared" si="27"/>
        <v>1157.9399999999998</v>
      </c>
      <c r="O87" s="102">
        <f t="shared" si="27"/>
        <v>1120.3400000000001</v>
      </c>
      <c r="P87" s="102">
        <f t="shared" si="27"/>
        <v>1141.54</v>
      </c>
      <c r="Q87" s="102">
        <f t="shared" si="27"/>
        <v>1345.44</v>
      </c>
      <c r="R87" s="102">
        <f t="shared" si="27"/>
        <v>1346.3400000000001</v>
      </c>
      <c r="S87" s="102">
        <f t="shared" si="27"/>
        <v>1378.24</v>
      </c>
      <c r="T87" s="102">
        <f t="shared" si="27"/>
        <v>1382.24</v>
      </c>
      <c r="U87" s="102">
        <f t="shared" ref="U87" si="28">U48+U52+U70+U66+U82+U86</f>
        <v>1243.44</v>
      </c>
      <c r="V87" s="102">
        <f t="shared" si="27"/>
        <v>1204.54</v>
      </c>
      <c r="W87" s="102">
        <f t="shared" si="27"/>
        <v>1205.8400000000001</v>
      </c>
      <c r="X87" s="102">
        <f t="shared" ref="X87:Y87" si="29">X48+X52+X70+X66+X82+X86</f>
        <v>1281.8400000000001</v>
      </c>
      <c r="Y87" s="102">
        <f t="shared" si="29"/>
        <v>1357.54</v>
      </c>
      <c r="Z87" s="102">
        <v>1408.4399999999998</v>
      </c>
      <c r="AA87" s="102">
        <f t="shared" ref="AA87" si="30">AA48+AA52+AA70+AA66+AA82+AA86</f>
        <v>1377.0399999999997</v>
      </c>
      <c r="AB87" s="102">
        <f t="shared" si="27"/>
        <v>1303.4399999999998</v>
      </c>
      <c r="AC87" s="102">
        <f t="shared" si="27"/>
        <v>1277.6400000000001</v>
      </c>
      <c r="AD87" s="102">
        <f t="shared" si="27"/>
        <v>1274.54</v>
      </c>
      <c r="AE87" s="102">
        <f t="shared" si="27"/>
        <v>1231.94</v>
      </c>
      <c r="AF87" s="102">
        <f t="shared" si="27"/>
        <v>1167.04</v>
      </c>
      <c r="AG87" s="68">
        <f t="shared" si="27"/>
        <v>2065.09</v>
      </c>
      <c r="AH87" s="52">
        <f>MAX(B87:AF87)</f>
        <v>1408.4399999999998</v>
      </c>
      <c r="AI87" s="53">
        <f>MIN(B87:AF87)</f>
        <v>1089.94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150</v>
      </c>
      <c r="L88" s="104">
        <v>150</v>
      </c>
      <c r="M88" s="104">
        <v>180</v>
      </c>
      <c r="N88" s="104">
        <v>180</v>
      </c>
      <c r="O88" s="104">
        <v>180</v>
      </c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>
        <v>150</v>
      </c>
      <c r="AA88" s="104">
        <v>150</v>
      </c>
      <c r="AB88" s="104"/>
      <c r="AC88" s="104"/>
      <c r="AD88" s="104"/>
      <c r="AE88" s="104"/>
      <c r="AF88" s="104"/>
      <c r="AG88" s="95"/>
      <c r="AH88" s="52">
        <f t="shared" si="21"/>
        <v>180</v>
      </c>
      <c r="AI88" s="53">
        <f t="shared" si="22"/>
        <v>150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31">B87+B88</f>
        <v>1103.94</v>
      </c>
      <c r="C89" s="102">
        <f t="shared" si="31"/>
        <v>1097.54</v>
      </c>
      <c r="D89" s="102">
        <f t="shared" si="31"/>
        <v>1089.94</v>
      </c>
      <c r="E89" s="102">
        <f t="shared" si="31"/>
        <v>1115.44</v>
      </c>
      <c r="F89" s="102">
        <f t="shared" si="31"/>
        <v>1096.8400000000001</v>
      </c>
      <c r="G89" s="102">
        <f t="shared" si="31"/>
        <v>1120.94</v>
      </c>
      <c r="H89" s="102">
        <f t="shared" si="31"/>
        <v>1193.74</v>
      </c>
      <c r="I89" s="102">
        <f t="shared" si="31"/>
        <v>1240.74</v>
      </c>
      <c r="J89" s="102">
        <f t="shared" si="31"/>
        <v>1326.04</v>
      </c>
      <c r="K89" s="102">
        <f t="shared" si="31"/>
        <v>1445.2399999999998</v>
      </c>
      <c r="L89" s="102">
        <f t="shared" si="31"/>
        <v>1446.74</v>
      </c>
      <c r="M89" s="102">
        <f t="shared" si="31"/>
        <v>1411.6399999999999</v>
      </c>
      <c r="N89" s="102">
        <f t="shared" si="31"/>
        <v>1337.9399999999998</v>
      </c>
      <c r="O89" s="102">
        <f t="shared" si="31"/>
        <v>1300.3400000000001</v>
      </c>
      <c r="P89" s="102">
        <f t="shared" si="31"/>
        <v>1141.54</v>
      </c>
      <c r="Q89" s="102">
        <f t="shared" si="31"/>
        <v>1345.44</v>
      </c>
      <c r="R89" s="102">
        <f t="shared" si="31"/>
        <v>1346.3400000000001</v>
      </c>
      <c r="S89" s="102">
        <f t="shared" si="31"/>
        <v>1378.24</v>
      </c>
      <c r="T89" s="102">
        <f t="shared" si="31"/>
        <v>1382.24</v>
      </c>
      <c r="U89" s="102">
        <f t="shared" ref="U89" si="32">U87+U88</f>
        <v>1243.44</v>
      </c>
      <c r="V89" s="102">
        <f t="shared" si="31"/>
        <v>1204.54</v>
      </c>
      <c r="W89" s="102">
        <f t="shared" si="31"/>
        <v>1205.8400000000001</v>
      </c>
      <c r="X89" s="102">
        <f t="shared" ref="X89:Y89" si="33">X87+X88</f>
        <v>1281.8400000000001</v>
      </c>
      <c r="Y89" s="102">
        <f t="shared" si="33"/>
        <v>1357.54</v>
      </c>
      <c r="Z89" s="102">
        <v>1558.4399999999998</v>
      </c>
      <c r="AA89" s="102">
        <f t="shared" ref="AA89" si="34">AA87+AA88</f>
        <v>1527.0399999999997</v>
      </c>
      <c r="AB89" s="102">
        <f t="shared" si="31"/>
        <v>1303.4399999999998</v>
      </c>
      <c r="AC89" s="102">
        <f t="shared" si="31"/>
        <v>1277.6400000000001</v>
      </c>
      <c r="AD89" s="102">
        <f t="shared" si="31"/>
        <v>1274.54</v>
      </c>
      <c r="AE89" s="102">
        <f t="shared" si="31"/>
        <v>1231.94</v>
      </c>
      <c r="AF89" s="102">
        <f t="shared" si="31"/>
        <v>1167.04</v>
      </c>
      <c r="AG89" s="95">
        <f>AG86+AG82+AG70+AG66+AG48+AG88</f>
        <v>1526.99</v>
      </c>
      <c r="AH89" s="52">
        <f t="shared" si="21"/>
        <v>1558.4399999999998</v>
      </c>
      <c r="AI89" s="53">
        <f t="shared" si="22"/>
        <v>1089.94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35">B89-B97</f>
        <v>1103.94</v>
      </c>
      <c r="C90" s="102">
        <f t="shared" si="35"/>
        <v>1097.54</v>
      </c>
      <c r="D90" s="102">
        <f t="shared" si="35"/>
        <v>1089.94</v>
      </c>
      <c r="E90" s="102">
        <f t="shared" si="35"/>
        <v>1115.44</v>
      </c>
      <c r="F90" s="102">
        <f t="shared" si="35"/>
        <v>1096.8400000000001</v>
      </c>
      <c r="G90" s="102">
        <f t="shared" si="35"/>
        <v>1120.94</v>
      </c>
      <c r="H90" s="102">
        <f t="shared" si="35"/>
        <v>1193.74</v>
      </c>
      <c r="I90" s="102">
        <f t="shared" si="35"/>
        <v>1240.74</v>
      </c>
      <c r="J90" s="102">
        <f t="shared" si="35"/>
        <v>1326.04</v>
      </c>
      <c r="K90" s="102">
        <f t="shared" si="35"/>
        <v>1445.2399999999998</v>
      </c>
      <c r="L90" s="102">
        <f t="shared" si="35"/>
        <v>1446.74</v>
      </c>
      <c r="M90" s="102">
        <f t="shared" si="35"/>
        <v>1411.6399999999999</v>
      </c>
      <c r="N90" s="102">
        <f t="shared" si="35"/>
        <v>1337.9399999999998</v>
      </c>
      <c r="O90" s="102">
        <f t="shared" si="35"/>
        <v>1300.3400000000001</v>
      </c>
      <c r="P90" s="102">
        <f t="shared" si="35"/>
        <v>1141.54</v>
      </c>
      <c r="Q90" s="102">
        <f t="shared" si="35"/>
        <v>1345.44</v>
      </c>
      <c r="R90" s="102">
        <f t="shared" si="35"/>
        <v>1346.3400000000001</v>
      </c>
      <c r="S90" s="102">
        <f t="shared" si="35"/>
        <v>1378.24</v>
      </c>
      <c r="T90" s="102">
        <f t="shared" si="35"/>
        <v>1382.24</v>
      </c>
      <c r="U90" s="102">
        <f t="shared" ref="U90" si="36">U89-U97</f>
        <v>1243.44</v>
      </c>
      <c r="V90" s="102">
        <f t="shared" si="35"/>
        <v>1204.54</v>
      </c>
      <c r="W90" s="102">
        <f t="shared" si="35"/>
        <v>1205.8400000000001</v>
      </c>
      <c r="X90" s="102">
        <f t="shared" ref="X90:Y90" si="37">X89-X97</f>
        <v>1281.8400000000001</v>
      </c>
      <c r="Y90" s="102">
        <f t="shared" si="37"/>
        <v>1357.54</v>
      </c>
      <c r="Z90" s="102">
        <v>1557.4399999999998</v>
      </c>
      <c r="AA90" s="102">
        <f t="shared" ref="AA90" si="38">AA89-AA97</f>
        <v>1527.0399999999997</v>
      </c>
      <c r="AB90" s="102">
        <f t="shared" si="35"/>
        <v>1303.4399999999998</v>
      </c>
      <c r="AC90" s="102">
        <f t="shared" si="35"/>
        <v>1277.6400000000001</v>
      </c>
      <c r="AD90" s="102">
        <f t="shared" si="35"/>
        <v>1274.54</v>
      </c>
      <c r="AE90" s="102">
        <f t="shared" si="35"/>
        <v>1231.94</v>
      </c>
      <c r="AF90" s="102">
        <f t="shared" si="35"/>
        <v>1167.04</v>
      </c>
      <c r="AG90" s="95"/>
      <c r="AH90" s="52">
        <f t="shared" si="21"/>
        <v>1557.4399999999998</v>
      </c>
      <c r="AI90" s="53">
        <f t="shared" si="22"/>
        <v>1089.94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1"/>
        <v>0</v>
      </c>
      <c r="AI91" s="53">
        <f t="shared" si="22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1"/>
        <v>0</v>
      </c>
      <c r="AI92" s="53">
        <f t="shared" si="22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1"/>
        <v>0</v>
      </c>
      <c r="AI93" s="53">
        <f t="shared" si="22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1"/>
        <v>0</v>
      </c>
      <c r="AI94" s="53">
        <f t="shared" si="22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1"/>
        <v>0</v>
      </c>
      <c r="AI95" s="53">
        <f t="shared" si="22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1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1"/>
        <v>1</v>
      </c>
      <c r="AI96" s="53">
        <f t="shared" si="22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1</v>
      </c>
      <c r="AA97" s="67"/>
      <c r="AB97" s="67"/>
      <c r="AC97" s="67"/>
      <c r="AD97" s="67"/>
      <c r="AE97" s="67"/>
      <c r="AF97" s="67"/>
      <c r="AG97" s="95"/>
      <c r="AH97" s="52">
        <f t="shared" si="21"/>
        <v>1</v>
      </c>
      <c r="AI97" s="53">
        <f t="shared" si="22"/>
        <v>1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39">B82-B97</f>
        <v>499.3</v>
      </c>
      <c r="C98" s="67">
        <f t="shared" si="39"/>
        <v>493</v>
      </c>
      <c r="D98" s="67">
        <f t="shared" si="39"/>
        <v>492</v>
      </c>
      <c r="E98" s="67">
        <f t="shared" si="39"/>
        <v>514.79999999999995</v>
      </c>
      <c r="F98" s="67">
        <f t="shared" si="39"/>
        <v>471.7</v>
      </c>
      <c r="G98" s="67">
        <f t="shared" si="39"/>
        <v>467.6</v>
      </c>
      <c r="H98" s="67">
        <f t="shared" si="39"/>
        <v>479.50000000000006</v>
      </c>
      <c r="I98" s="67">
        <f t="shared" si="39"/>
        <v>424.9</v>
      </c>
      <c r="J98" s="67">
        <f t="shared" si="39"/>
        <v>429.59999999999997</v>
      </c>
      <c r="K98" s="67">
        <f t="shared" si="39"/>
        <v>431.3</v>
      </c>
      <c r="L98" s="67">
        <f t="shared" si="39"/>
        <v>435.5</v>
      </c>
      <c r="M98" s="67">
        <f t="shared" si="39"/>
        <v>459.7</v>
      </c>
      <c r="N98" s="67">
        <f t="shared" si="39"/>
        <v>502.8</v>
      </c>
      <c r="O98" s="67">
        <f t="shared" si="39"/>
        <v>499.6</v>
      </c>
      <c r="P98" s="67">
        <f t="shared" si="39"/>
        <v>509</v>
      </c>
      <c r="Q98" s="67">
        <f t="shared" si="39"/>
        <v>524.70000000000005</v>
      </c>
      <c r="R98" s="67">
        <f t="shared" si="39"/>
        <v>557.1</v>
      </c>
      <c r="S98" s="67">
        <f t="shared" si="39"/>
        <v>564.59999999999991</v>
      </c>
      <c r="T98" s="67">
        <f t="shared" si="39"/>
        <v>568.59999999999991</v>
      </c>
      <c r="U98" s="67">
        <f t="shared" si="39"/>
        <v>450.50000000000006</v>
      </c>
      <c r="V98" s="67">
        <f t="shared" si="39"/>
        <v>522.29999999999995</v>
      </c>
      <c r="W98" s="67">
        <f t="shared" si="39"/>
        <v>529.6</v>
      </c>
      <c r="X98" s="67">
        <f t="shared" ref="X98:Y98" si="40">X82-X97</f>
        <v>529.6</v>
      </c>
      <c r="Y98" s="67">
        <f t="shared" si="40"/>
        <v>490.90000000000003</v>
      </c>
      <c r="Z98" s="67">
        <v>422.2</v>
      </c>
      <c r="AA98" s="67">
        <f t="shared" ref="AA98" si="41">AA82-AA97</f>
        <v>283.3</v>
      </c>
      <c r="AB98" s="67">
        <f t="shared" si="39"/>
        <v>379.8</v>
      </c>
      <c r="AC98" s="67">
        <f t="shared" si="39"/>
        <v>488.20000000000005</v>
      </c>
      <c r="AD98" s="67">
        <f t="shared" si="39"/>
        <v>541.80000000000007</v>
      </c>
      <c r="AE98" s="67">
        <f t="shared" si="39"/>
        <v>501.3</v>
      </c>
      <c r="AF98" s="67">
        <f t="shared" si="39"/>
        <v>502.5</v>
      </c>
      <c r="AG98" s="95"/>
      <c r="AH98" s="52">
        <f t="shared" si="21"/>
        <v>568.59999999999991</v>
      </c>
      <c r="AI98" s="53">
        <f t="shared" si="22"/>
        <v>283.3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50.094999999999999</v>
      </c>
      <c r="C99" s="108">
        <v>50.015999999999998</v>
      </c>
      <c r="D99" s="108">
        <v>49.948999999999998</v>
      </c>
      <c r="E99" s="108">
        <v>50.015999999999998</v>
      </c>
      <c r="F99" s="108">
        <v>49.978999999999999</v>
      </c>
      <c r="G99" s="108">
        <v>49.978999999999999</v>
      </c>
      <c r="H99" s="108">
        <v>49.978999999999999</v>
      </c>
      <c r="I99" s="108">
        <v>49.957000000000001</v>
      </c>
      <c r="J99" s="108">
        <v>49.911999999999999</v>
      </c>
      <c r="K99" s="108">
        <v>49.968000000000004</v>
      </c>
      <c r="L99" s="108">
        <v>50.052999999999997</v>
      </c>
      <c r="M99" s="108">
        <v>50.005000000000003</v>
      </c>
      <c r="N99" s="108">
        <v>50.08</v>
      </c>
      <c r="O99" s="108">
        <v>50.04</v>
      </c>
      <c r="P99" s="108">
        <v>49.781999999999996</v>
      </c>
      <c r="Q99" s="108">
        <v>49.89</v>
      </c>
      <c r="R99" s="108">
        <v>49.999000000000002</v>
      </c>
      <c r="S99" s="108">
        <v>50.09</v>
      </c>
      <c r="T99" s="108">
        <v>49.95</v>
      </c>
      <c r="U99" s="108">
        <v>49.85</v>
      </c>
      <c r="V99" s="108">
        <v>50.1</v>
      </c>
      <c r="W99" s="108">
        <v>50</v>
      </c>
      <c r="X99" s="108">
        <v>50</v>
      </c>
      <c r="Y99" s="108">
        <v>50</v>
      </c>
      <c r="Z99" s="108">
        <v>49.96</v>
      </c>
      <c r="AA99" s="108">
        <v>49.99</v>
      </c>
      <c r="AB99" s="108">
        <v>49.98</v>
      </c>
      <c r="AC99" s="108">
        <v>50.052999999999997</v>
      </c>
      <c r="AD99" s="108">
        <v>49.999000000000002</v>
      </c>
      <c r="AE99" s="108">
        <v>50.048000000000002</v>
      </c>
      <c r="AF99" s="108">
        <v>49.926000000000002</v>
      </c>
      <c r="AG99" s="109"/>
      <c r="AH99" s="52">
        <f t="shared" si="21"/>
        <v>50.1</v>
      </c>
      <c r="AI99" s="53">
        <f t="shared" si="22"/>
        <v>49.781999999999996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129.19999999999999</v>
      </c>
      <c r="C100" s="72">
        <v>127.6</v>
      </c>
      <c r="D100" s="72">
        <v>128</v>
      </c>
      <c r="E100" s="72">
        <v>127.7</v>
      </c>
      <c r="F100" s="72">
        <v>127.8</v>
      </c>
      <c r="G100" s="72">
        <v>127.8</v>
      </c>
      <c r="H100" s="72">
        <v>127.8</v>
      </c>
      <c r="I100" s="72">
        <v>126.8</v>
      </c>
      <c r="J100" s="72">
        <v>126</v>
      </c>
      <c r="K100" s="72">
        <v>128.30000000000001</v>
      </c>
      <c r="L100" s="72">
        <v>128.69999999999999</v>
      </c>
      <c r="M100" s="72">
        <v>129</v>
      </c>
      <c r="N100" s="72">
        <v>129.19999999999999</v>
      </c>
      <c r="O100" s="72">
        <v>128</v>
      </c>
      <c r="P100" s="72">
        <v>126.3</v>
      </c>
      <c r="Q100" s="72">
        <v>126.2</v>
      </c>
      <c r="R100" s="72">
        <v>124.2</v>
      </c>
      <c r="S100" s="72">
        <v>124.9</v>
      </c>
      <c r="T100" s="72">
        <v>126</v>
      </c>
      <c r="U100" s="72">
        <v>126.5</v>
      </c>
      <c r="V100" s="72">
        <v>129.5</v>
      </c>
      <c r="W100" s="72">
        <v>128.80000000000001</v>
      </c>
      <c r="X100" s="72">
        <v>128.80000000000001</v>
      </c>
      <c r="Y100" s="72">
        <v>128.80000000000001</v>
      </c>
      <c r="Z100" s="72">
        <v>127.6</v>
      </c>
      <c r="AA100" s="72">
        <v>128.69999999999999</v>
      </c>
      <c r="AB100" s="72">
        <v>128.69999999999999</v>
      </c>
      <c r="AC100" s="72">
        <v>128.69999999999999</v>
      </c>
      <c r="AD100" s="72">
        <v>128.6</v>
      </c>
      <c r="AE100" s="72">
        <v>126.3</v>
      </c>
      <c r="AF100" s="72">
        <v>128</v>
      </c>
      <c r="AG100" s="111"/>
      <c r="AH100" s="52">
        <f t="shared" si="21"/>
        <v>129.5</v>
      </c>
      <c r="AI100" s="53">
        <f t="shared" si="22"/>
        <v>124.2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133.4</v>
      </c>
      <c r="C101" s="72">
        <v>132.1</v>
      </c>
      <c r="D101" s="72">
        <v>132.6</v>
      </c>
      <c r="E101" s="72">
        <v>132.19999999999999</v>
      </c>
      <c r="F101" s="72">
        <v>132.30000000000001</v>
      </c>
      <c r="G101" s="72">
        <v>132.30000000000001</v>
      </c>
      <c r="H101" s="72">
        <v>132.30000000000001</v>
      </c>
      <c r="I101" s="72">
        <v>130.6</v>
      </c>
      <c r="J101" s="72">
        <v>129.4</v>
      </c>
      <c r="K101" s="72">
        <v>130.69999999999999</v>
      </c>
      <c r="L101" s="72">
        <v>131.19999999999999</v>
      </c>
      <c r="M101" s="72">
        <v>131.4</v>
      </c>
      <c r="N101" s="72">
        <v>131</v>
      </c>
      <c r="O101" s="72">
        <v>129.80000000000001</v>
      </c>
      <c r="P101" s="72">
        <v>129</v>
      </c>
      <c r="Q101" s="72">
        <v>129.19999999999999</v>
      </c>
      <c r="R101" s="72">
        <v>128.1</v>
      </c>
      <c r="S101" s="72">
        <v>128.6</v>
      </c>
      <c r="T101" s="72">
        <v>128.19999999999999</v>
      </c>
      <c r="U101" s="72">
        <v>129.19999999999999</v>
      </c>
      <c r="V101" s="72">
        <v>131.19999999999999</v>
      </c>
      <c r="W101" s="72">
        <v>130.9</v>
      </c>
      <c r="X101" s="72">
        <v>130.9</v>
      </c>
      <c r="Y101" s="72">
        <v>130.9</v>
      </c>
      <c r="Z101" s="72">
        <v>130</v>
      </c>
      <c r="AA101" s="72">
        <v>130.9</v>
      </c>
      <c r="AB101" s="72">
        <v>130.9</v>
      </c>
      <c r="AC101" s="72">
        <v>130.9</v>
      </c>
      <c r="AD101" s="72">
        <v>131.69999999999999</v>
      </c>
      <c r="AE101" s="72">
        <v>130.69999999999999</v>
      </c>
      <c r="AF101" s="72">
        <v>131.9</v>
      </c>
      <c r="AG101" s="111"/>
      <c r="AH101" s="52">
        <f t="shared" si="21"/>
        <v>133.4</v>
      </c>
      <c r="AI101" s="53">
        <f t="shared" si="22"/>
        <v>128.1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</v>
      </c>
      <c r="C102" s="72">
        <v>131.1</v>
      </c>
      <c r="D102" s="72">
        <v>132.9</v>
      </c>
      <c r="E102" s="72">
        <v>131.4</v>
      </c>
      <c r="F102" s="72">
        <v>132.6</v>
      </c>
      <c r="G102" s="72">
        <v>132.6</v>
      </c>
      <c r="H102" s="72">
        <v>132.6</v>
      </c>
      <c r="I102" s="72">
        <v>130.4</v>
      </c>
      <c r="J102" s="72">
        <v>128.1</v>
      </c>
      <c r="K102" s="72">
        <v>128.9</v>
      </c>
      <c r="L102" s="72">
        <v>127.5</v>
      </c>
      <c r="M102" s="72">
        <v>125.9</v>
      </c>
      <c r="N102" s="72">
        <v>130.19999999999999</v>
      </c>
      <c r="O102" s="72">
        <v>129.5</v>
      </c>
      <c r="P102" s="72">
        <v>126.8</v>
      </c>
      <c r="Q102" s="72">
        <v>129.9</v>
      </c>
      <c r="R102" s="72">
        <v>127.7</v>
      </c>
      <c r="S102" s="72">
        <v>126.8</v>
      </c>
      <c r="T102" s="72">
        <v>128.69999999999999</v>
      </c>
      <c r="U102" s="72">
        <v>127.1</v>
      </c>
      <c r="V102" s="72">
        <v>131.30000000000001</v>
      </c>
      <c r="W102" s="72">
        <v>132.1</v>
      </c>
      <c r="X102" s="72">
        <v>132.1</v>
      </c>
      <c r="Y102" s="72">
        <v>132.1</v>
      </c>
      <c r="Z102" s="72">
        <v>129.4</v>
      </c>
      <c r="AA102" s="72">
        <v>130.1</v>
      </c>
      <c r="AB102" s="72">
        <v>130.1</v>
      </c>
      <c r="AC102" s="72">
        <v>130.1</v>
      </c>
      <c r="AD102" s="72">
        <v>129.80000000000001</v>
      </c>
      <c r="AE102" s="72">
        <v>130.4</v>
      </c>
      <c r="AF102" s="72">
        <v>131.5</v>
      </c>
      <c r="AG102" s="111"/>
      <c r="AH102" s="52">
        <f t="shared" si="21"/>
        <v>132.9</v>
      </c>
      <c r="AI102" s="53">
        <f t="shared" si="22"/>
        <v>125.9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1"/>
        <v>0</v>
      </c>
      <c r="AI103" s="53">
        <f t="shared" si="22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132.4</v>
      </c>
      <c r="C104" s="113">
        <v>130.30000000000001</v>
      </c>
      <c r="D104" s="113">
        <v>134.5</v>
      </c>
      <c r="E104" s="113">
        <v>132.4</v>
      </c>
      <c r="F104" s="113">
        <v>131.1</v>
      </c>
      <c r="G104" s="113">
        <v>131.1</v>
      </c>
      <c r="H104" s="113">
        <v>131.1</v>
      </c>
      <c r="I104" s="113">
        <v>133.80000000000001</v>
      </c>
      <c r="J104" s="113">
        <v>133.6</v>
      </c>
      <c r="K104" s="113">
        <v>135.5</v>
      </c>
      <c r="L104" s="113">
        <v>134.4</v>
      </c>
      <c r="M104" s="113">
        <v>133.80000000000001</v>
      </c>
      <c r="N104" s="113">
        <v>133.19999999999999</v>
      </c>
      <c r="O104" s="113">
        <v>134</v>
      </c>
      <c r="P104" s="113">
        <v>134.19999999999999</v>
      </c>
      <c r="Q104" s="113">
        <v>134</v>
      </c>
      <c r="R104" s="113">
        <v>131.19999999999999</v>
      </c>
      <c r="S104" s="113">
        <v>132.4</v>
      </c>
      <c r="T104" s="113">
        <v>132.19999999999999</v>
      </c>
      <c r="U104" s="113">
        <v>133.69999999999999</v>
      </c>
      <c r="V104" s="113">
        <v>134</v>
      </c>
      <c r="W104" s="113">
        <v>133.69999999999999</v>
      </c>
      <c r="X104" s="113">
        <v>133.69999999999999</v>
      </c>
      <c r="Y104" s="113">
        <v>133.69999999999999</v>
      </c>
      <c r="Z104" s="113">
        <v>139.9</v>
      </c>
      <c r="AA104" s="113">
        <v>133.5</v>
      </c>
      <c r="AB104" s="113">
        <v>133.5</v>
      </c>
      <c r="AC104" s="113">
        <v>133.5</v>
      </c>
      <c r="AD104" s="113">
        <v>133</v>
      </c>
      <c r="AE104" s="113">
        <v>132.30000000000001</v>
      </c>
      <c r="AF104" s="113">
        <v>130.69999999999999</v>
      </c>
      <c r="AG104" s="114"/>
      <c r="AH104" s="52">
        <f t="shared" si="21"/>
        <v>139.9</v>
      </c>
      <c r="AI104" s="53">
        <f t="shared" si="22"/>
        <v>130.30000000000001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132.9</v>
      </c>
      <c r="C105" s="72">
        <v>134.80000000000001</v>
      </c>
      <c r="D105" s="72">
        <v>131.6</v>
      </c>
      <c r="E105" s="72">
        <v>131.4</v>
      </c>
      <c r="F105" s="72">
        <v>133.30000000000001</v>
      </c>
      <c r="G105" s="72">
        <v>133.30000000000001</v>
      </c>
      <c r="H105" s="72">
        <v>133.30000000000001</v>
      </c>
      <c r="I105" s="72">
        <v>127.1</v>
      </c>
      <c r="J105" s="72">
        <v>130.30000000000001</v>
      </c>
      <c r="K105" s="72">
        <v>132.80000000000001</v>
      </c>
      <c r="L105" s="72">
        <v>133.5</v>
      </c>
      <c r="M105" s="72">
        <v>132.6</v>
      </c>
      <c r="N105" s="72">
        <v>127.7</v>
      </c>
      <c r="O105" s="72">
        <v>136.1</v>
      </c>
      <c r="P105" s="72">
        <v>131.30000000000001</v>
      </c>
      <c r="Q105" s="72">
        <v>130.6</v>
      </c>
      <c r="R105" s="72">
        <v>134.30000000000001</v>
      </c>
      <c r="S105" s="72">
        <v>131.30000000000001</v>
      </c>
      <c r="T105" s="72">
        <v>127.5</v>
      </c>
      <c r="U105" s="72">
        <v>130.1</v>
      </c>
      <c r="V105" s="72">
        <v>132.80000000000001</v>
      </c>
      <c r="W105" s="72">
        <v>132.30000000000001</v>
      </c>
      <c r="X105" s="72">
        <v>132.30000000000001</v>
      </c>
      <c r="Y105" s="72">
        <v>132.30000000000001</v>
      </c>
      <c r="Z105" s="72">
        <v>130</v>
      </c>
      <c r="AA105" s="72">
        <v>134.80000000000001</v>
      </c>
      <c r="AB105" s="72">
        <v>134.80000000000001</v>
      </c>
      <c r="AC105" s="72">
        <v>134.80000000000001</v>
      </c>
      <c r="AD105" s="72">
        <v>133.6</v>
      </c>
      <c r="AE105" s="72">
        <v>132</v>
      </c>
      <c r="AF105" s="72">
        <v>134</v>
      </c>
      <c r="AG105" s="111"/>
      <c r="AH105" s="52">
        <f t="shared" si="21"/>
        <v>136.1</v>
      </c>
      <c r="AI105" s="53">
        <f t="shared" si="22"/>
        <v>127.1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66.900000000000006</v>
      </c>
      <c r="C106" s="99">
        <v>66.5</v>
      </c>
      <c r="D106" s="99">
        <v>66.8</v>
      </c>
      <c r="E106" s="99">
        <v>66.5</v>
      </c>
      <c r="F106" s="99">
        <v>66.400000000000006</v>
      </c>
      <c r="G106" s="99">
        <v>66.400000000000006</v>
      </c>
      <c r="H106" s="99">
        <v>66.400000000000006</v>
      </c>
      <c r="I106" s="99">
        <v>65.5</v>
      </c>
      <c r="J106" s="99">
        <v>65.2</v>
      </c>
      <c r="K106" s="99">
        <v>65.7</v>
      </c>
      <c r="L106" s="99">
        <v>65.599999999999994</v>
      </c>
      <c r="M106" s="99">
        <v>65.7</v>
      </c>
      <c r="N106" s="99">
        <v>65.099999999999994</v>
      </c>
      <c r="O106" s="99">
        <v>64.599999999999994</v>
      </c>
      <c r="P106" s="99">
        <v>64.2</v>
      </c>
      <c r="Q106" s="99">
        <v>64.7</v>
      </c>
      <c r="R106" s="99">
        <v>64.2</v>
      </c>
      <c r="S106" s="99">
        <v>64.400000000000006</v>
      </c>
      <c r="T106" s="99">
        <v>64.3</v>
      </c>
      <c r="U106" s="99">
        <v>64.599999999999994</v>
      </c>
      <c r="V106" s="99">
        <v>65.5</v>
      </c>
      <c r="W106" s="99">
        <v>65.400000000000006</v>
      </c>
      <c r="X106" s="99">
        <v>65.400000000000006</v>
      </c>
      <c r="Y106" s="99">
        <v>65.400000000000006</v>
      </c>
      <c r="Z106" s="99">
        <v>65.2</v>
      </c>
      <c r="AA106" s="99">
        <v>65.7</v>
      </c>
      <c r="AB106" s="99">
        <v>65.7</v>
      </c>
      <c r="AC106" s="99">
        <v>65.7</v>
      </c>
      <c r="AD106" s="99">
        <v>66.400000000000006</v>
      </c>
      <c r="AE106" s="99">
        <v>65.8</v>
      </c>
      <c r="AF106" s="99">
        <v>66.5</v>
      </c>
      <c r="AG106" s="115"/>
      <c r="AH106" s="52">
        <f t="shared" si="21"/>
        <v>66.900000000000006</v>
      </c>
      <c r="AI106" s="53">
        <f t="shared" si="22"/>
        <v>64.2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 t="s">
        <v>111</v>
      </c>
      <c r="AA107" s="99"/>
      <c r="AB107" s="99"/>
      <c r="AC107" s="99"/>
      <c r="AD107" s="99"/>
      <c r="AE107" s="99"/>
      <c r="AF107" s="99"/>
      <c r="AG107" s="115"/>
      <c r="AH107" s="52">
        <f t="shared" si="21"/>
        <v>0</v>
      </c>
      <c r="AI107" s="53">
        <f t="shared" si="22"/>
        <v>0</v>
      </c>
    </row>
    <row r="108" spans="1:88" ht="15.75" thickBot="1" x14ac:dyDescent="0.3">
      <c r="A108" s="117" t="s">
        <v>112</v>
      </c>
      <c r="B108" s="118">
        <f t="shared" ref="B108:AF108" si="42">SUM(B18,B24,B27:B28,B56,B58:B59,B61,B63,B109:B113,B135,B141,B147,B156,B158,B170,B177,B180:B181,B188,B190,B192,B196:B198,B200:B202,B207,B213:B214,B216:B218,B226,B231)</f>
        <v>114.4</v>
      </c>
      <c r="C108" s="118">
        <f t="shared" si="42"/>
        <v>107.94</v>
      </c>
      <c r="D108" s="118">
        <f t="shared" si="42"/>
        <v>106.14000000000001</v>
      </c>
      <c r="E108" s="118">
        <f t="shared" si="42"/>
        <v>104.13999999999999</v>
      </c>
      <c r="F108" s="118">
        <f t="shared" si="42"/>
        <v>106.14</v>
      </c>
      <c r="G108" s="118">
        <f t="shared" si="42"/>
        <v>106.34</v>
      </c>
      <c r="H108" s="118">
        <f t="shared" si="42"/>
        <v>108.14</v>
      </c>
      <c r="I108" s="118">
        <f t="shared" si="42"/>
        <v>197.74</v>
      </c>
      <c r="J108" s="118">
        <f t="shared" si="42"/>
        <v>243.24</v>
      </c>
      <c r="K108" s="118">
        <f t="shared" si="42"/>
        <v>279.14000000000004</v>
      </c>
      <c r="L108" s="118">
        <f t="shared" si="42"/>
        <v>294.14</v>
      </c>
      <c r="M108" s="118">
        <f t="shared" si="42"/>
        <v>258.04000000000002</v>
      </c>
      <c r="N108" s="118">
        <f t="shared" si="42"/>
        <v>269.33999999999997</v>
      </c>
      <c r="O108" s="118">
        <f t="shared" si="42"/>
        <v>264.94</v>
      </c>
      <c r="P108" s="118">
        <v>42</v>
      </c>
      <c r="Q108" s="118">
        <f t="shared" si="42"/>
        <v>215.5</v>
      </c>
      <c r="R108" s="118">
        <f t="shared" si="42"/>
        <v>211.10000000000002</v>
      </c>
      <c r="S108" s="118">
        <f t="shared" si="42"/>
        <v>214.7</v>
      </c>
      <c r="T108" s="118">
        <f t="shared" si="42"/>
        <v>227.8</v>
      </c>
      <c r="U108" s="118">
        <f t="shared" si="42"/>
        <v>239.4</v>
      </c>
      <c r="V108" s="118">
        <f t="shared" si="42"/>
        <v>224.3</v>
      </c>
      <c r="W108" s="118">
        <f t="shared" si="42"/>
        <v>223</v>
      </c>
      <c r="X108" s="118">
        <f t="shared" ref="X108:Y108" si="43">SUM(X18,X24,X27:X28,X56,X58:X59,X61,X63,X109:X113,X135,X141,X147,X156,X158,X170,X177,X180:X181,X188,X190,X192,X196:X198,X200:X202,X207,X213:X214,X216:X218,X226,X231)</f>
        <v>223</v>
      </c>
      <c r="Y108" s="118">
        <f t="shared" si="43"/>
        <v>223</v>
      </c>
      <c r="Z108" s="118">
        <v>353.99708333333331</v>
      </c>
      <c r="AA108" s="118">
        <f t="shared" ref="AA108" si="44">SUM(AA18,AA24,AA27:AA28,AA56,AA58:AA59,AA61,AA63,AA109:AA113,AA135,AA141,AA147,AA156,AA158,AA170,AA177,AA180:AA181,AA188,AA190,AA192,AA196:AA198,AA200:AA202,AA207,AA213:AA214,AA216:AA218,AA226,AA231)</f>
        <v>257.2</v>
      </c>
      <c r="AB108" s="118">
        <f t="shared" si="42"/>
        <v>74</v>
      </c>
      <c r="AC108" s="118">
        <f t="shared" si="42"/>
        <v>257.89999999999998</v>
      </c>
      <c r="AD108" s="118">
        <f t="shared" si="42"/>
        <v>225.40000000000003</v>
      </c>
      <c r="AE108" s="118">
        <f t="shared" si="42"/>
        <v>163.4</v>
      </c>
      <c r="AF108" s="118">
        <f t="shared" si="42"/>
        <v>127.8</v>
      </c>
      <c r="AG108" s="119"/>
      <c r="AH108" s="52">
        <f t="shared" si="21"/>
        <v>353.99708333333331</v>
      </c>
      <c r="AI108" s="53">
        <f t="shared" si="22"/>
        <v>42</v>
      </c>
    </row>
    <row r="109" spans="1:88" x14ac:dyDescent="0.25">
      <c r="A109" s="107" t="s">
        <v>113</v>
      </c>
      <c r="B109" s="120">
        <v>-16</v>
      </c>
      <c r="C109" s="120">
        <v>-22.7</v>
      </c>
      <c r="D109" s="120">
        <v>-21.1</v>
      </c>
      <c r="E109" s="120">
        <v>-27.5</v>
      </c>
      <c r="F109" s="120">
        <v>-29.2</v>
      </c>
      <c r="G109" s="120">
        <v>-29.2</v>
      </c>
      <c r="H109" s="120">
        <v>-29.2</v>
      </c>
      <c r="I109" s="120">
        <v>-4.3</v>
      </c>
      <c r="J109" s="120">
        <v>9.1</v>
      </c>
      <c r="K109" s="120">
        <v>12.4</v>
      </c>
      <c r="L109" s="120">
        <v>11.8</v>
      </c>
      <c r="M109" s="120">
        <v>2.2000000000000002</v>
      </c>
      <c r="N109" s="120">
        <v>0</v>
      </c>
      <c r="O109" s="120">
        <v>4.0999999999999996</v>
      </c>
      <c r="P109" s="120">
        <v>-2.6</v>
      </c>
      <c r="Q109" s="120">
        <v>6.9</v>
      </c>
      <c r="R109" s="120">
        <v>3.2</v>
      </c>
      <c r="S109" s="120">
        <v>4.8</v>
      </c>
      <c r="T109" s="120">
        <v>4.5999999999999996</v>
      </c>
      <c r="U109" s="120">
        <v>-6</v>
      </c>
      <c r="V109" s="120">
        <v>-4.3</v>
      </c>
      <c r="W109" s="120">
        <v>-6.8</v>
      </c>
      <c r="X109" s="120">
        <v>-6.8</v>
      </c>
      <c r="Y109" s="120">
        <v>-6.8</v>
      </c>
      <c r="Z109" s="120">
        <v>15.1</v>
      </c>
      <c r="AA109" s="120">
        <v>-9.6999999999999993</v>
      </c>
      <c r="AB109" s="120"/>
      <c r="AC109" s="120">
        <v>2.5</v>
      </c>
      <c r="AD109" s="120">
        <v>-1.8</v>
      </c>
      <c r="AE109" s="120">
        <v>-5.3</v>
      </c>
      <c r="AF109" s="120">
        <v>-24.1</v>
      </c>
      <c r="AG109" s="121">
        <v>75</v>
      </c>
      <c r="AH109" s="52">
        <f t="shared" si="21"/>
        <v>15.1</v>
      </c>
      <c r="AI109" s="53">
        <f t="shared" si="22"/>
        <v>-29.2</v>
      </c>
    </row>
    <row r="110" spans="1:88" x14ac:dyDescent="0.25">
      <c r="A110" s="110" t="s">
        <v>114</v>
      </c>
      <c r="B110" s="122">
        <v>-23.8</v>
      </c>
      <c r="C110" s="122">
        <v>-29</v>
      </c>
      <c r="D110" s="122">
        <v>-28</v>
      </c>
      <c r="E110" s="122">
        <v>-34.200000000000003</v>
      </c>
      <c r="F110" s="122">
        <v>-35.4</v>
      </c>
      <c r="G110" s="122">
        <v>-35.4</v>
      </c>
      <c r="H110" s="122">
        <v>-35.4</v>
      </c>
      <c r="I110" s="122">
        <v>-5.7</v>
      </c>
      <c r="J110" s="122">
        <v>10.9</v>
      </c>
      <c r="K110" s="122">
        <v>15.1</v>
      </c>
      <c r="L110" s="122">
        <v>10.1</v>
      </c>
      <c r="M110" s="122">
        <v>-5</v>
      </c>
      <c r="N110" s="122">
        <v>-5</v>
      </c>
      <c r="O110" s="122">
        <v>0</v>
      </c>
      <c r="P110" s="122">
        <v>-6.7</v>
      </c>
      <c r="Q110" s="122">
        <v>9.6999999999999993</v>
      </c>
      <c r="R110" s="122">
        <v>3.7</v>
      </c>
      <c r="S110" s="122">
        <v>7</v>
      </c>
      <c r="T110" s="122">
        <v>6.4</v>
      </c>
      <c r="U110" s="122">
        <v>-12.1</v>
      </c>
      <c r="V110" s="122">
        <v>-13.3</v>
      </c>
      <c r="W110" s="122">
        <v>-16.3</v>
      </c>
      <c r="X110" s="122">
        <v>-16.3</v>
      </c>
      <c r="Y110" s="122">
        <v>-16.3</v>
      </c>
      <c r="Z110" s="122">
        <v>11</v>
      </c>
      <c r="AA110" s="122">
        <v>-5.6</v>
      </c>
      <c r="AB110" s="122"/>
      <c r="AC110" s="122">
        <v>-4.7</v>
      </c>
      <c r="AD110" s="122">
        <v>-10.4</v>
      </c>
      <c r="AE110" s="122">
        <v>-12.4</v>
      </c>
      <c r="AF110" s="122">
        <v>-30.8</v>
      </c>
      <c r="AG110" s="121">
        <v>240</v>
      </c>
      <c r="AH110" s="52">
        <f t="shared" si="21"/>
        <v>15.1</v>
      </c>
      <c r="AI110" s="53">
        <f t="shared" si="22"/>
        <v>-35.4</v>
      </c>
    </row>
    <row r="111" spans="1:88" x14ac:dyDescent="0.25">
      <c r="A111" s="110" t="s">
        <v>115</v>
      </c>
      <c r="B111" s="122">
        <v>-28</v>
      </c>
      <c r="C111" s="122">
        <v>-32</v>
      </c>
      <c r="D111" s="122">
        <v>-38</v>
      </c>
      <c r="E111" s="122">
        <v>-32</v>
      </c>
      <c r="F111" s="122">
        <v>-29</v>
      </c>
      <c r="G111" s="122">
        <v>-29</v>
      </c>
      <c r="H111" s="122">
        <v>-29</v>
      </c>
      <c r="I111" s="122">
        <v>-8.3000000000000007</v>
      </c>
      <c r="J111" s="122">
        <v>1.1000000000000001</v>
      </c>
      <c r="K111" s="122">
        <v>26.3</v>
      </c>
      <c r="L111" s="122">
        <v>38</v>
      </c>
      <c r="M111" s="122">
        <v>19</v>
      </c>
      <c r="N111" s="122">
        <v>54</v>
      </c>
      <c r="O111" s="122">
        <v>42</v>
      </c>
      <c r="P111" s="122">
        <f>13+9</f>
        <v>22</v>
      </c>
      <c r="Q111" s="122">
        <v>-30</v>
      </c>
      <c r="R111" s="122">
        <v>-29.6</v>
      </c>
      <c r="S111" s="122">
        <f>-30-0</f>
        <v>-30</v>
      </c>
      <c r="T111" s="122">
        <f>-27.7+2.5</f>
        <v>-25.2</v>
      </c>
      <c r="U111" s="122">
        <f>-14.4+17.1</f>
        <v>2.7000000000000011</v>
      </c>
      <c r="V111" s="122">
        <f>-11.2+20.4</f>
        <v>9.1999999999999993</v>
      </c>
      <c r="W111" s="122">
        <f>-9.8+22.6</f>
        <v>12.8</v>
      </c>
      <c r="X111" s="122">
        <f>-9.8+22.6</f>
        <v>12.8</v>
      </c>
      <c r="Y111" s="122">
        <f>-9.8+22.6</f>
        <v>12.8</v>
      </c>
      <c r="Z111" s="122">
        <v>35.799999999999997</v>
      </c>
      <c r="AA111" s="122">
        <f>0.8+33.9</f>
        <v>34.699999999999996</v>
      </c>
      <c r="AB111" s="122"/>
      <c r="AC111" s="122">
        <v>60.7</v>
      </c>
      <c r="AD111" s="122">
        <v>19.5</v>
      </c>
      <c r="AE111" s="122">
        <v>-18</v>
      </c>
      <c r="AF111" s="122">
        <v>-13.6</v>
      </c>
      <c r="AG111" s="121">
        <v>240</v>
      </c>
      <c r="AH111" s="52">
        <f t="shared" si="21"/>
        <v>60.7</v>
      </c>
      <c r="AI111" s="53">
        <f t="shared" si="22"/>
        <v>-38</v>
      </c>
    </row>
    <row r="112" spans="1:88" x14ac:dyDescent="0.25">
      <c r="A112" s="110" t="s">
        <v>116</v>
      </c>
      <c r="B112" s="122">
        <v>32</v>
      </c>
      <c r="C112" s="122">
        <v>32.1</v>
      </c>
      <c r="D112" s="122">
        <v>31</v>
      </c>
      <c r="E112" s="122">
        <v>30.8</v>
      </c>
      <c r="F112" s="122">
        <v>32.4</v>
      </c>
      <c r="G112" s="122">
        <v>32.4</v>
      </c>
      <c r="H112" s="122">
        <v>32.4</v>
      </c>
      <c r="I112" s="122">
        <v>40.6</v>
      </c>
      <c r="J112" s="122">
        <v>43.1</v>
      </c>
      <c r="K112" s="122">
        <v>49.4</v>
      </c>
      <c r="L112" s="122">
        <v>53.1</v>
      </c>
      <c r="M112" s="122">
        <v>55.3</v>
      </c>
      <c r="N112" s="122">
        <v>53</v>
      </c>
      <c r="O112" s="122">
        <v>37</v>
      </c>
      <c r="P112" s="122">
        <v>41.6</v>
      </c>
      <c r="Q112" s="122">
        <v>45.3</v>
      </c>
      <c r="R112" s="122">
        <v>41.5</v>
      </c>
      <c r="S112" s="122">
        <v>40.5</v>
      </c>
      <c r="T112" s="122">
        <v>42.6</v>
      </c>
      <c r="U112" s="122">
        <v>49.9</v>
      </c>
      <c r="V112" s="122">
        <v>51.8</v>
      </c>
      <c r="W112" s="122">
        <v>49.8</v>
      </c>
      <c r="X112" s="122">
        <v>49.8</v>
      </c>
      <c r="Y112" s="122">
        <v>49.8</v>
      </c>
      <c r="Z112" s="122">
        <v>57.8</v>
      </c>
      <c r="AA112" s="122">
        <v>55.7</v>
      </c>
      <c r="AB112" s="122"/>
      <c r="AC112" s="122">
        <v>51.8</v>
      </c>
      <c r="AD112" s="122">
        <v>44.9</v>
      </c>
      <c r="AE112" s="122">
        <v>36</v>
      </c>
      <c r="AF112" s="122">
        <v>34.799999999999997</v>
      </c>
      <c r="AG112" s="121">
        <v>60</v>
      </c>
      <c r="AH112" s="52">
        <f t="shared" si="21"/>
        <v>57.8</v>
      </c>
      <c r="AI112" s="53">
        <f t="shared" si="22"/>
        <v>30.8</v>
      </c>
    </row>
    <row r="113" spans="1:37" x14ac:dyDescent="0.25">
      <c r="A113" s="123" t="s">
        <v>117</v>
      </c>
      <c r="B113" s="124">
        <v>74</v>
      </c>
      <c r="C113" s="124">
        <v>78.3</v>
      </c>
      <c r="D113" s="124">
        <v>81</v>
      </c>
      <c r="E113" s="124">
        <v>88.1</v>
      </c>
      <c r="F113" s="124">
        <v>91.9</v>
      </c>
      <c r="G113" s="124">
        <v>91.9</v>
      </c>
      <c r="H113" s="124">
        <v>91.9</v>
      </c>
      <c r="I113" s="124">
        <v>98.3</v>
      </c>
      <c r="J113" s="124">
        <v>101.9</v>
      </c>
      <c r="K113" s="124">
        <v>98.5</v>
      </c>
      <c r="L113" s="124">
        <v>104</v>
      </c>
      <c r="M113" s="124">
        <v>101.4</v>
      </c>
      <c r="N113" s="124">
        <v>78.2</v>
      </c>
      <c r="O113" s="124">
        <v>92.7</v>
      </c>
      <c r="P113" s="124">
        <v>111.9</v>
      </c>
      <c r="Q113" s="124">
        <v>91.6</v>
      </c>
      <c r="R113" s="124">
        <v>100.3</v>
      </c>
      <c r="S113" s="124">
        <v>100.4</v>
      </c>
      <c r="T113" s="124">
        <v>107.4</v>
      </c>
      <c r="U113" s="124">
        <v>112.9</v>
      </c>
      <c r="V113" s="124">
        <v>102.2</v>
      </c>
      <c r="W113" s="124">
        <v>110.8</v>
      </c>
      <c r="X113" s="124">
        <v>110.8</v>
      </c>
      <c r="Y113" s="124">
        <v>110.8</v>
      </c>
      <c r="Z113" s="124">
        <v>118</v>
      </c>
      <c r="AA113" s="124">
        <v>108.1</v>
      </c>
      <c r="AB113" s="124"/>
      <c r="AC113" s="124">
        <v>73.599999999999994</v>
      </c>
      <c r="AD113" s="124">
        <v>99.2</v>
      </c>
      <c r="AE113" s="124">
        <v>89.1</v>
      </c>
      <c r="AF113" s="124">
        <v>87.5</v>
      </c>
      <c r="AG113" s="125">
        <v>120</v>
      </c>
      <c r="AH113" s="52">
        <f t="shared" si="21"/>
        <v>118</v>
      </c>
      <c r="AI113" s="53">
        <f t="shared" si="22"/>
        <v>73.599999999999994</v>
      </c>
    </row>
    <row r="114" spans="1:37" x14ac:dyDescent="0.25">
      <c r="A114" s="123" t="s">
        <v>118</v>
      </c>
      <c r="B114" s="124">
        <v>86</v>
      </c>
      <c r="C114" s="124">
        <v>90</v>
      </c>
      <c r="D114" s="124">
        <v>102</v>
      </c>
      <c r="E114" s="124">
        <v>104.7</v>
      </c>
      <c r="F114" s="124">
        <v>104.7</v>
      </c>
      <c r="G114" s="124">
        <v>104.7</v>
      </c>
      <c r="H114" s="124">
        <v>104.7</v>
      </c>
      <c r="I114" s="124">
        <v>93.1</v>
      </c>
      <c r="J114" s="124">
        <v>90.3</v>
      </c>
      <c r="K114" s="124">
        <v>80.7</v>
      </c>
      <c r="L114" s="124">
        <v>95.5</v>
      </c>
      <c r="M114" s="124">
        <v>88.9</v>
      </c>
      <c r="N114" s="124">
        <v>76</v>
      </c>
      <c r="O114" s="124">
        <v>74</v>
      </c>
      <c r="P114" s="124">
        <v>99.3</v>
      </c>
      <c r="Q114" s="124">
        <v>89</v>
      </c>
      <c r="R114" s="124">
        <v>96</v>
      </c>
      <c r="S114" s="124">
        <v>93.9</v>
      </c>
      <c r="T114" s="124">
        <v>97</v>
      </c>
      <c r="U114" s="124">
        <v>96.3</v>
      </c>
      <c r="V114" s="124">
        <v>86.9</v>
      </c>
      <c r="W114" s="124">
        <v>94</v>
      </c>
      <c r="X114" s="124">
        <v>94</v>
      </c>
      <c r="Y114" s="124">
        <v>94</v>
      </c>
      <c r="Z114" s="124"/>
      <c r="AA114" s="124">
        <v>94</v>
      </c>
      <c r="AB114" s="124"/>
      <c r="AC114" s="124">
        <v>70.8</v>
      </c>
      <c r="AD114" s="124">
        <v>91.6</v>
      </c>
      <c r="AE114" s="124">
        <v>95.1</v>
      </c>
      <c r="AF114" s="124">
        <v>90.7</v>
      </c>
      <c r="AG114" s="125"/>
      <c r="AH114" s="52">
        <f t="shared" si="21"/>
        <v>104.7</v>
      </c>
      <c r="AI114" s="53">
        <f t="shared" si="22"/>
        <v>70.8</v>
      </c>
    </row>
    <row r="115" spans="1:37" x14ac:dyDescent="0.25">
      <c r="A115" s="123" t="s">
        <v>119</v>
      </c>
      <c r="B115" s="124">
        <v>49</v>
      </c>
      <c r="C115" s="124">
        <v>50.3</v>
      </c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>
        <v>24</v>
      </c>
      <c r="AE115" s="124"/>
      <c r="AF115" s="124"/>
      <c r="AG115" s="126"/>
      <c r="AH115" s="52">
        <f t="shared" si="21"/>
        <v>50.3</v>
      </c>
      <c r="AI115" s="53">
        <f t="shared" si="22"/>
        <v>24</v>
      </c>
    </row>
    <row r="116" spans="1:37" x14ac:dyDescent="0.25">
      <c r="A116" s="127" t="s">
        <v>120</v>
      </c>
      <c r="B116" s="113">
        <v>0</v>
      </c>
      <c r="C116" s="113">
        <v>0</v>
      </c>
      <c r="D116" s="113">
        <v>4.0999999999999996</v>
      </c>
      <c r="E116" s="113">
        <v>8.6999999999999993</v>
      </c>
      <c r="F116" s="113">
        <v>8</v>
      </c>
      <c r="G116" s="113">
        <v>8</v>
      </c>
      <c r="H116" s="113">
        <v>8</v>
      </c>
      <c r="I116" s="113">
        <v>-26.8</v>
      </c>
      <c r="J116" s="113">
        <v>-37.1</v>
      </c>
      <c r="K116" s="113">
        <v>-51.9</v>
      </c>
      <c r="L116" s="113">
        <v>-60</v>
      </c>
      <c r="M116" s="113">
        <v>-56.7</v>
      </c>
      <c r="N116" s="113">
        <v>-35.200000000000003</v>
      </c>
      <c r="O116" s="113">
        <v>-28.6</v>
      </c>
      <c r="P116" s="113">
        <v>-45.5</v>
      </c>
      <c r="Q116" s="113">
        <v>-41.7</v>
      </c>
      <c r="R116" s="113">
        <v>-39.6</v>
      </c>
      <c r="S116" s="113">
        <v>-43.1</v>
      </c>
      <c r="T116" s="113">
        <v>-46.6</v>
      </c>
      <c r="U116" s="113">
        <v>-41.8</v>
      </c>
      <c r="V116" s="113">
        <v>-43.2</v>
      </c>
      <c r="W116" s="113">
        <v>-43.6</v>
      </c>
      <c r="X116" s="113">
        <v>-43.6</v>
      </c>
      <c r="Y116" s="113">
        <v>-43.6</v>
      </c>
      <c r="Z116" s="113">
        <v>-76.099999999999994</v>
      </c>
      <c r="AA116" s="113">
        <v>-60.9</v>
      </c>
      <c r="AB116" s="113"/>
      <c r="AC116" s="113">
        <v>-38.200000000000003</v>
      </c>
      <c r="AD116" s="113">
        <v>-28.7</v>
      </c>
      <c r="AE116" s="113">
        <v>-12.6</v>
      </c>
      <c r="AF116" s="113">
        <v>-10.199999999999999</v>
      </c>
      <c r="AG116" s="126"/>
      <c r="AH116" s="52">
        <f t="shared" si="21"/>
        <v>8.6999999999999993</v>
      </c>
      <c r="AI116" s="53">
        <f t="shared" si="22"/>
        <v>-76.099999999999994</v>
      </c>
    </row>
    <row r="117" spans="1:37" ht="15.75" thickBot="1" x14ac:dyDescent="0.3">
      <c r="A117" s="127" t="s">
        <v>121</v>
      </c>
      <c r="B117" s="113">
        <v>75</v>
      </c>
      <c r="C117" s="113">
        <v>71.2</v>
      </c>
      <c r="D117" s="113">
        <v>65</v>
      </c>
      <c r="E117" s="113">
        <v>68.099999999999994</v>
      </c>
      <c r="F117" s="113">
        <v>64.5</v>
      </c>
      <c r="G117" s="113">
        <v>64.5</v>
      </c>
      <c r="H117" s="113">
        <v>64.5</v>
      </c>
      <c r="I117" s="113">
        <v>72.7</v>
      </c>
      <c r="J117" s="113">
        <v>72.8</v>
      </c>
      <c r="K117" s="113">
        <v>79.599999999999994</v>
      </c>
      <c r="L117" s="113">
        <v>78.7</v>
      </c>
      <c r="M117" s="113">
        <v>79.8</v>
      </c>
      <c r="N117" s="113">
        <v>75.5</v>
      </c>
      <c r="O117" s="113">
        <v>73.099999999999994</v>
      </c>
      <c r="P117" s="113">
        <v>85</v>
      </c>
      <c r="Q117" s="113">
        <v>97.1</v>
      </c>
      <c r="R117" s="113">
        <v>95</v>
      </c>
      <c r="S117" s="113">
        <v>101</v>
      </c>
      <c r="T117" s="113">
        <v>99.3</v>
      </c>
      <c r="U117" s="113">
        <v>92.4</v>
      </c>
      <c r="V117" s="113">
        <v>79.400000000000006</v>
      </c>
      <c r="W117" s="113">
        <v>74.900000000000006</v>
      </c>
      <c r="X117" s="113">
        <v>74.900000000000006</v>
      </c>
      <c r="Y117" s="113">
        <v>74.900000000000006</v>
      </c>
      <c r="Z117" s="113">
        <v>95.6</v>
      </c>
      <c r="AA117" s="113">
        <v>87.4</v>
      </c>
      <c r="AB117" s="113"/>
      <c r="AC117" s="113">
        <v>85.4</v>
      </c>
      <c r="AD117" s="113">
        <v>95.2</v>
      </c>
      <c r="AE117" s="113">
        <v>80.3</v>
      </c>
      <c r="AF117" s="113">
        <v>73.8</v>
      </c>
      <c r="AG117" s="126"/>
      <c r="AH117" s="52">
        <f t="shared" si="21"/>
        <v>101</v>
      </c>
      <c r="AI117" s="53">
        <f t="shared" si="22"/>
        <v>64.5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45">SUM(B119:B223)</f>
        <v>0</v>
      </c>
      <c r="C224" s="144">
        <f t="shared" si="45"/>
        <v>0</v>
      </c>
      <c r="D224" s="144">
        <f t="shared" si="45"/>
        <v>0</v>
      </c>
      <c r="E224" s="144">
        <f t="shared" si="45"/>
        <v>0</v>
      </c>
      <c r="F224" s="144">
        <f t="shared" si="45"/>
        <v>0</v>
      </c>
      <c r="G224" s="144">
        <f t="shared" si="45"/>
        <v>0</v>
      </c>
      <c r="H224" s="144">
        <f t="shared" si="45"/>
        <v>0</v>
      </c>
      <c r="I224" s="144">
        <f t="shared" si="45"/>
        <v>0</v>
      </c>
      <c r="J224" s="144">
        <f t="shared" si="45"/>
        <v>0</v>
      </c>
      <c r="K224" s="144">
        <f t="shared" si="45"/>
        <v>0</v>
      </c>
      <c r="L224" s="144">
        <f t="shared" si="45"/>
        <v>0</v>
      </c>
      <c r="M224" s="144">
        <f t="shared" si="45"/>
        <v>0</v>
      </c>
      <c r="N224" s="144">
        <f t="shared" si="45"/>
        <v>0</v>
      </c>
      <c r="O224" s="144">
        <f t="shared" si="45"/>
        <v>0</v>
      </c>
      <c r="P224" s="144">
        <f t="shared" si="45"/>
        <v>0</v>
      </c>
      <c r="Q224" s="144">
        <f t="shared" si="45"/>
        <v>0</v>
      </c>
      <c r="R224" s="144">
        <f t="shared" si="45"/>
        <v>0</v>
      </c>
      <c r="S224" s="144">
        <f t="shared" si="45"/>
        <v>0</v>
      </c>
      <c r="T224" s="144">
        <f t="shared" si="45"/>
        <v>0</v>
      </c>
      <c r="U224" s="144">
        <f t="shared" si="45"/>
        <v>0</v>
      </c>
      <c r="V224" s="144">
        <f t="shared" si="45"/>
        <v>0</v>
      </c>
      <c r="W224" s="144">
        <f t="shared" si="45"/>
        <v>0</v>
      </c>
      <c r="X224" s="144">
        <f t="shared" si="45"/>
        <v>0</v>
      </c>
      <c r="Y224" s="144">
        <f t="shared" si="45"/>
        <v>0</v>
      </c>
      <c r="Z224" s="144">
        <f t="shared" si="45"/>
        <v>0</v>
      </c>
      <c r="AA224" s="144">
        <f t="shared" si="45"/>
        <v>0</v>
      </c>
      <c r="AB224" s="144">
        <f t="shared" si="45"/>
        <v>0</v>
      </c>
      <c r="AC224" s="144">
        <f t="shared" si="45"/>
        <v>0</v>
      </c>
      <c r="AD224" s="144">
        <f t="shared" si="45"/>
        <v>0</v>
      </c>
      <c r="AE224" s="144">
        <f t="shared" si="45"/>
        <v>0</v>
      </c>
      <c r="AF224" s="145">
        <f t="shared" si="45"/>
        <v>0</v>
      </c>
      <c r="AG224" s="146">
        <f t="shared" si="45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46">AF226</f>
        <v>0</v>
      </c>
      <c r="C226" s="149">
        <v>0.3</v>
      </c>
      <c r="D226" s="149">
        <f t="shared" ref="D226:P231" si="47">C226</f>
        <v>0.3</v>
      </c>
      <c r="E226" s="149">
        <f t="shared" si="47"/>
        <v>0.3</v>
      </c>
      <c r="F226" s="149">
        <f t="shared" si="47"/>
        <v>0.3</v>
      </c>
      <c r="G226" s="149">
        <f t="shared" si="47"/>
        <v>0.3</v>
      </c>
      <c r="H226" s="149">
        <f t="shared" si="47"/>
        <v>0.3</v>
      </c>
      <c r="I226" s="149">
        <f t="shared" si="47"/>
        <v>0.3</v>
      </c>
      <c r="J226" s="149">
        <f t="shared" si="47"/>
        <v>0.3</v>
      </c>
      <c r="K226" s="149">
        <f t="shared" si="47"/>
        <v>0.3</v>
      </c>
      <c r="L226" s="149">
        <f t="shared" si="47"/>
        <v>0.3</v>
      </c>
      <c r="M226" s="149">
        <f t="shared" si="47"/>
        <v>0.3</v>
      </c>
      <c r="N226" s="149">
        <f t="shared" si="47"/>
        <v>0.3</v>
      </c>
      <c r="O226" s="149">
        <f t="shared" si="47"/>
        <v>0.3</v>
      </c>
      <c r="P226" s="149">
        <f t="shared" si="47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46"/>
        <v>0</v>
      </c>
      <c r="C227" s="136">
        <v>0.4</v>
      </c>
      <c r="D227" s="136">
        <f t="shared" si="47"/>
        <v>0.4</v>
      </c>
      <c r="E227" s="136">
        <f t="shared" si="47"/>
        <v>0.4</v>
      </c>
      <c r="F227" s="136">
        <f t="shared" si="47"/>
        <v>0.4</v>
      </c>
      <c r="G227" s="136">
        <f t="shared" si="47"/>
        <v>0.4</v>
      </c>
      <c r="H227" s="136">
        <f t="shared" si="47"/>
        <v>0.4</v>
      </c>
      <c r="I227" s="136">
        <f t="shared" si="47"/>
        <v>0.4</v>
      </c>
      <c r="J227" s="136">
        <f t="shared" si="47"/>
        <v>0.4</v>
      </c>
      <c r="K227" s="136">
        <f t="shared" si="47"/>
        <v>0.4</v>
      </c>
      <c r="L227" s="136">
        <f t="shared" si="47"/>
        <v>0.4</v>
      </c>
      <c r="M227" s="136">
        <f t="shared" si="47"/>
        <v>0.4</v>
      </c>
      <c r="N227" s="136">
        <f t="shared" si="47"/>
        <v>0.4</v>
      </c>
      <c r="O227" s="136">
        <f t="shared" si="47"/>
        <v>0.4</v>
      </c>
      <c r="P227" s="136">
        <f t="shared" si="47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46"/>
        <v>0</v>
      </c>
      <c r="C228" s="136">
        <v>1.5</v>
      </c>
      <c r="D228" s="136">
        <f t="shared" si="47"/>
        <v>1.5</v>
      </c>
      <c r="E228" s="136">
        <f t="shared" si="47"/>
        <v>1.5</v>
      </c>
      <c r="F228" s="136">
        <f t="shared" si="47"/>
        <v>1.5</v>
      </c>
      <c r="G228" s="136">
        <f t="shared" si="47"/>
        <v>1.5</v>
      </c>
      <c r="H228" s="136">
        <f t="shared" si="47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7"/>
        <v>1.5</v>
      </c>
      <c r="K228" s="136">
        <f t="shared" ca="1" si="47"/>
        <v>1.5</v>
      </c>
      <c r="L228" s="136">
        <f t="shared" ca="1" si="47"/>
        <v>1.5</v>
      </c>
      <c r="M228" s="136">
        <f t="shared" ca="1" si="47"/>
        <v>1.5</v>
      </c>
      <c r="N228" s="136">
        <f t="shared" ca="1" si="47"/>
        <v>1.5</v>
      </c>
      <c r="O228" s="136">
        <f t="shared" ca="1" si="47"/>
        <v>1.5</v>
      </c>
      <c r="P228" s="136">
        <f t="shared" ca="1" si="47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46"/>
        <v>0</v>
      </c>
      <c r="C229" s="136">
        <v>0.3</v>
      </c>
      <c r="D229" s="136">
        <f t="shared" si="47"/>
        <v>0.3</v>
      </c>
      <c r="E229" s="136">
        <f t="shared" si="47"/>
        <v>0.3</v>
      </c>
      <c r="F229" s="136">
        <f t="shared" si="47"/>
        <v>0.3</v>
      </c>
      <c r="G229" s="136">
        <f t="shared" si="47"/>
        <v>0.3</v>
      </c>
      <c r="H229" s="136">
        <f t="shared" si="47"/>
        <v>0.3</v>
      </c>
      <c r="I229" s="136">
        <f t="shared" si="47"/>
        <v>0.3</v>
      </c>
      <c r="J229" s="136">
        <f t="shared" si="47"/>
        <v>0.3</v>
      </c>
      <c r="K229" s="136">
        <f t="shared" si="47"/>
        <v>0.3</v>
      </c>
      <c r="L229" s="136">
        <f t="shared" si="47"/>
        <v>0.3</v>
      </c>
      <c r="M229" s="136">
        <f t="shared" si="47"/>
        <v>0.3</v>
      </c>
      <c r="N229" s="136">
        <f t="shared" si="47"/>
        <v>0.3</v>
      </c>
      <c r="O229" s="136">
        <f t="shared" si="47"/>
        <v>0.3</v>
      </c>
      <c r="P229" s="136">
        <f t="shared" si="47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46"/>
        <v>0</v>
      </c>
      <c r="C230" s="136">
        <v>0.4</v>
      </c>
      <c r="D230" s="136">
        <f t="shared" si="47"/>
        <v>0.4</v>
      </c>
      <c r="E230" s="136">
        <f t="shared" si="47"/>
        <v>0.4</v>
      </c>
      <c r="F230" s="136">
        <f t="shared" si="47"/>
        <v>0.4</v>
      </c>
      <c r="G230" s="136">
        <f t="shared" si="47"/>
        <v>0.4</v>
      </c>
      <c r="H230" s="136">
        <f t="shared" si="47"/>
        <v>0.4</v>
      </c>
      <c r="I230" s="136">
        <f t="shared" si="47"/>
        <v>0.4</v>
      </c>
      <c r="J230" s="136">
        <f t="shared" si="47"/>
        <v>0.4</v>
      </c>
      <c r="K230" s="136">
        <f t="shared" si="47"/>
        <v>0.4</v>
      </c>
      <c r="L230" s="136">
        <f t="shared" si="47"/>
        <v>0.4</v>
      </c>
      <c r="M230" s="136">
        <f t="shared" si="47"/>
        <v>0.4</v>
      </c>
      <c r="N230" s="136">
        <f t="shared" si="47"/>
        <v>0.4</v>
      </c>
      <c r="O230" s="136">
        <f t="shared" si="47"/>
        <v>0.4</v>
      </c>
      <c r="P230" s="136">
        <f t="shared" si="47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46"/>
        <v>0</v>
      </c>
      <c r="C231" s="140">
        <v>0.64</v>
      </c>
      <c r="D231" s="140">
        <f t="shared" si="47"/>
        <v>0.64</v>
      </c>
      <c r="E231" s="140">
        <f t="shared" si="47"/>
        <v>0.64</v>
      </c>
      <c r="F231" s="140">
        <f t="shared" si="47"/>
        <v>0.64</v>
      </c>
      <c r="G231" s="140">
        <f t="shared" si="47"/>
        <v>0.64</v>
      </c>
      <c r="H231" s="140">
        <f t="shared" si="47"/>
        <v>0.64</v>
      </c>
      <c r="I231" s="140">
        <f t="shared" si="47"/>
        <v>0.64</v>
      </c>
      <c r="J231" s="140">
        <f t="shared" si="47"/>
        <v>0.64</v>
      </c>
      <c r="K231" s="140">
        <f t="shared" si="47"/>
        <v>0.64</v>
      </c>
      <c r="L231" s="140">
        <f t="shared" si="47"/>
        <v>0.64</v>
      </c>
      <c r="M231" s="140">
        <f t="shared" si="47"/>
        <v>0.64</v>
      </c>
      <c r="N231" s="140">
        <f t="shared" si="47"/>
        <v>0.64</v>
      </c>
      <c r="O231" s="140">
        <f t="shared" si="47"/>
        <v>0.64</v>
      </c>
      <c r="P231" s="140">
        <f t="shared" si="47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48">SUM(B226:B231)</f>
        <v>0</v>
      </c>
      <c r="C232" s="144">
        <f t="shared" si="48"/>
        <v>3.54</v>
      </c>
      <c r="D232" s="144">
        <f t="shared" si="48"/>
        <v>3.54</v>
      </c>
      <c r="E232" s="144">
        <f t="shared" si="48"/>
        <v>3.54</v>
      </c>
      <c r="F232" s="144">
        <f t="shared" si="48"/>
        <v>3.54</v>
      </c>
      <c r="G232" s="144">
        <f t="shared" si="48"/>
        <v>3.54</v>
      </c>
      <c r="H232" s="144">
        <f t="shared" si="48"/>
        <v>3.54</v>
      </c>
      <c r="I232" s="144">
        <f t="shared" ca="1" si="48"/>
        <v>3.54</v>
      </c>
      <c r="J232" s="144">
        <f t="shared" ca="1" si="48"/>
        <v>3.54</v>
      </c>
      <c r="K232" s="144">
        <f t="shared" ca="1" si="48"/>
        <v>3.54</v>
      </c>
      <c r="L232" s="144">
        <f t="shared" ca="1" si="48"/>
        <v>3.54</v>
      </c>
      <c r="M232" s="144">
        <f t="shared" ca="1" si="48"/>
        <v>3.54</v>
      </c>
      <c r="N232" s="144">
        <f t="shared" ca="1" si="48"/>
        <v>3.54</v>
      </c>
      <c r="O232" s="144">
        <f t="shared" ca="1" si="48"/>
        <v>3.54</v>
      </c>
      <c r="P232" s="144">
        <f t="shared" ca="1" si="48"/>
        <v>3.54</v>
      </c>
      <c r="Q232" s="144">
        <f t="shared" si="48"/>
        <v>0</v>
      </c>
      <c r="R232" s="144">
        <f t="shared" si="48"/>
        <v>0</v>
      </c>
      <c r="S232" s="144">
        <f t="shared" si="48"/>
        <v>0</v>
      </c>
      <c r="T232" s="144">
        <f t="shared" si="48"/>
        <v>0</v>
      </c>
      <c r="U232" s="144">
        <f t="shared" si="48"/>
        <v>0</v>
      </c>
      <c r="V232" s="144">
        <f t="shared" si="48"/>
        <v>0</v>
      </c>
      <c r="W232" s="144">
        <f t="shared" si="48"/>
        <v>0</v>
      </c>
      <c r="X232" s="144">
        <f t="shared" si="48"/>
        <v>0</v>
      </c>
      <c r="Y232" s="144">
        <f t="shared" si="48"/>
        <v>0</v>
      </c>
      <c r="Z232" s="144">
        <f t="shared" si="48"/>
        <v>0</v>
      </c>
      <c r="AA232" s="144">
        <f t="shared" si="48"/>
        <v>0</v>
      </c>
      <c r="AB232" s="144">
        <f t="shared" si="48"/>
        <v>0</v>
      </c>
      <c r="AC232" s="144">
        <f t="shared" si="48"/>
        <v>0</v>
      </c>
      <c r="AD232" s="144">
        <f t="shared" si="48"/>
        <v>0</v>
      </c>
      <c r="AE232" s="144">
        <f t="shared" si="48"/>
        <v>0</v>
      </c>
      <c r="AF232" s="144">
        <f t="shared" si="48"/>
        <v>0</v>
      </c>
      <c r="AG232" s="154">
        <f t="shared" si="48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1446.74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14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2079/12/14)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2079/12/14)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49">B89</f>
        <v>1103.94</v>
      </c>
      <c r="U246" s="180">
        <f t="shared" si="49"/>
        <v>1097.54</v>
      </c>
      <c r="V246" s="180">
        <f t="shared" si="49"/>
        <v>1089.94</v>
      </c>
      <c r="W246" s="180">
        <f t="shared" si="49"/>
        <v>1115.44</v>
      </c>
      <c r="X246" s="180">
        <f t="shared" si="49"/>
        <v>1096.8400000000001</v>
      </c>
      <c r="Y246" s="180">
        <f t="shared" si="49"/>
        <v>1120.94</v>
      </c>
      <c r="Z246" s="180">
        <f t="shared" si="49"/>
        <v>1193.74</v>
      </c>
      <c r="AA246" s="180">
        <f t="shared" si="49"/>
        <v>1240.74</v>
      </c>
      <c r="AB246" s="180">
        <f t="shared" si="49"/>
        <v>1326.04</v>
      </c>
      <c r="AC246" s="180">
        <f t="shared" si="49"/>
        <v>1445.2399999999998</v>
      </c>
      <c r="AD246" s="180">
        <f t="shared" si="49"/>
        <v>1446.74</v>
      </c>
      <c r="AE246" s="180">
        <f t="shared" si="49"/>
        <v>1411.6399999999999</v>
      </c>
      <c r="AF246" s="180">
        <f t="shared" si="49"/>
        <v>1337.9399999999998</v>
      </c>
      <c r="AG246" s="180">
        <f t="shared" si="49"/>
        <v>1300.3400000000001</v>
      </c>
      <c r="AH246" s="180">
        <f t="shared" si="49"/>
        <v>1141.54</v>
      </c>
      <c r="AI246" s="180">
        <f t="shared" si="49"/>
        <v>1345.44</v>
      </c>
      <c r="AJ246" s="180">
        <f t="shared" si="49"/>
        <v>1346.3400000000001</v>
      </c>
      <c r="AK246" s="180">
        <f t="shared" si="49"/>
        <v>1378.24</v>
      </c>
      <c r="AL246" s="180">
        <f t="shared" si="49"/>
        <v>1382.24</v>
      </c>
      <c r="AM246" s="180">
        <f t="shared" si="49"/>
        <v>1243.44</v>
      </c>
      <c r="AN246" s="180">
        <f t="shared" si="49"/>
        <v>1204.54</v>
      </c>
      <c r="AO246" s="180">
        <f t="shared" si="49"/>
        <v>1205.8400000000001</v>
      </c>
      <c r="AP246" s="180">
        <f t="shared" si="49"/>
        <v>1281.8400000000001</v>
      </c>
      <c r="AQ246" s="180">
        <f t="shared" si="49"/>
        <v>1357.54</v>
      </c>
      <c r="AR246" s="180">
        <f t="shared" si="49"/>
        <v>1558.4399999999998</v>
      </c>
      <c r="AS246" s="180">
        <f t="shared" si="49"/>
        <v>1527.0399999999997</v>
      </c>
      <c r="AT246" s="180">
        <f t="shared" si="49"/>
        <v>1303.4399999999998</v>
      </c>
      <c r="AU246" s="180">
        <f t="shared" si="49"/>
        <v>1277.6400000000001</v>
      </c>
      <c r="AV246" s="180">
        <f t="shared" si="49"/>
        <v>1274.54</v>
      </c>
      <c r="AW246" s="180">
        <f t="shared" si="49"/>
        <v>1231.94</v>
      </c>
      <c r="AX246" s="180">
        <f t="shared" si="49"/>
        <v>1167.04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50">C231</f>
        <v>0.64</v>
      </c>
      <c r="C267" s="183">
        <f t="shared" si="50"/>
        <v>0.64</v>
      </c>
      <c r="D267" s="183">
        <f t="shared" si="50"/>
        <v>0.64</v>
      </c>
      <c r="E267" s="183">
        <f t="shared" si="50"/>
        <v>0.64</v>
      </c>
      <c r="F267" s="183">
        <f t="shared" si="50"/>
        <v>0.64</v>
      </c>
      <c r="G267" s="183">
        <f t="shared" si="50"/>
        <v>0.64</v>
      </c>
      <c r="H267" s="183">
        <f t="shared" si="50"/>
        <v>0.64</v>
      </c>
      <c r="I267" s="183">
        <f t="shared" si="50"/>
        <v>0.64</v>
      </c>
      <c r="J267" s="183">
        <f t="shared" si="50"/>
        <v>0.64</v>
      </c>
      <c r="K267" s="183">
        <f t="shared" si="50"/>
        <v>0.64</v>
      </c>
      <c r="L267" s="183">
        <f t="shared" si="50"/>
        <v>0.64</v>
      </c>
      <c r="M267" s="183">
        <f t="shared" si="50"/>
        <v>0.64</v>
      </c>
      <c r="N267" s="183">
        <f t="shared" si="50"/>
        <v>0.64</v>
      </c>
      <c r="O267" s="183">
        <f t="shared" si="50"/>
        <v>0.64</v>
      </c>
      <c r="P267" s="183">
        <f t="shared" si="50"/>
        <v>0</v>
      </c>
      <c r="Q267" s="183">
        <f t="shared" si="50"/>
        <v>0</v>
      </c>
      <c r="R267" s="183">
        <f t="shared" si="50"/>
        <v>0</v>
      </c>
      <c r="S267" s="183">
        <f t="shared" si="50"/>
        <v>0</v>
      </c>
      <c r="T267" s="183">
        <f t="shared" si="50"/>
        <v>0</v>
      </c>
      <c r="U267" s="183">
        <f t="shared" si="50"/>
        <v>0</v>
      </c>
      <c r="V267" s="183">
        <f t="shared" si="50"/>
        <v>0</v>
      </c>
      <c r="W267" s="183">
        <f t="shared" si="50"/>
        <v>0</v>
      </c>
      <c r="X267" s="183">
        <f t="shared" si="50"/>
        <v>0</v>
      </c>
      <c r="Y267" s="183">
        <f t="shared" si="50"/>
        <v>0</v>
      </c>
      <c r="Z267" s="183">
        <f t="shared" si="50"/>
        <v>0</v>
      </c>
      <c r="AA267" s="183">
        <f t="shared" si="50"/>
        <v>0</v>
      </c>
      <c r="AB267" s="183">
        <f t="shared" si="50"/>
        <v>0</v>
      </c>
      <c r="AC267" s="183">
        <f t="shared" si="50"/>
        <v>0</v>
      </c>
      <c r="AD267" s="183">
        <f t="shared" si="50"/>
        <v>0</v>
      </c>
      <c r="AE267" s="183">
        <f t="shared" si="50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51">IF(B235&lt;100,"",B235-520)</f>
        <v/>
      </c>
      <c r="C268" s="184" t="str">
        <f t="shared" si="51"/>
        <v/>
      </c>
      <c r="D268" s="184" t="str">
        <f t="shared" si="51"/>
        <v/>
      </c>
      <c r="E268" s="184" t="str">
        <f t="shared" si="51"/>
        <v/>
      </c>
      <c r="F268" s="184" t="str">
        <f t="shared" si="51"/>
        <v/>
      </c>
      <c r="G268" s="184" t="str">
        <f t="shared" si="51"/>
        <v/>
      </c>
      <c r="H268" s="184" t="str">
        <f t="shared" si="51"/>
        <v/>
      </c>
      <c r="I268" s="184" t="str">
        <f t="shared" si="51"/>
        <v/>
      </c>
      <c r="J268" s="184" t="str">
        <f t="shared" si="51"/>
        <v/>
      </c>
      <c r="K268" s="184" t="str">
        <f t="shared" si="51"/>
        <v/>
      </c>
      <c r="L268" s="184" t="str">
        <f t="shared" si="51"/>
        <v/>
      </c>
      <c r="M268" s="184" t="str">
        <f t="shared" si="51"/>
        <v/>
      </c>
      <c r="N268" s="184" t="str">
        <f t="shared" si="51"/>
        <v/>
      </c>
      <c r="O268" s="184" t="str">
        <f t="shared" si="51"/>
        <v/>
      </c>
      <c r="P268" s="184" t="str">
        <f t="shared" si="51"/>
        <v/>
      </c>
      <c r="Q268" s="184" t="str">
        <f t="shared" si="51"/>
        <v/>
      </c>
      <c r="R268" s="184" t="str">
        <f t="shared" si="51"/>
        <v/>
      </c>
      <c r="S268" s="184" t="str">
        <f t="shared" si="51"/>
        <v/>
      </c>
      <c r="T268" s="184" t="str">
        <f t="shared" si="51"/>
        <v/>
      </c>
      <c r="U268" s="184" t="str">
        <f t="shared" si="51"/>
        <v/>
      </c>
      <c r="V268" s="184" t="str">
        <f t="shared" si="51"/>
        <v/>
      </c>
      <c r="W268" s="184" t="str">
        <f t="shared" si="51"/>
        <v/>
      </c>
      <c r="X268" s="184" t="str">
        <f t="shared" si="51"/>
        <v/>
      </c>
      <c r="Y268" s="184" t="str">
        <f t="shared" si="51"/>
        <v/>
      </c>
      <c r="Z268" s="184" t="str">
        <f t="shared" si="51"/>
        <v/>
      </c>
      <c r="AA268" s="184" t="str">
        <f t="shared" si="51"/>
        <v/>
      </c>
      <c r="AB268" s="184" t="str">
        <f t="shared" si="51"/>
        <v/>
      </c>
      <c r="AC268" s="184" t="str">
        <f t="shared" si="51"/>
        <v/>
      </c>
      <c r="AD268" s="184" t="str">
        <f t="shared" si="51"/>
        <v/>
      </c>
      <c r="AE268" s="184" t="str">
        <f t="shared" si="51"/>
        <v/>
      </c>
      <c r="AF268" s="184" t="str">
        <f t="shared" si="51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52">IF(B236&lt;100,"",B236-620)</f>
        <v/>
      </c>
      <c r="C269" s="184" t="str">
        <f t="shared" si="52"/>
        <v/>
      </c>
      <c r="D269" s="184" t="str">
        <f t="shared" si="52"/>
        <v/>
      </c>
      <c r="E269" s="184" t="str">
        <f t="shared" si="52"/>
        <v/>
      </c>
      <c r="F269" s="184" t="str">
        <f t="shared" si="52"/>
        <v/>
      </c>
      <c r="G269" s="184" t="str">
        <f t="shared" si="52"/>
        <v/>
      </c>
      <c r="H269" s="184" t="str">
        <f t="shared" si="52"/>
        <v/>
      </c>
      <c r="I269" s="184" t="str">
        <f t="shared" si="52"/>
        <v/>
      </c>
      <c r="J269" s="184" t="str">
        <f t="shared" si="52"/>
        <v/>
      </c>
      <c r="K269" s="184" t="str">
        <f t="shared" si="52"/>
        <v/>
      </c>
      <c r="L269" s="184" t="str">
        <f t="shared" si="52"/>
        <v/>
      </c>
      <c r="M269" s="184" t="str">
        <f t="shared" si="52"/>
        <v/>
      </c>
      <c r="N269" s="184" t="str">
        <f t="shared" si="52"/>
        <v/>
      </c>
      <c r="O269" s="184" t="str">
        <f t="shared" si="52"/>
        <v/>
      </c>
      <c r="P269" s="184" t="str">
        <f t="shared" si="52"/>
        <v/>
      </c>
      <c r="Q269" s="184" t="str">
        <f t="shared" si="52"/>
        <v/>
      </c>
      <c r="R269" s="184" t="str">
        <f t="shared" si="52"/>
        <v/>
      </c>
      <c r="S269" s="184" t="str">
        <f t="shared" si="52"/>
        <v/>
      </c>
      <c r="T269" s="184" t="str">
        <f t="shared" si="52"/>
        <v/>
      </c>
      <c r="U269" s="184" t="str">
        <f t="shared" si="52"/>
        <v/>
      </c>
      <c r="V269" s="184" t="str">
        <f t="shared" si="52"/>
        <v/>
      </c>
      <c r="W269" s="184" t="str">
        <f t="shared" si="52"/>
        <v/>
      </c>
      <c r="X269" s="184" t="str">
        <f t="shared" si="52"/>
        <v/>
      </c>
      <c r="Y269" s="184" t="str">
        <f t="shared" si="52"/>
        <v/>
      </c>
      <c r="Z269" s="184" t="str">
        <f t="shared" si="52"/>
        <v/>
      </c>
      <c r="AA269" s="184" t="str">
        <f t="shared" si="52"/>
        <v/>
      </c>
      <c r="AB269" s="184" t="str">
        <f t="shared" si="52"/>
        <v/>
      </c>
      <c r="AC269" s="184" t="str">
        <f t="shared" si="52"/>
        <v/>
      </c>
      <c r="AD269" s="184" t="str">
        <f t="shared" si="52"/>
        <v/>
      </c>
      <c r="AE269" s="184" t="str">
        <f t="shared" si="52"/>
        <v/>
      </c>
      <c r="AF269" s="184" t="str">
        <f t="shared" si="52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53">IF(B237&lt;100,"",B237-330)</f>
        <v/>
      </c>
      <c r="C270" s="184" t="str">
        <f t="shared" si="53"/>
        <v/>
      </c>
      <c r="D270" s="184" t="str">
        <f t="shared" si="53"/>
        <v/>
      </c>
      <c r="E270" s="184" t="str">
        <f t="shared" si="53"/>
        <v/>
      </c>
      <c r="F270" s="184" t="str">
        <f t="shared" si="53"/>
        <v/>
      </c>
      <c r="G270" s="184" t="str">
        <f t="shared" si="53"/>
        <v/>
      </c>
      <c r="H270" s="184" t="str">
        <f t="shared" si="53"/>
        <v/>
      </c>
      <c r="I270" s="184" t="str">
        <f t="shared" si="53"/>
        <v/>
      </c>
      <c r="J270" s="184" t="str">
        <f t="shared" si="53"/>
        <v/>
      </c>
      <c r="K270" s="184" t="str">
        <f t="shared" si="53"/>
        <v/>
      </c>
      <c r="L270" s="184" t="str">
        <f t="shared" si="53"/>
        <v/>
      </c>
      <c r="M270" s="184" t="str">
        <f t="shared" si="53"/>
        <v/>
      </c>
      <c r="N270" s="184" t="str">
        <f t="shared" si="53"/>
        <v/>
      </c>
      <c r="O270" s="184" t="str">
        <f t="shared" si="53"/>
        <v/>
      </c>
      <c r="P270" s="184" t="str">
        <f t="shared" si="53"/>
        <v/>
      </c>
      <c r="Q270" s="184" t="str">
        <f t="shared" si="53"/>
        <v/>
      </c>
      <c r="R270" s="184" t="str">
        <f t="shared" si="53"/>
        <v/>
      </c>
      <c r="S270" s="184" t="str">
        <f t="shared" si="53"/>
        <v/>
      </c>
      <c r="T270" s="184" t="str">
        <f t="shared" si="53"/>
        <v/>
      </c>
      <c r="U270" s="184" t="str">
        <f t="shared" si="53"/>
        <v/>
      </c>
      <c r="V270" s="184" t="str">
        <f t="shared" si="53"/>
        <v/>
      </c>
      <c r="W270" s="184" t="str">
        <f t="shared" si="53"/>
        <v/>
      </c>
      <c r="X270" s="184" t="str">
        <f t="shared" si="53"/>
        <v/>
      </c>
      <c r="Y270" s="184" t="str">
        <f t="shared" si="53"/>
        <v/>
      </c>
      <c r="Z270" s="184" t="str">
        <f t="shared" si="53"/>
        <v/>
      </c>
      <c r="AA270" s="184" t="str">
        <f t="shared" si="53"/>
        <v/>
      </c>
      <c r="AB270" s="184" t="str">
        <f t="shared" si="53"/>
        <v/>
      </c>
      <c r="AC270" s="184" t="str">
        <f t="shared" si="53"/>
        <v/>
      </c>
      <c r="AD270" s="184" t="str">
        <f t="shared" si="53"/>
        <v/>
      </c>
      <c r="AE270" s="184" t="str">
        <f t="shared" si="53"/>
        <v/>
      </c>
      <c r="AF270" s="184" t="str">
        <f t="shared" si="53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54">IF(B238&lt;100,"",B238-1500)</f>
        <v/>
      </c>
      <c r="C271" s="184" t="str">
        <f t="shared" si="54"/>
        <v/>
      </c>
      <c r="D271" s="184" t="str">
        <f t="shared" si="54"/>
        <v/>
      </c>
      <c r="E271" s="184" t="str">
        <f t="shared" si="54"/>
        <v/>
      </c>
      <c r="F271" s="184" t="str">
        <f t="shared" si="54"/>
        <v/>
      </c>
      <c r="G271" s="184" t="str">
        <f t="shared" si="54"/>
        <v/>
      </c>
      <c r="H271" s="184" t="str">
        <f t="shared" si="54"/>
        <v/>
      </c>
      <c r="I271" s="184" t="str">
        <f t="shared" si="54"/>
        <v/>
      </c>
      <c r="J271" s="184" t="str">
        <f t="shared" si="54"/>
        <v/>
      </c>
      <c r="K271" s="184" t="str">
        <f t="shared" si="54"/>
        <v/>
      </c>
      <c r="L271" s="184" t="str">
        <f t="shared" si="54"/>
        <v/>
      </c>
      <c r="M271" s="184" t="str">
        <f t="shared" si="54"/>
        <v/>
      </c>
      <c r="N271" s="184" t="str">
        <f t="shared" si="54"/>
        <v/>
      </c>
      <c r="O271" s="184" t="str">
        <f t="shared" si="54"/>
        <v/>
      </c>
      <c r="P271" s="184" t="str">
        <f t="shared" si="54"/>
        <v/>
      </c>
      <c r="Q271" s="184" t="str">
        <f t="shared" si="54"/>
        <v/>
      </c>
      <c r="R271" s="184" t="str">
        <f t="shared" si="54"/>
        <v/>
      </c>
      <c r="S271" s="184" t="str">
        <f t="shared" si="54"/>
        <v/>
      </c>
      <c r="T271" s="184" t="str">
        <f t="shared" si="54"/>
        <v/>
      </c>
      <c r="U271" s="184" t="str">
        <f t="shared" si="54"/>
        <v/>
      </c>
      <c r="V271" s="184" t="str">
        <f t="shared" si="54"/>
        <v/>
      </c>
      <c r="W271" s="184" t="str">
        <f t="shared" si="54"/>
        <v/>
      </c>
      <c r="X271" s="184" t="str">
        <f t="shared" si="54"/>
        <v/>
      </c>
      <c r="Y271" s="184" t="str">
        <f t="shared" si="54"/>
        <v/>
      </c>
      <c r="Z271" s="184" t="str">
        <f t="shared" si="54"/>
        <v/>
      </c>
      <c r="AA271" s="184" t="str">
        <f t="shared" si="54"/>
        <v/>
      </c>
      <c r="AB271" s="184" t="str">
        <f t="shared" si="54"/>
        <v/>
      </c>
      <c r="AC271" s="184" t="str">
        <f t="shared" si="54"/>
        <v/>
      </c>
      <c r="AD271" s="184" t="str">
        <f t="shared" si="54"/>
        <v/>
      </c>
      <c r="AE271" s="184" t="str">
        <f t="shared" si="54"/>
        <v/>
      </c>
      <c r="AF271" s="184" t="str">
        <f t="shared" si="54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7130" priority="344">
      <formula>B$9&gt;=20/24</formula>
    </cfRule>
    <cfRule type="expression" dxfId="7129" priority="345">
      <formula>AND(B$9&gt;=14/24,B$9&lt;20/24)</formula>
    </cfRule>
    <cfRule type="expression" dxfId="7128" priority="346">
      <formula>AND(B$9&gt;=8/24,B$9&lt;14/24)</formula>
    </cfRule>
    <cfRule type="expression" dxfId="7127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7126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7125" priority="341">
      <formula>$AH12=0</formula>
    </cfRule>
  </conditionalFormatting>
  <conditionalFormatting sqref="A114">
    <cfRule type="expression" dxfId="7124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7123" priority="338">
      <formula>$AH45=0</formula>
    </cfRule>
  </conditionalFormatting>
  <conditionalFormatting sqref="A98">
    <cfRule type="expression" dxfId="7122" priority="337">
      <formula>$AH98=0</formula>
    </cfRule>
  </conditionalFormatting>
  <conditionalFormatting sqref="A18">
    <cfRule type="expression" dxfId="7121" priority="336">
      <formula>$AH18=0</formula>
    </cfRule>
  </conditionalFormatting>
  <conditionalFormatting sqref="A196:A201">
    <cfRule type="expression" dxfId="7120" priority="335">
      <formula>$AH196=0</formula>
    </cfRule>
  </conditionalFormatting>
  <conditionalFormatting sqref="A190:A195">
    <cfRule type="expression" dxfId="7119" priority="334">
      <formula>$AH190=0</formula>
    </cfRule>
  </conditionalFormatting>
  <conditionalFormatting sqref="A58">
    <cfRule type="expression" dxfId="7118" priority="333">
      <formula>$AH58=0</formula>
    </cfRule>
  </conditionalFormatting>
  <conditionalFormatting sqref="A94">
    <cfRule type="expression" dxfId="7117" priority="332">
      <formula>$AH94=0</formula>
    </cfRule>
  </conditionalFormatting>
  <conditionalFormatting sqref="AD99:AF99 E99:AA99">
    <cfRule type="expression" dxfId="7116" priority="328">
      <formula>E$9&gt;=20/24</formula>
    </cfRule>
    <cfRule type="expression" dxfId="7115" priority="329">
      <formula>AND(E$9&gt;=14/24,E$9&lt;20/24)</formula>
    </cfRule>
    <cfRule type="expression" dxfId="7114" priority="330">
      <formula>AND(E$9&gt;=8/24,E$9&lt;14/24)</formula>
    </cfRule>
    <cfRule type="expression" dxfId="7113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112" priority="350">
      <formula>C$9&gt;=20/24</formula>
    </cfRule>
    <cfRule type="expression" dxfId="7111" priority="351">
      <formula>AND(C$9&gt;=14/24,C$9&lt;20/24)</formula>
    </cfRule>
    <cfRule type="expression" dxfId="7110" priority="352">
      <formula>AND(C$9&gt;=8/24,C$9&lt;14/24)</formula>
    </cfRule>
    <cfRule type="expression" dxfId="7109" priority="353">
      <formula>C$9&lt;8/24</formula>
    </cfRule>
  </conditionalFormatting>
  <conditionalFormatting sqref="A233">
    <cfRule type="expression" dxfId="7108" priority="354">
      <formula>$AH233=0</formula>
    </cfRule>
  </conditionalFormatting>
  <conditionalFormatting sqref="AG245">
    <cfRule type="expression" dxfId="7107" priority="355">
      <formula>B$9&gt;=20/24</formula>
    </cfRule>
    <cfRule type="expression" dxfId="7106" priority="356">
      <formula>AND(B$9&gt;=14/24,B$9&lt;20/24)</formula>
    </cfRule>
    <cfRule type="expression" dxfId="7105" priority="357">
      <formula>AND(B$9&gt;=8/24,B$9&lt;14/24)</formula>
    </cfRule>
    <cfRule type="expression" dxfId="7104" priority="358">
      <formula>B$9&lt;8/24</formula>
    </cfRule>
  </conditionalFormatting>
  <conditionalFormatting sqref="S8">
    <cfRule type="expression" dxfId="7103" priority="323">
      <formula>U$9&gt;=20/24</formula>
    </cfRule>
    <cfRule type="expression" dxfId="7102" priority="324">
      <formula>AND(U$9&gt;=14/24,U$9&lt;20/24)</formula>
    </cfRule>
    <cfRule type="expression" dxfId="7101" priority="325">
      <formula>AND(U$9&gt;=8/24,U$9&lt;14/24)</formula>
    </cfRule>
    <cfRule type="expression" dxfId="7100" priority="326">
      <formula>U$9&lt;8/24</formula>
    </cfRule>
  </conditionalFormatting>
  <conditionalFormatting sqref="AB8">
    <cfRule type="expression" dxfId="7099" priority="319">
      <formula>AD$9&gt;=20/24</formula>
    </cfRule>
    <cfRule type="expression" dxfId="7098" priority="320">
      <formula>AND(AD$9&gt;=14/24,AD$9&lt;20/24)</formula>
    </cfRule>
    <cfRule type="expression" dxfId="7097" priority="321">
      <formula>AND(AD$9&gt;=8/24,AD$9&lt;14/24)</formula>
    </cfRule>
    <cfRule type="expression" dxfId="7096" priority="322">
      <formula>AD$9&lt;8/24</formula>
    </cfRule>
  </conditionalFormatting>
  <conditionalFormatting sqref="AH245:AX245">
    <cfRule type="expression" dxfId="7095" priority="359">
      <formula>AG$9&gt;=20/24</formula>
    </cfRule>
    <cfRule type="expression" dxfId="7094" priority="360">
      <formula>AND(AG$9&gt;=14/24,AG$9&lt;20/24)</formula>
    </cfRule>
    <cfRule type="expression" dxfId="7093" priority="361">
      <formula>AND(AG$9&gt;=8/24,AG$9&lt;14/24)</formula>
    </cfRule>
    <cfRule type="expression" dxfId="7092" priority="362">
      <formula>AG$9&lt;8/24</formula>
    </cfRule>
  </conditionalFormatting>
  <conditionalFormatting sqref="T245">
    <cfRule type="expression" dxfId="7091" priority="363">
      <formula>AX$9&gt;=20/24</formula>
    </cfRule>
    <cfRule type="expression" dxfId="7090" priority="364">
      <formula>AND(AX$9&gt;=14/24,AX$9&lt;20/24)</formula>
    </cfRule>
    <cfRule type="expression" dxfId="7089" priority="365">
      <formula>AND(AX$9&gt;=8/24,AX$9&lt;14/24)</formula>
    </cfRule>
    <cfRule type="expression" dxfId="7088" priority="366">
      <formula>AX$9&lt;8/24</formula>
    </cfRule>
  </conditionalFormatting>
  <conditionalFormatting sqref="A115:A116">
    <cfRule type="expression" dxfId="7087" priority="318">
      <formula>$AH115=0</formula>
    </cfRule>
  </conditionalFormatting>
  <conditionalFormatting sqref="Q54:Q58 M54:P57 E71:AF71 AC54:AF55 AB57:AF57">
    <cfRule type="expression" dxfId="7086" priority="314">
      <formula>E$9&gt;=20/24</formula>
    </cfRule>
    <cfRule type="expression" dxfId="7085" priority="315">
      <formula>AND(E$9&gt;=14/24,E$9&lt;20/24)</formula>
    </cfRule>
    <cfRule type="expression" dxfId="7084" priority="316">
      <formula>AND(E$9&gt;=8/24,E$9&lt;14/24)</formula>
    </cfRule>
    <cfRule type="expression" dxfId="7083" priority="317">
      <formula>E$9&lt;8/24</formula>
    </cfRule>
  </conditionalFormatting>
  <conditionalFormatting sqref="M53:Q53 AB53:AF53">
    <cfRule type="expression" dxfId="7082" priority="310">
      <formula>M$9&gt;=20/24</formula>
    </cfRule>
    <cfRule type="expression" dxfId="7081" priority="311">
      <formula>AND(M$9&gt;=14/24,M$9&lt;20/24)</formula>
    </cfRule>
    <cfRule type="expression" dxfId="7080" priority="312">
      <formula>AND(M$9&gt;=8/24,M$9&lt;14/24)</formula>
    </cfRule>
    <cfRule type="expression" dxfId="7079" priority="313">
      <formula>M$9&lt;8/24</formula>
    </cfRule>
  </conditionalFormatting>
  <conditionalFormatting sqref="AB53:AD53 Q53:Q58 M53:P57 AC54:AD55 AE53:AF55 AB57:AF57">
    <cfRule type="expression" dxfId="7078" priority="309">
      <formula>M53&gt;$AG53</formula>
    </cfRule>
  </conditionalFormatting>
  <conditionalFormatting sqref="AB96:AF96 AB47:AF47 D86:AF86 M100:AF106 AC74:AF74 AC67:AF67 E72:AF73">
    <cfRule type="expression" dxfId="7077" priority="305">
      <formula>D$9&gt;=20/24</formula>
    </cfRule>
    <cfRule type="expression" dxfId="7076" priority="306">
      <formula>AND(D$9&gt;=14/24,D$9&lt;20/24)</formula>
    </cfRule>
    <cfRule type="expression" dxfId="7075" priority="307">
      <formula>AND(D$9&gt;=8/24,D$9&lt;14/24)</formula>
    </cfRule>
    <cfRule type="expression" dxfId="7074" priority="308">
      <formula>D$9&lt;8/24</formula>
    </cfRule>
  </conditionalFormatting>
  <conditionalFormatting sqref="AB47:AF47 AC67:AF67">
    <cfRule type="expression" dxfId="7073" priority="304">
      <formula>AB47&gt;$AG47</formula>
    </cfRule>
  </conditionalFormatting>
  <conditionalFormatting sqref="R53:AA58 AB54:AB55 AB56:AF56 AB58:AF58">
    <cfRule type="expression" dxfId="7072" priority="300">
      <formula>R$9&gt;=20/24</formula>
    </cfRule>
    <cfRule type="expression" dxfId="7071" priority="301">
      <formula>AND(R$9&gt;=14/24,R$9&lt;20/24)</formula>
    </cfRule>
    <cfRule type="expression" dxfId="7070" priority="302">
      <formula>AND(R$9&gt;=8/24,R$9&lt;14/24)</formula>
    </cfRule>
    <cfRule type="expression" dxfId="7069" priority="303">
      <formula>R$9&lt;8/24</formula>
    </cfRule>
  </conditionalFormatting>
  <conditionalFormatting sqref="R53:AA58 AB54:AB55 AB56:AF56 AB58:AF58">
    <cfRule type="expression" dxfId="7068" priority="299">
      <formula>R53&gt;$AG53</formula>
    </cfRule>
  </conditionalFormatting>
  <conditionalFormatting sqref="C97:AF97 D88:AF88">
    <cfRule type="expression" dxfId="7067" priority="295">
      <formula>C$9&gt;=20/24</formula>
    </cfRule>
    <cfRule type="expression" dxfId="7066" priority="296">
      <formula>AND(C$9&gt;=14/24,C$9&lt;20/24)</formula>
    </cfRule>
    <cfRule type="expression" dxfId="7065" priority="297">
      <formula>AND(C$9&gt;=8/24,C$9&lt;14/24)</formula>
    </cfRule>
    <cfRule type="expression" dxfId="7064" priority="298">
      <formula>C$9&lt;8/24</formula>
    </cfRule>
  </conditionalFormatting>
  <conditionalFormatting sqref="T47:AA47">
    <cfRule type="expression" dxfId="7063" priority="291">
      <formula>T$9&gt;=20/24</formula>
    </cfRule>
    <cfRule type="expression" dxfId="7062" priority="292">
      <formula>AND(T$9&gt;=14/24,T$9&lt;20/24)</formula>
    </cfRule>
    <cfRule type="expression" dxfId="7061" priority="293">
      <formula>AND(T$9&gt;=8/24,T$9&lt;14/24)</formula>
    </cfRule>
    <cfRule type="expression" dxfId="7060" priority="294">
      <formula>T$9&lt;8/24</formula>
    </cfRule>
  </conditionalFormatting>
  <conditionalFormatting sqref="T47:AA47">
    <cfRule type="expression" dxfId="7059" priority="290">
      <formula>T47&gt;$AG47</formula>
    </cfRule>
  </conditionalFormatting>
  <conditionalFormatting sqref="E54:L55">
    <cfRule type="expression" dxfId="7058" priority="286">
      <formula>E$9&gt;=20/24</formula>
    </cfRule>
    <cfRule type="expression" dxfId="7057" priority="287">
      <formula>AND(E$9&gt;=14/24,E$9&lt;20/24)</formula>
    </cfRule>
    <cfRule type="expression" dxfId="7056" priority="288">
      <formula>AND(E$9&gt;=8/24,E$9&lt;14/24)</formula>
    </cfRule>
    <cfRule type="expression" dxfId="7055" priority="289">
      <formula>E$9&lt;8/24</formula>
    </cfRule>
  </conditionalFormatting>
  <conditionalFormatting sqref="E53:L53">
    <cfRule type="expression" dxfId="7054" priority="282">
      <formula>E$9&gt;=20/24</formula>
    </cfRule>
    <cfRule type="expression" dxfId="7053" priority="283">
      <formula>AND(E$9&gt;=14/24,E$9&lt;20/24)</formula>
    </cfRule>
    <cfRule type="expression" dxfId="7052" priority="284">
      <formula>AND(E$9&gt;=8/24,E$9&lt;14/24)</formula>
    </cfRule>
    <cfRule type="expression" dxfId="7051" priority="285">
      <formula>E$9&lt;8/24</formula>
    </cfRule>
  </conditionalFormatting>
  <conditionalFormatting sqref="E53:L55">
    <cfRule type="expression" dxfId="7050" priority="281">
      <formula>E53&gt;$AG53</formula>
    </cfRule>
  </conditionalFormatting>
  <conditionalFormatting sqref="AG70 AG87 E100:L106 Q67:AA69 AB67 AB68:AF69">
    <cfRule type="expression" dxfId="7049" priority="277">
      <formula>E$9&gt;=20/24</formula>
    </cfRule>
    <cfRule type="expression" dxfId="7048" priority="278">
      <formula>AND(E$9&gt;=14/24,E$9&lt;20/24)</formula>
    </cfRule>
    <cfRule type="expression" dxfId="7047" priority="279">
      <formula>AND(E$9&gt;=8/24,E$9&lt;14/24)</formula>
    </cfRule>
    <cfRule type="expression" dxfId="7046" priority="280">
      <formula>E$9&lt;8/24</formula>
    </cfRule>
  </conditionalFormatting>
  <conditionalFormatting sqref="AG48 AG66 AG70 Q67:AA69 AB67 AB68:AF69">
    <cfRule type="expression" dxfId="7045" priority="276">
      <formula>Q48&gt;$AG48</formula>
    </cfRule>
  </conditionalFormatting>
  <conditionalFormatting sqref="A43">
    <cfRule type="expression" dxfId="7044" priority="270">
      <formula>$AH43=0</formula>
    </cfRule>
  </conditionalFormatting>
  <conditionalFormatting sqref="AB91:AF95">
    <cfRule type="expression" dxfId="7043" priority="266">
      <formula>AB$9&gt;=20/24</formula>
    </cfRule>
    <cfRule type="expression" dxfId="7042" priority="267">
      <formula>AND(AB$9&gt;=14/24,AB$9&lt;20/24)</formula>
    </cfRule>
    <cfRule type="expression" dxfId="7041" priority="268">
      <formula>AND(AB$9&gt;=8/24,AB$9&lt;14/24)</formula>
    </cfRule>
    <cfRule type="expression" dxfId="7040" priority="269">
      <formula>AB$9&lt;8/24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7039" priority="262">
      <formula>E$9&gt;=20/24</formula>
    </cfRule>
    <cfRule type="expression" dxfId="7038" priority="263">
      <formula>AND(E$9&gt;=14/24,E$9&lt;20/24)</formula>
    </cfRule>
    <cfRule type="expression" dxfId="7037" priority="264">
      <formula>AND(E$9&gt;=8/24,E$9&lt;14/24)</formula>
    </cfRule>
    <cfRule type="expression" dxfId="7036" priority="265">
      <formula>E$9&lt;8/24</formula>
    </cfRule>
  </conditionalFormatting>
  <conditionalFormatting sqref="E49:AF51">
    <cfRule type="expression" dxfId="7035" priority="261">
      <formula>E49&gt;$AG49</formula>
    </cfRule>
  </conditionalFormatting>
  <conditionalFormatting sqref="AG52">
    <cfRule type="expression" dxfId="7034" priority="257">
      <formula>AG$9&gt;=20/24</formula>
    </cfRule>
    <cfRule type="expression" dxfId="7033" priority="258">
      <formula>AND(AG$9&gt;=14/24,AG$9&lt;20/24)</formula>
    </cfRule>
    <cfRule type="expression" dxfId="7032" priority="259">
      <formula>AND(AG$9&gt;=8/24,AG$9&lt;14/24)</formula>
    </cfRule>
    <cfRule type="expression" dxfId="7031" priority="260">
      <formula>AG$9&lt;8/24</formula>
    </cfRule>
  </conditionalFormatting>
  <conditionalFormatting sqref="AG52">
    <cfRule type="expression" dxfId="7030" priority="256">
      <formula>AG52&gt;$AG52</formula>
    </cfRule>
  </conditionalFormatting>
  <conditionalFormatting sqref="C107:AF107">
    <cfRule type="expression" dxfId="7029" priority="252">
      <formula>C$9&gt;=20/24</formula>
    </cfRule>
    <cfRule type="expression" dxfId="7028" priority="253">
      <formula>AND(C$9&gt;=14/24,C$9&lt;20/24)</formula>
    </cfRule>
    <cfRule type="expression" dxfId="7027" priority="254">
      <formula>AND(C$9&gt;=8/24,C$9&lt;14/24)</formula>
    </cfRule>
    <cfRule type="expression" dxfId="7026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025" priority="250">
      <formula>$AH40=0</formula>
    </cfRule>
  </conditionalFormatting>
  <conditionalFormatting sqref="A90">
    <cfRule type="expression" dxfId="7024" priority="248">
      <formula>$AH90=0</formula>
    </cfRule>
  </conditionalFormatting>
  <conditionalFormatting sqref="A87">
    <cfRule type="expression" dxfId="7023" priority="249">
      <formula>$AH87=0</formula>
    </cfRule>
  </conditionalFormatting>
  <conditionalFormatting sqref="D110:AF110">
    <cfRule type="expression" dxfId="7022" priority="244">
      <formula>D$9&gt;=20/24</formula>
    </cfRule>
    <cfRule type="expression" dxfId="7021" priority="245">
      <formula>AND(D$9&gt;=14/24,D$9&lt;20/24)</formula>
    </cfRule>
    <cfRule type="expression" dxfId="7020" priority="246">
      <formula>AND(D$9&gt;=8/24,D$9&lt;14/24)</formula>
    </cfRule>
    <cfRule type="expression" dxfId="7019" priority="247">
      <formula>D$9&lt;8/24</formula>
    </cfRule>
  </conditionalFormatting>
  <conditionalFormatting sqref="A110">
    <cfRule type="expression" dxfId="7018" priority="243">
      <formula>$AH110=0</formula>
    </cfRule>
  </conditionalFormatting>
  <conditionalFormatting sqref="A21">
    <cfRule type="expression" dxfId="7017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016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AB99:AC99">
    <cfRule type="expression" dxfId="7015" priority="235">
      <formula>AB$9&gt;=20/24</formula>
    </cfRule>
    <cfRule type="expression" dxfId="7014" priority="236">
      <formula>AND(AB$9&gt;=14/24,AB$9&lt;20/24)</formula>
    </cfRule>
    <cfRule type="expression" dxfId="7013" priority="237">
      <formula>AND(AB$9&gt;=8/24,AB$9&lt;14/24)</formula>
    </cfRule>
    <cfRule type="expression" dxfId="7012" priority="238">
      <formula>AB$9&lt;8/24</formula>
    </cfRule>
  </conditionalFormatting>
  <conditionalFormatting sqref="C109 C111:C116">
    <cfRule type="expression" dxfId="7011" priority="227">
      <formula>C$9&gt;=20/24</formula>
    </cfRule>
    <cfRule type="expression" dxfId="7010" priority="228">
      <formula>AND(C$9&gt;=14/24,C$9&lt;20/24)</formula>
    </cfRule>
    <cfRule type="expression" dxfId="7009" priority="229">
      <formula>AND(C$9&gt;=8/24,C$9&lt;14/24)</formula>
    </cfRule>
    <cfRule type="expression" dxfId="7008" priority="230">
      <formula>C$9&lt;8/24</formula>
    </cfRule>
  </conditionalFormatting>
  <conditionalFormatting sqref="C47:S47">
    <cfRule type="expression" dxfId="7007" priority="223">
      <formula>C$9&gt;=20/24</formula>
    </cfRule>
    <cfRule type="expression" dxfId="7006" priority="224">
      <formula>AND(C$9&gt;=14/24,C$9&lt;20/24)</formula>
    </cfRule>
    <cfRule type="expression" dxfId="7005" priority="225">
      <formula>AND(C$9&gt;=8/24,C$9&lt;14/24)</formula>
    </cfRule>
    <cfRule type="expression" dxfId="7004" priority="226">
      <formula>C$9&lt;8/24</formula>
    </cfRule>
  </conditionalFormatting>
  <conditionalFormatting sqref="C47:S47">
    <cfRule type="expression" dxfId="7003" priority="222">
      <formula>C47&gt;$AG47</formula>
    </cfRule>
  </conditionalFormatting>
  <conditionalFormatting sqref="C99:D99">
    <cfRule type="expression" dxfId="7002" priority="218">
      <formula>C$9&gt;=20/24</formula>
    </cfRule>
    <cfRule type="expression" dxfId="7001" priority="219">
      <formula>AND(C$9&gt;=14/24,C$9&lt;20/24)</formula>
    </cfRule>
    <cfRule type="expression" dxfId="7000" priority="220">
      <formula>AND(C$9&gt;=8/24,C$9&lt;14/24)</formula>
    </cfRule>
    <cfRule type="expression" dxfId="6999" priority="221">
      <formula>C$9&lt;8/24</formula>
    </cfRule>
  </conditionalFormatting>
  <conditionalFormatting sqref="C86 C100:D106 E67:P69 AC75:AF75 C96:AA96 C83:AF85 E74:AB75 H76:AF76">
    <cfRule type="expression" dxfId="6998" priority="214">
      <formula>C$9&gt;=20/24</formula>
    </cfRule>
    <cfRule type="expression" dxfId="6997" priority="215">
      <formula>AND(C$9&gt;=14/24,C$9&lt;20/24)</formula>
    </cfRule>
    <cfRule type="expression" dxfId="6996" priority="216">
      <formula>AND(C$9&gt;=8/24,C$9&lt;14/24)</formula>
    </cfRule>
    <cfRule type="expression" dxfId="6995" priority="217">
      <formula>C$9&lt;8/24</formula>
    </cfRule>
  </conditionalFormatting>
  <conditionalFormatting sqref="E56:L57 E67:P69">
    <cfRule type="expression" dxfId="6994" priority="213">
      <formula>E56&gt;$AG56</formula>
    </cfRule>
  </conditionalFormatting>
  <conditionalFormatting sqref="E58:P58">
    <cfRule type="expression" dxfId="6993" priority="209">
      <formula>E$9&gt;=20/24</formula>
    </cfRule>
    <cfRule type="expression" dxfId="6992" priority="210">
      <formula>AND(E$9&gt;=14/24,E$9&lt;20/24)</formula>
    </cfRule>
    <cfRule type="expression" dxfId="6991" priority="211">
      <formula>AND(E$9&gt;=8/24,E$9&lt;14/24)</formula>
    </cfRule>
    <cfRule type="expression" dxfId="6990" priority="212">
      <formula>E$9&lt;8/24</formula>
    </cfRule>
  </conditionalFormatting>
  <conditionalFormatting sqref="E58:P58">
    <cfRule type="expression" dxfId="6989" priority="208">
      <formula>E58&gt;$AG58</formula>
    </cfRule>
  </conditionalFormatting>
  <conditionalFormatting sqref="B54:D57 B71:D71">
    <cfRule type="expression" dxfId="6988" priority="132">
      <formula>B$9&gt;=20/24</formula>
    </cfRule>
    <cfRule type="expression" dxfId="6987" priority="133">
      <formula>AND(B$9&gt;=14/24,B$9&lt;20/24)</formula>
    </cfRule>
    <cfRule type="expression" dxfId="6986" priority="134">
      <formula>AND(B$9&gt;=8/24,B$9&lt;14/24)</formula>
    </cfRule>
    <cfRule type="expression" dxfId="6985" priority="135">
      <formula>B$9&lt;8/24</formula>
    </cfRule>
  </conditionalFormatting>
  <conditionalFormatting sqref="AB46:AF46">
    <cfRule type="expression" dxfId="6984" priority="204">
      <formula>AB$9&gt;=20/24</formula>
    </cfRule>
    <cfRule type="expression" dxfId="6983" priority="205">
      <formula>AND(AB$9&gt;=14/24,AB$9&lt;20/24)</formula>
    </cfRule>
    <cfRule type="expression" dxfId="6982" priority="206">
      <formula>AND(AB$9&gt;=8/24,AB$9&lt;14/24)</formula>
    </cfRule>
    <cfRule type="expression" dxfId="6981" priority="207">
      <formula>AB$9&lt;8/24</formula>
    </cfRule>
  </conditionalFormatting>
  <conditionalFormatting sqref="AB46:AF46">
    <cfRule type="expression" dxfId="6980" priority="203">
      <formula>AB46&gt;$AG46</formula>
    </cfRule>
  </conditionalFormatting>
  <conditionalFormatting sqref="C98:AF98 C87:AF87 C89:AF89 M70:AF70">
    <cfRule type="expression" dxfId="6979" priority="199">
      <formula>C$9&gt;=20/24</formula>
    </cfRule>
    <cfRule type="expression" dxfId="6978" priority="200">
      <formula>AND(C$9&gt;=14/24,C$9&lt;20/24)</formula>
    </cfRule>
    <cfRule type="expression" dxfId="6977" priority="201">
      <formula>AND(C$9&gt;=8/24,C$9&lt;14/24)</formula>
    </cfRule>
    <cfRule type="expression" dxfId="6976" priority="202">
      <formula>C$9&lt;8/24</formula>
    </cfRule>
  </conditionalFormatting>
  <conditionalFormatting sqref="M70:AF70 C65:AF66 C48:AF48">
    <cfRule type="expression" dxfId="6975" priority="198">
      <formula>C48&gt;$AG48</formula>
    </cfRule>
  </conditionalFormatting>
  <conditionalFormatting sqref="C82:AF82">
    <cfRule type="expression" dxfId="6974" priority="194">
      <formula>C$9&gt;=20/24</formula>
    </cfRule>
    <cfRule type="expression" dxfId="6973" priority="195">
      <formula>AND(C$9&gt;=14/24,C$9&lt;20/24)</formula>
    </cfRule>
    <cfRule type="expression" dxfId="6972" priority="196">
      <formula>AND(C$9&gt;=8/24,C$9&lt;14/24)</formula>
    </cfRule>
    <cfRule type="expression" dxfId="6971" priority="197">
      <formula>C$9&lt;8/24</formula>
    </cfRule>
  </conditionalFormatting>
  <conditionalFormatting sqref="C91:AA95">
    <cfRule type="expression" dxfId="6970" priority="190">
      <formula>C$9&gt;=20/24</formula>
    </cfRule>
    <cfRule type="expression" dxfId="6969" priority="191">
      <formula>AND(C$9&gt;=14/24,C$9&lt;20/24)</formula>
    </cfRule>
    <cfRule type="expression" dxfId="6968" priority="192">
      <formula>AND(C$9&gt;=8/24,C$9&lt;14/24)</formula>
    </cfRule>
    <cfRule type="expression" dxfId="6967" priority="193">
      <formula>C$9&lt;8/24</formula>
    </cfRule>
  </conditionalFormatting>
  <conditionalFormatting sqref="C52:AF52">
    <cfRule type="expression" dxfId="6966" priority="186">
      <formula>C$9&gt;=20/24</formula>
    </cfRule>
    <cfRule type="expression" dxfId="6965" priority="187">
      <formula>AND(C$9&gt;=14/24,C$9&lt;20/24)</formula>
    </cfRule>
    <cfRule type="expression" dxfId="6964" priority="188">
      <formula>AND(C$9&gt;=8/24,C$9&lt;14/24)</formula>
    </cfRule>
    <cfRule type="expression" dxfId="6963" priority="189">
      <formula>C$9&lt;8/24</formula>
    </cfRule>
  </conditionalFormatting>
  <conditionalFormatting sqref="C52:AF52">
    <cfRule type="expression" dxfId="6962" priority="185">
      <formula>C52&gt;$AG52</formula>
    </cfRule>
  </conditionalFormatting>
  <conditionalFormatting sqref="B49:D51">
    <cfRule type="expression" dxfId="6961" priority="100">
      <formula>B$9&gt;=20/24</formula>
    </cfRule>
    <cfRule type="expression" dxfId="6960" priority="101">
      <formula>AND(B$9&gt;=14/24,B$9&lt;20/24)</formula>
    </cfRule>
    <cfRule type="expression" dxfId="6959" priority="102">
      <formula>AND(B$9&gt;=8/24,B$9&lt;14/24)</formula>
    </cfRule>
    <cfRule type="expression" dxfId="6958" priority="103">
      <formula>B$9&lt;8/24</formula>
    </cfRule>
  </conditionalFormatting>
  <conditionalFormatting sqref="C110">
    <cfRule type="expression" dxfId="6957" priority="177">
      <formula>C$9&gt;=20/24</formula>
    </cfRule>
    <cfRule type="expression" dxfId="6956" priority="178">
      <formula>AND(C$9&gt;=14/24,C$9&lt;20/24)</formula>
    </cfRule>
    <cfRule type="expression" dxfId="6955" priority="179">
      <formula>AND(C$9&gt;=8/24,C$9&lt;14/24)</formula>
    </cfRule>
    <cfRule type="expression" dxfId="6954" priority="180">
      <formula>C$9&lt;8/24</formula>
    </cfRule>
  </conditionalFormatting>
  <conditionalFormatting sqref="M59:AF64">
    <cfRule type="expression" dxfId="6953" priority="173">
      <formula>M$9&gt;=20/24</formula>
    </cfRule>
    <cfRule type="expression" dxfId="6952" priority="174">
      <formula>AND(M$9&gt;=14/24,M$9&lt;20/24)</formula>
    </cfRule>
    <cfRule type="expression" dxfId="6951" priority="175">
      <formula>AND(M$9&gt;=8/24,M$9&lt;14/24)</formula>
    </cfRule>
    <cfRule type="expression" dxfId="6950" priority="176">
      <formula>M$9&lt;8/24</formula>
    </cfRule>
  </conditionalFormatting>
  <conditionalFormatting sqref="M59:AF64">
    <cfRule type="expression" dxfId="6949" priority="172">
      <formula>M59&gt;$AG59</formula>
    </cfRule>
  </conditionalFormatting>
  <conditionalFormatting sqref="M77:AF81">
    <cfRule type="expression" dxfId="6948" priority="154">
      <formula>M$9&gt;=20/24</formula>
    </cfRule>
    <cfRule type="expression" dxfId="6947" priority="155">
      <formula>AND(M$9&gt;=14/24,M$9&lt;20/24)</formula>
    </cfRule>
    <cfRule type="expression" dxfId="6946" priority="156">
      <formula>AND(M$9&gt;=8/24,M$9&lt;14/24)</formula>
    </cfRule>
    <cfRule type="expression" dxfId="6945" priority="157">
      <formula>M$9&lt;8/24</formula>
    </cfRule>
  </conditionalFormatting>
  <conditionalFormatting sqref="AL78:AN78 AL84:AN84 AN79:AN80">
    <cfRule type="expression" dxfId="6944" priority="150">
      <formula>AL$9&gt;=20/24</formula>
    </cfRule>
    <cfRule type="expression" dxfId="6943" priority="151">
      <formula>AND(AL$9&gt;=14/24,AL$9&lt;20/24)</formula>
    </cfRule>
    <cfRule type="expression" dxfId="6942" priority="152">
      <formula>AND(AL$9&gt;=8/24,AL$9&lt;14/24)</formula>
    </cfRule>
    <cfRule type="expression" dxfId="6941" priority="153">
      <formula>AL$9&lt;8/24</formula>
    </cfRule>
  </conditionalFormatting>
  <conditionalFormatting sqref="AN81:AN82">
    <cfRule type="expression" dxfId="6940" priority="146">
      <formula>AN$9&gt;=20/24</formula>
    </cfRule>
    <cfRule type="expression" dxfId="6939" priority="147">
      <formula>AND(AN$9&gt;=14/24,AN$9&lt;20/24)</formula>
    </cfRule>
    <cfRule type="expression" dxfId="6938" priority="148">
      <formula>AND(AN$9&gt;=8/24,AN$9&lt;14/24)</formula>
    </cfRule>
    <cfRule type="expression" dxfId="6937" priority="149">
      <formula>AN$9&lt;8/24</formula>
    </cfRule>
  </conditionalFormatting>
  <conditionalFormatting sqref="AL79:AM83">
    <cfRule type="expression" dxfId="6936" priority="368">
      <formula>AJ$9&gt;=20/24</formula>
    </cfRule>
    <cfRule type="expression" dxfId="6935" priority="369">
      <formula>AND(AJ$9&gt;=14/24,AJ$9&lt;20/24)</formula>
    </cfRule>
    <cfRule type="expression" dxfId="6934" priority="370">
      <formula>AND(AJ$9&gt;=8/24,AJ$9&lt;14/24)</formula>
    </cfRule>
    <cfRule type="expression" dxfId="6933" priority="371">
      <formula>AJ$9&lt;8/24</formula>
    </cfRule>
  </conditionalFormatting>
  <conditionalFormatting sqref="A117">
    <cfRule type="expression" dxfId="6932" priority="145">
      <formula>$AH117=0</formula>
    </cfRule>
  </conditionalFormatting>
  <conditionalFormatting sqref="B109 B111:B116 B12:AF15 B17:AF32 B34:AF43 B45:AF45">
    <cfRule type="expression" dxfId="6931" priority="141">
      <formula>B$9&gt;=20/24</formula>
    </cfRule>
    <cfRule type="expression" dxfId="6930" priority="142">
      <formula>AND(B$9&gt;=14/24,B$9&lt;20/24)</formula>
    </cfRule>
    <cfRule type="expression" dxfId="6929" priority="143">
      <formula>AND(B$9&gt;=8/24,B$9&lt;14/24)</formula>
    </cfRule>
    <cfRule type="expression" dxfId="6928" priority="144">
      <formula>B$9&lt;8/24</formula>
    </cfRule>
  </conditionalFormatting>
  <conditionalFormatting sqref="B12:AF15 B17:AF32 B34:AF43 B45:AF45">
    <cfRule type="expression" dxfId="6927" priority="140">
      <formula>B12&gt;$AG12</formula>
    </cfRule>
  </conditionalFormatting>
  <conditionalFormatting sqref="B99">
    <cfRule type="expression" dxfId="6926" priority="136">
      <formula>B$9&gt;=20/24</formula>
    </cfRule>
    <cfRule type="expression" dxfId="6925" priority="137">
      <formula>AND(B$9&gt;=14/24,B$9&lt;20/24)</formula>
    </cfRule>
    <cfRule type="expression" dxfId="6924" priority="138">
      <formula>AND(B$9&gt;=8/24,B$9&lt;14/24)</formula>
    </cfRule>
    <cfRule type="expression" dxfId="6923" priority="139">
      <formula>B$9&lt;8/24</formula>
    </cfRule>
  </conditionalFormatting>
  <conditionalFormatting sqref="B53:D53">
    <cfRule type="expression" dxfId="6922" priority="128">
      <formula>B$9&gt;=20/24</formula>
    </cfRule>
    <cfRule type="expression" dxfId="6921" priority="129">
      <formula>AND(B$9&gt;=14/24,B$9&lt;20/24)</formula>
    </cfRule>
    <cfRule type="expression" dxfId="6920" priority="130">
      <formula>AND(B$9&gt;=8/24,B$9&lt;14/24)</formula>
    </cfRule>
    <cfRule type="expression" dxfId="6919" priority="131">
      <formula>B$9&lt;8/24</formula>
    </cfRule>
  </conditionalFormatting>
  <conditionalFormatting sqref="B53:D57">
    <cfRule type="expression" dxfId="6918" priority="127">
      <formula>B53&gt;$AG53</formula>
    </cfRule>
  </conditionalFormatting>
  <conditionalFormatting sqref="B96 B100:B106 B86 B47 B67:D69 B72:D74">
    <cfRule type="expression" dxfId="6917" priority="123">
      <formula>B$9&gt;=20/24</formula>
    </cfRule>
    <cfRule type="expression" dxfId="6916" priority="124">
      <formula>AND(B$9&gt;=14/24,B$9&lt;20/24)</formula>
    </cfRule>
    <cfRule type="expression" dxfId="6915" priority="125">
      <formula>AND(B$9&gt;=8/24,B$9&lt;14/24)</formula>
    </cfRule>
    <cfRule type="expression" dxfId="6914" priority="126">
      <formula>B$9&lt;8/24</formula>
    </cfRule>
  </conditionalFormatting>
  <conditionalFormatting sqref="B47 B67:D69">
    <cfRule type="expression" dxfId="6913" priority="122">
      <formula>B47&gt;$AG47</formula>
    </cfRule>
  </conditionalFormatting>
  <conditionalFormatting sqref="B97 B88:C88">
    <cfRule type="expression" dxfId="6912" priority="118">
      <formula>B$9&gt;=20/24</formula>
    </cfRule>
    <cfRule type="expression" dxfId="6911" priority="119">
      <formula>AND(B$9&gt;=14/24,B$9&lt;20/24)</formula>
    </cfRule>
    <cfRule type="expression" dxfId="6910" priority="120">
      <formula>AND(B$9&gt;=8/24,B$9&lt;14/24)</formula>
    </cfRule>
    <cfRule type="expression" dxfId="6909" priority="121">
      <formula>B$9&lt;8/24</formula>
    </cfRule>
  </conditionalFormatting>
  <conditionalFormatting sqref="B46:AA46">
    <cfRule type="expression" dxfId="6908" priority="114">
      <formula>B$9&gt;=20/24</formula>
    </cfRule>
    <cfRule type="expression" dxfId="6907" priority="115">
      <formula>AND(B$9&gt;=14/24,B$9&lt;20/24)</formula>
    </cfRule>
    <cfRule type="expression" dxfId="6906" priority="116">
      <formula>AND(B$9&gt;=8/24,B$9&lt;14/24)</formula>
    </cfRule>
    <cfRule type="expression" dxfId="6905" priority="117">
      <formula>B$9&lt;8/24</formula>
    </cfRule>
  </conditionalFormatting>
  <conditionalFormatting sqref="B46:AA46">
    <cfRule type="expression" dxfId="6904" priority="113">
      <formula>B46&gt;$AG46</formula>
    </cfRule>
  </conditionalFormatting>
  <conditionalFormatting sqref="B58:D58">
    <cfRule type="expression" dxfId="6903" priority="109">
      <formula>B$9&gt;=20/24</formula>
    </cfRule>
    <cfRule type="expression" dxfId="6902" priority="110">
      <formula>AND(B$9&gt;=14/24,B$9&lt;20/24)</formula>
    </cfRule>
    <cfRule type="expression" dxfId="6901" priority="111">
      <formula>AND(B$9&gt;=8/24,B$9&lt;14/24)</formula>
    </cfRule>
    <cfRule type="expression" dxfId="6900" priority="112">
      <formula>B$9&lt;8/24</formula>
    </cfRule>
  </conditionalFormatting>
  <conditionalFormatting sqref="B58:D58">
    <cfRule type="expression" dxfId="6899" priority="108">
      <formula>B58&gt;$AG58</formula>
    </cfRule>
  </conditionalFormatting>
  <conditionalFormatting sqref="B91:B95">
    <cfRule type="expression" dxfId="6898" priority="104">
      <formula>B$9&gt;=20/24</formula>
    </cfRule>
    <cfRule type="expression" dxfId="6897" priority="105">
      <formula>AND(B$9&gt;=14/24,B$9&lt;20/24)</formula>
    </cfRule>
    <cfRule type="expression" dxfId="6896" priority="106">
      <formula>AND(B$9&gt;=8/24,B$9&lt;14/24)</formula>
    </cfRule>
    <cfRule type="expression" dxfId="6895" priority="107">
      <formula>B$9&lt;8/24</formula>
    </cfRule>
  </conditionalFormatting>
  <conditionalFormatting sqref="B49:D51">
    <cfRule type="expression" dxfId="6894" priority="99">
      <formula>B49&gt;$AG49</formula>
    </cfRule>
  </conditionalFormatting>
  <conditionalFormatting sqref="B107">
    <cfRule type="expression" dxfId="6893" priority="95">
      <formula>B$9&gt;=20/24</formula>
    </cfRule>
    <cfRule type="expression" dxfId="6892" priority="96">
      <formula>AND(B$9&gt;=14/24,B$9&lt;20/24)</formula>
    </cfRule>
    <cfRule type="expression" dxfId="6891" priority="97">
      <formula>AND(B$9&gt;=8/24,B$9&lt;14/24)</formula>
    </cfRule>
    <cfRule type="expression" dxfId="6890" priority="98">
      <formula>B$9&lt;8/24</formula>
    </cfRule>
  </conditionalFormatting>
  <conditionalFormatting sqref="B110">
    <cfRule type="expression" dxfId="6889" priority="91">
      <formula>B$9&gt;=20/24</formula>
    </cfRule>
    <cfRule type="expression" dxfId="6888" priority="92">
      <formula>AND(B$9&gt;=14/24,B$9&lt;20/24)</formula>
    </cfRule>
    <cfRule type="expression" dxfId="6887" priority="93">
      <formula>AND(B$9&gt;=8/24,B$9&lt;14/24)</formula>
    </cfRule>
    <cfRule type="expression" dxfId="6886" priority="94">
      <formula>B$9&lt;8/24</formula>
    </cfRule>
  </conditionalFormatting>
  <conditionalFormatting sqref="B83:B85 B75:D76 E76:G76">
    <cfRule type="expression" dxfId="6885" priority="87">
      <formula>B$9&gt;=20/24</formula>
    </cfRule>
    <cfRule type="expression" dxfId="6884" priority="88">
      <formula>AND(B$9&gt;=14/24,B$9&lt;20/24)</formula>
    </cfRule>
    <cfRule type="expression" dxfId="6883" priority="89">
      <formula>AND(B$9&gt;=8/24,B$9&lt;14/24)</formula>
    </cfRule>
    <cfRule type="expression" dxfId="6882" priority="90">
      <formula>B$9&lt;8/24</formula>
    </cfRule>
  </conditionalFormatting>
  <conditionalFormatting sqref="B89 B98 B87 B70:L70">
    <cfRule type="expression" dxfId="6881" priority="83">
      <formula>B$9&gt;=20/24</formula>
    </cfRule>
    <cfRule type="expression" dxfId="6880" priority="84">
      <formula>AND(B$9&gt;=14/24,B$9&lt;20/24)</formula>
    </cfRule>
    <cfRule type="expression" dxfId="6879" priority="85">
      <formula>AND(B$9&gt;=8/24,B$9&lt;14/24)</formula>
    </cfRule>
    <cfRule type="expression" dxfId="6878" priority="86">
      <formula>B$9&lt;8/24</formula>
    </cfRule>
  </conditionalFormatting>
  <conditionalFormatting sqref="B48 B65:B66 B70:L70">
    <cfRule type="expression" dxfId="6877" priority="82">
      <formula>B48&gt;$AG48</formula>
    </cfRule>
  </conditionalFormatting>
  <conditionalFormatting sqref="B82">
    <cfRule type="expression" dxfId="6876" priority="78">
      <formula>B$9&gt;=20/24</formula>
    </cfRule>
    <cfRule type="expression" dxfId="6875" priority="79">
      <formula>AND(B$9&gt;=14/24,B$9&lt;20/24)</formula>
    </cfRule>
    <cfRule type="expression" dxfId="6874" priority="80">
      <formula>AND(B$9&gt;=8/24,B$9&lt;14/24)</formula>
    </cfRule>
    <cfRule type="expression" dxfId="6873" priority="81">
      <formula>B$9&lt;8/24</formula>
    </cfRule>
  </conditionalFormatting>
  <conditionalFormatting sqref="B52">
    <cfRule type="expression" dxfId="6872" priority="74">
      <formula>B$9&gt;=20/24</formula>
    </cfRule>
    <cfRule type="expression" dxfId="6871" priority="75">
      <formula>AND(B$9&gt;=14/24,B$9&lt;20/24)</formula>
    </cfRule>
    <cfRule type="expression" dxfId="6870" priority="76">
      <formula>AND(B$9&gt;=8/24,B$9&lt;14/24)</formula>
    </cfRule>
    <cfRule type="expression" dxfId="6869" priority="77">
      <formula>B$9&lt;8/24</formula>
    </cfRule>
  </conditionalFormatting>
  <conditionalFormatting sqref="B52">
    <cfRule type="expression" dxfId="6868" priority="73">
      <formula>B52&gt;$AG52</formula>
    </cfRule>
  </conditionalFormatting>
  <conditionalFormatting sqref="B59:L64">
    <cfRule type="expression" dxfId="6867" priority="65">
      <formula>B$9&gt;=20/24</formula>
    </cfRule>
    <cfRule type="expression" dxfId="6866" priority="66">
      <formula>AND(B$9&gt;=14/24,B$9&lt;20/24)</formula>
    </cfRule>
    <cfRule type="expression" dxfId="6865" priority="67">
      <formula>AND(B$9&gt;=8/24,B$9&lt;14/24)</formula>
    </cfRule>
    <cfRule type="expression" dxfId="6864" priority="68">
      <formula>B$9&lt;8/24</formula>
    </cfRule>
  </conditionalFormatting>
  <conditionalFormatting sqref="B59:L64">
    <cfRule type="expression" dxfId="6863" priority="64">
      <formula>B59&gt;$AG59</formula>
    </cfRule>
  </conditionalFormatting>
  <conditionalFormatting sqref="B77:L81">
    <cfRule type="expression" dxfId="6862" priority="60">
      <formula>B$9&gt;=20/24</formula>
    </cfRule>
    <cfRule type="expression" dxfId="6861" priority="61">
      <formula>AND(B$9&gt;=14/24,B$9&lt;20/24)</formula>
    </cfRule>
    <cfRule type="expression" dxfId="6860" priority="62">
      <formula>AND(B$9&gt;=8/24,B$9&lt;14/24)</formula>
    </cfRule>
    <cfRule type="expression" dxfId="6859" priority="63">
      <formula>B$9&lt;8/24</formula>
    </cfRule>
  </conditionalFormatting>
  <conditionalFormatting sqref="A11">
    <cfRule type="expression" dxfId="6858" priority="59">
      <formula>$AH11=0</formula>
    </cfRule>
  </conditionalFormatting>
  <conditionalFormatting sqref="B11:AF11">
    <cfRule type="expression" dxfId="6857" priority="50">
      <formula>B$9&gt;=20/24</formula>
    </cfRule>
    <cfRule type="expression" dxfId="6856" priority="51">
      <formula>AND(B$9&gt;=14/24,B$9&lt;20/24)</formula>
    </cfRule>
    <cfRule type="expression" dxfId="6855" priority="52">
      <formula>AND(B$9&gt;=8/24,B$9&lt;14/24)</formula>
    </cfRule>
    <cfRule type="expression" dxfId="6854" priority="53">
      <formula>B$9&lt;8/24</formula>
    </cfRule>
  </conditionalFormatting>
  <conditionalFormatting sqref="B11:AF11">
    <cfRule type="expression" dxfId="6853" priority="49">
      <formula>B11&gt;$AG11</formula>
    </cfRule>
  </conditionalFormatting>
  <conditionalFormatting sqref="A16">
    <cfRule type="expression" dxfId="6852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6851" priority="38">
      <formula>B$9&gt;=20/24</formula>
    </cfRule>
    <cfRule type="expression" dxfId="6850" priority="39">
      <formula>AND(B$9&gt;=14/24,B$9&lt;20/24)</formula>
    </cfRule>
    <cfRule type="expression" dxfId="6849" priority="40">
      <formula>AND(B$9&gt;=8/24,B$9&lt;14/24)</formula>
    </cfRule>
    <cfRule type="expression" dxfId="6848" priority="41">
      <formula>B$9&lt;8/24</formula>
    </cfRule>
  </conditionalFormatting>
  <conditionalFormatting sqref="B16:AF16">
    <cfRule type="expression" dxfId="6847" priority="37">
      <formula>B16&gt;$AG16</formula>
    </cfRule>
  </conditionalFormatting>
  <conditionalFormatting sqref="A33">
    <cfRule type="expression" dxfId="6846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6845" priority="26">
      <formula>B$9&gt;=20/24</formula>
    </cfRule>
    <cfRule type="expression" dxfId="6844" priority="27">
      <formula>AND(B$9&gt;=14/24,B$9&lt;20/24)</formula>
    </cfRule>
    <cfRule type="expression" dxfId="6843" priority="28">
      <formula>AND(B$9&gt;=8/24,B$9&lt;14/24)</formula>
    </cfRule>
    <cfRule type="expression" dxfId="6842" priority="29">
      <formula>B$9&lt;8/24</formula>
    </cfRule>
  </conditionalFormatting>
  <conditionalFormatting sqref="B33:AF33">
    <cfRule type="expression" dxfId="6841" priority="25">
      <formula>B33&gt;$AG33</formula>
    </cfRule>
  </conditionalFormatting>
  <conditionalFormatting sqref="A44">
    <cfRule type="expression" dxfId="6840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6839" priority="14">
      <formula>B$9&gt;=20/24</formula>
    </cfRule>
    <cfRule type="expression" dxfId="6838" priority="15">
      <formula>AND(B$9&gt;=14/24,B$9&lt;20/24)</formula>
    </cfRule>
    <cfRule type="expression" dxfId="6837" priority="16">
      <formula>AND(B$9&gt;=8/24,B$9&lt;14/24)</formula>
    </cfRule>
    <cfRule type="expression" dxfId="6836" priority="17">
      <formula>B$9&lt;8/24</formula>
    </cfRule>
  </conditionalFormatting>
  <conditionalFormatting sqref="B44:AF44">
    <cfRule type="expression" dxfId="6835" priority="13">
      <formula>B44&gt;$AG44</formula>
    </cfRule>
  </conditionalFormatting>
  <conditionalFormatting sqref="B117">
    <cfRule type="expression" dxfId="6834" priority="1">
      <formula>B$9&gt;=20/24</formula>
    </cfRule>
    <cfRule type="expression" dxfId="6833" priority="2">
      <formula>AND(B$9&gt;=14/24,B$9&lt;20/24)</formula>
    </cfRule>
    <cfRule type="expression" dxfId="6832" priority="3">
      <formula>AND(B$9&gt;=8/24,B$9&lt;14/24)</formula>
    </cfRule>
    <cfRule type="expression" dxfId="6831" priority="4">
      <formula>B$9&lt;8/24</formula>
    </cfRule>
  </conditionalFormatting>
  <conditionalFormatting sqref="D117:AF117">
    <cfRule type="expression" dxfId="6830" priority="9">
      <formula>D$9&gt;=20/24</formula>
    </cfRule>
    <cfRule type="expression" dxfId="6829" priority="10">
      <formula>AND(D$9&gt;=14/24,D$9&lt;20/24)</formula>
    </cfRule>
    <cfRule type="expression" dxfId="6828" priority="11">
      <formula>AND(D$9&gt;=8/24,D$9&lt;14/24)</formula>
    </cfRule>
    <cfRule type="expression" dxfId="6827" priority="12">
      <formula>D$9&lt;8/24</formula>
    </cfRule>
  </conditionalFormatting>
  <conditionalFormatting sqref="C117">
    <cfRule type="expression" dxfId="6826" priority="5">
      <formula>C$9&gt;=20/24</formula>
    </cfRule>
    <cfRule type="expression" dxfId="6825" priority="6">
      <formula>AND(C$9&gt;=14/24,C$9&lt;20/24)</formula>
    </cfRule>
    <cfRule type="expression" dxfId="6824" priority="7">
      <formula>AND(C$9&gt;=8/24,C$9&lt;14/24)</formula>
    </cfRule>
    <cfRule type="expression" dxfId="6823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2FF6DB23-8739-4B9A-9D4D-18C50774BEC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6287194C-4E9C-498D-A1E9-9DDCA5A0616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CAB804AE-016B-4DFE-86FD-FE3AA57EBD7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2DB395BC-3E14-4333-9BD5-439D9C5CE7F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ED33D65A-32AC-47BE-A30D-7A16CCFB063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4C054C3A-FCFD-4ECA-BF60-248B02CE9D2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ACCF36D4-9F9D-4F43-ACC1-2D81DB3D6EF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ADA4FF62-7349-4593-BB12-9ADFC61D484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67" activePane="bottomLeft" state="frozen"/>
      <selection activeCell="Z85" sqref="Z85"/>
      <selection pane="bottomLeft" activeCell="AF67" sqref="AF6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2079/12/15</v>
      </c>
      <c r="C4" s="196"/>
      <c r="D4" s="196"/>
      <c r="E4" s="197" t="str">
        <f ca="1">"2079/"&amp;"12/"&amp;INT(MID(CELL("filename",G6),FIND("]",CELL("filename",G6))+1,200))</f>
        <v>2079/12/15</v>
      </c>
      <c r="F4" s="197"/>
      <c r="G4" s="197"/>
      <c r="H4" s="197" t="str">
        <f ca="1">TEXT(E4,"dddd")</f>
        <v>Friday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581.6</v>
      </c>
      <c r="C5" s="33">
        <f t="shared" si="0"/>
        <v>562.43000000000006</v>
      </c>
      <c r="D5" s="33">
        <f t="shared" si="0"/>
        <v>571.5</v>
      </c>
      <c r="E5" s="33">
        <f t="shared" si="0"/>
        <v>591</v>
      </c>
      <c r="F5" s="33">
        <f t="shared" si="0"/>
        <v>576.50000000000011</v>
      </c>
      <c r="G5" s="33">
        <f t="shared" si="0"/>
        <v>579.90000000000009</v>
      </c>
      <c r="H5" s="33">
        <f t="shared" si="0"/>
        <v>582.5</v>
      </c>
      <c r="I5" s="33">
        <f t="shared" si="0"/>
        <v>566.1</v>
      </c>
      <c r="J5" s="33">
        <f t="shared" si="0"/>
        <v>491.88</v>
      </c>
      <c r="K5" s="33">
        <f t="shared" si="0"/>
        <v>488.3</v>
      </c>
      <c r="L5" s="33">
        <f t="shared" si="0"/>
        <v>502.1</v>
      </c>
      <c r="M5" s="33">
        <f t="shared" si="0"/>
        <v>534.90000000000009</v>
      </c>
      <c r="N5" s="33">
        <f t="shared" si="0"/>
        <v>496.1</v>
      </c>
      <c r="O5" s="33">
        <f t="shared" si="0"/>
        <v>496.1</v>
      </c>
      <c r="P5" s="33">
        <f t="shared" si="0"/>
        <v>568.90000000000009</v>
      </c>
      <c r="Q5" s="33">
        <f t="shared" si="0"/>
        <v>509.7</v>
      </c>
      <c r="R5" s="33">
        <f t="shared" si="0"/>
        <v>518.79999999999995</v>
      </c>
      <c r="S5" s="33">
        <f t="shared" si="0"/>
        <v>539.5</v>
      </c>
      <c r="T5" s="33">
        <f t="shared" si="0"/>
        <v>539.5</v>
      </c>
      <c r="U5" s="33">
        <f t="shared" si="0"/>
        <v>521.29999999999995</v>
      </c>
      <c r="V5" s="33">
        <f t="shared" si="0"/>
        <v>528</v>
      </c>
      <c r="W5" s="33">
        <f t="shared" si="0"/>
        <v>551</v>
      </c>
      <c r="X5" s="33">
        <f t="shared" si="0"/>
        <v>523.69999999999993</v>
      </c>
      <c r="Y5" s="33">
        <f t="shared" si="0"/>
        <v>538.69999999999993</v>
      </c>
      <c r="Z5" s="33">
        <f t="shared" si="0"/>
        <v>538.69999999999993</v>
      </c>
      <c r="AA5" s="33">
        <f t="shared" si="0"/>
        <v>452.6</v>
      </c>
      <c r="AB5" s="33">
        <f t="shared" si="0"/>
        <v>532.4</v>
      </c>
      <c r="AC5" s="33">
        <f t="shared" si="0"/>
        <v>441</v>
      </c>
      <c r="AD5" s="33">
        <f t="shared" si="0"/>
        <v>526</v>
      </c>
      <c r="AE5" s="33">
        <f t="shared" si="0"/>
        <v>489</v>
      </c>
      <c r="AF5" s="33">
        <f>B82</f>
        <v>506.4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1429MW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Load=1042</v>
      </c>
      <c r="B7" s="38">
        <f t="shared" ref="B7:AF7" si="1">B89</f>
        <v>1136.3399999999999</v>
      </c>
      <c r="C7" s="38">
        <f t="shared" si="1"/>
        <v>1042.1399999999999</v>
      </c>
      <c r="D7" s="38">
        <f t="shared" si="1"/>
        <v>1064.77</v>
      </c>
      <c r="E7" s="38">
        <f t="shared" si="1"/>
        <v>1069.74</v>
      </c>
      <c r="F7" s="38">
        <f t="shared" si="1"/>
        <v>1079.54</v>
      </c>
      <c r="G7" s="38">
        <f t="shared" si="1"/>
        <v>1064.94</v>
      </c>
      <c r="H7" s="38">
        <f t="shared" si="1"/>
        <v>1136.74</v>
      </c>
      <c r="I7" s="38">
        <f t="shared" si="1"/>
        <v>1159.3399999999999</v>
      </c>
      <c r="J7" s="38">
        <f t="shared" si="1"/>
        <v>1256.8400000000001</v>
      </c>
      <c r="K7" s="38">
        <f t="shared" si="1"/>
        <v>1335.52</v>
      </c>
      <c r="L7" s="38">
        <f t="shared" si="1"/>
        <v>1429.14</v>
      </c>
      <c r="M7" s="38">
        <f t="shared" si="1"/>
        <v>1425.94</v>
      </c>
      <c r="N7" s="38">
        <f>N89</f>
        <v>1372.94</v>
      </c>
      <c r="O7" s="38">
        <f t="shared" si="1"/>
        <v>1305.94</v>
      </c>
      <c r="P7" s="38">
        <f t="shared" si="1"/>
        <v>1053.54</v>
      </c>
      <c r="Q7" s="38">
        <f t="shared" si="1"/>
        <v>1304.3400000000001</v>
      </c>
      <c r="R7" s="38">
        <f t="shared" si="1"/>
        <v>1254.6400000000001</v>
      </c>
      <c r="S7" s="38">
        <f t="shared" si="1"/>
        <v>1251.3399999999999</v>
      </c>
      <c r="T7" s="38">
        <f t="shared" si="1"/>
        <v>1323.04</v>
      </c>
      <c r="U7" s="38">
        <f t="shared" si="1"/>
        <v>1323.04</v>
      </c>
      <c r="V7" s="38">
        <f t="shared" si="1"/>
        <v>1267.8399999999999</v>
      </c>
      <c r="W7" s="38">
        <f t="shared" si="1"/>
        <v>1351.44</v>
      </c>
      <c r="X7" s="38">
        <f t="shared" si="1"/>
        <v>1358.54</v>
      </c>
      <c r="Y7" s="38">
        <f t="shared" si="1"/>
        <v>1432.54</v>
      </c>
      <c r="Z7" s="38">
        <f t="shared" si="1"/>
        <v>1529.6399999999999</v>
      </c>
      <c r="AA7" s="38">
        <f t="shared" si="1"/>
        <v>1529.6399999999999</v>
      </c>
      <c r="AB7" s="38">
        <f t="shared" si="1"/>
        <v>1379.64</v>
      </c>
      <c r="AC7" s="38">
        <f t="shared" si="1"/>
        <v>1396.8400000000001</v>
      </c>
      <c r="AD7" s="38">
        <f t="shared" si="1"/>
        <v>1336.5400000000002</v>
      </c>
      <c r="AE7" s="38">
        <f t="shared" si="1"/>
        <v>1228.8400000000001</v>
      </c>
      <c r="AF7" s="38">
        <f t="shared" si="1"/>
        <v>1176.1400000000001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25</v>
      </c>
      <c r="C11" s="50">
        <v>25</v>
      </c>
      <c r="D11" s="50">
        <v>25</v>
      </c>
      <c r="E11" s="50">
        <v>22</v>
      </c>
      <c r="F11" s="50">
        <v>22</v>
      </c>
      <c r="G11" s="50">
        <v>22</v>
      </c>
      <c r="H11" s="50">
        <v>22</v>
      </c>
      <c r="I11" s="50">
        <v>22</v>
      </c>
      <c r="J11" s="50">
        <v>25.2</v>
      </c>
      <c r="K11" s="50">
        <v>25.2</v>
      </c>
      <c r="L11" s="50">
        <v>25.2</v>
      </c>
      <c r="M11" s="50">
        <v>25.2</v>
      </c>
      <c r="N11" s="50">
        <v>25.2</v>
      </c>
      <c r="O11" s="50">
        <v>25.2</v>
      </c>
      <c r="P11" s="50">
        <v>25.2</v>
      </c>
      <c r="Q11" s="50">
        <v>25</v>
      </c>
      <c r="R11" s="50">
        <v>25</v>
      </c>
      <c r="S11" s="50">
        <v>25</v>
      </c>
      <c r="T11" s="50">
        <v>25</v>
      </c>
      <c r="U11" s="50">
        <v>25</v>
      </c>
      <c r="V11" s="50">
        <v>25</v>
      </c>
      <c r="W11" s="50">
        <v>25</v>
      </c>
      <c r="X11" s="50">
        <v>25</v>
      </c>
      <c r="Y11" s="50">
        <v>25</v>
      </c>
      <c r="Z11" s="50">
        <v>25</v>
      </c>
      <c r="AA11" s="50">
        <v>25</v>
      </c>
      <c r="AB11" s="50">
        <v>25</v>
      </c>
      <c r="AC11" s="50">
        <v>25</v>
      </c>
      <c r="AD11" s="50">
        <v>25</v>
      </c>
      <c r="AE11" s="50">
        <v>25</v>
      </c>
      <c r="AF11" s="50">
        <v>25</v>
      </c>
      <c r="AG11" s="51">
        <v>86</v>
      </c>
      <c r="AH11" s="52">
        <f t="shared" ref="AH11:AH74" si="2">MAX(B11:AF11)</f>
        <v>25.2</v>
      </c>
      <c r="AI11" s="53">
        <f t="shared" ref="AI11:AI74" si="3">MIN(B11:AF11)</f>
        <v>22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16.5</v>
      </c>
      <c r="C12" s="50">
        <v>16.5</v>
      </c>
      <c r="D12" s="50">
        <v>16.5</v>
      </c>
      <c r="E12" s="50">
        <v>13.6</v>
      </c>
      <c r="F12" s="50">
        <v>13.6</v>
      </c>
      <c r="G12" s="50">
        <v>13.6</v>
      </c>
      <c r="H12" s="50">
        <v>13.6</v>
      </c>
      <c r="I12" s="50">
        <v>13.6</v>
      </c>
      <c r="J12" s="50">
        <v>13.5</v>
      </c>
      <c r="K12" s="50">
        <v>13.5</v>
      </c>
      <c r="L12" s="50">
        <v>13.5</v>
      </c>
      <c r="M12" s="50">
        <v>13.5</v>
      </c>
      <c r="N12" s="50">
        <v>13.5</v>
      </c>
      <c r="O12" s="50">
        <v>13.5</v>
      </c>
      <c r="P12" s="50">
        <v>13.5</v>
      </c>
      <c r="Q12" s="50">
        <v>14</v>
      </c>
      <c r="R12" s="50">
        <v>14</v>
      </c>
      <c r="S12" s="50">
        <v>14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14</v>
      </c>
      <c r="AA12" s="50">
        <v>14</v>
      </c>
      <c r="AB12" s="50">
        <v>14</v>
      </c>
      <c r="AC12" s="50">
        <v>14</v>
      </c>
      <c r="AD12" s="50">
        <v>14</v>
      </c>
      <c r="AE12" s="50">
        <v>14</v>
      </c>
      <c r="AF12" s="50">
        <v>14</v>
      </c>
      <c r="AG12" s="51">
        <v>52.4</v>
      </c>
      <c r="AH12" s="52">
        <f t="shared" si="2"/>
        <v>16.5</v>
      </c>
      <c r="AI12" s="53">
        <f t="shared" si="3"/>
        <v>13.5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0</v>
      </c>
      <c r="C13" s="50">
        <v>0</v>
      </c>
      <c r="D13" s="50">
        <v>40</v>
      </c>
      <c r="E13" s="50">
        <v>40</v>
      </c>
      <c r="F13" s="50">
        <v>30</v>
      </c>
      <c r="G13" s="50">
        <v>30</v>
      </c>
      <c r="H13" s="50">
        <v>30</v>
      </c>
      <c r="I13" s="50">
        <v>28</v>
      </c>
      <c r="J13" s="50">
        <v>28</v>
      </c>
      <c r="K13" s="50">
        <v>28</v>
      </c>
      <c r="L13" s="50">
        <v>28</v>
      </c>
      <c r="M13" s="50">
        <v>28</v>
      </c>
      <c r="N13" s="50">
        <v>28</v>
      </c>
      <c r="O13" s="50">
        <v>28</v>
      </c>
      <c r="P13" s="50">
        <v>28</v>
      </c>
      <c r="Q13" s="50">
        <v>28</v>
      </c>
      <c r="R13" s="50">
        <v>28</v>
      </c>
      <c r="S13" s="50">
        <v>28</v>
      </c>
      <c r="T13" s="50">
        <v>28</v>
      </c>
      <c r="U13" s="50">
        <v>28</v>
      </c>
      <c r="V13" s="50">
        <v>28</v>
      </c>
      <c r="W13" s="50">
        <v>28</v>
      </c>
      <c r="X13" s="50">
        <v>28</v>
      </c>
      <c r="Y13" s="50">
        <v>28</v>
      </c>
      <c r="Z13" s="50">
        <v>28</v>
      </c>
      <c r="AA13" s="50">
        <v>28</v>
      </c>
      <c r="AB13" s="50">
        <v>28</v>
      </c>
      <c r="AC13" s="50">
        <v>28</v>
      </c>
      <c r="AD13" s="50">
        <v>28</v>
      </c>
      <c r="AE13" s="50">
        <v>28</v>
      </c>
      <c r="AF13" s="50">
        <v>28</v>
      </c>
      <c r="AG13" s="55">
        <v>50</v>
      </c>
      <c r="AH13" s="52">
        <f t="shared" si="2"/>
        <v>40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16.3</v>
      </c>
      <c r="C14" s="50">
        <v>16.3</v>
      </c>
      <c r="D14" s="50">
        <v>16.3</v>
      </c>
      <c r="E14" s="50">
        <v>16.3</v>
      </c>
      <c r="F14" s="50">
        <v>16.3</v>
      </c>
      <c r="G14" s="50">
        <v>16.3</v>
      </c>
      <c r="H14" s="50">
        <v>16.3</v>
      </c>
      <c r="I14" s="50">
        <v>16.2</v>
      </c>
      <c r="J14" s="50">
        <v>16.2</v>
      </c>
      <c r="K14" s="50">
        <v>16.2</v>
      </c>
      <c r="L14" s="50">
        <v>16.2</v>
      </c>
      <c r="M14" s="50">
        <v>16.2</v>
      </c>
      <c r="N14" s="50">
        <v>16.2</v>
      </c>
      <c r="O14" s="50">
        <v>16.2</v>
      </c>
      <c r="P14" s="50">
        <v>16.2</v>
      </c>
      <c r="Q14" s="50">
        <v>13.5</v>
      </c>
      <c r="R14" s="50">
        <v>13.5</v>
      </c>
      <c r="S14" s="50">
        <v>13.5</v>
      </c>
      <c r="T14" s="50">
        <v>13.5</v>
      </c>
      <c r="U14" s="50">
        <v>13.5</v>
      </c>
      <c r="V14" s="50">
        <v>13.5</v>
      </c>
      <c r="W14" s="50">
        <v>13.5</v>
      </c>
      <c r="X14" s="50">
        <v>13.5</v>
      </c>
      <c r="Y14" s="50">
        <v>13.5</v>
      </c>
      <c r="Z14" s="50">
        <v>13.5</v>
      </c>
      <c r="AA14" s="50">
        <v>13.5</v>
      </c>
      <c r="AB14" s="50">
        <v>13.5</v>
      </c>
      <c r="AC14" s="50">
        <v>13.5</v>
      </c>
      <c r="AD14" s="50">
        <v>13.5</v>
      </c>
      <c r="AE14" s="50">
        <v>13.5</v>
      </c>
      <c r="AF14" s="50">
        <v>13.5</v>
      </c>
      <c r="AG14" s="55">
        <v>45</v>
      </c>
      <c r="AH14" s="52">
        <f t="shared" si="2"/>
        <v>16.3</v>
      </c>
      <c r="AI14" s="53">
        <f t="shared" si="3"/>
        <v>13.5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8.3000000000000007</v>
      </c>
      <c r="C18" s="50">
        <v>8.3000000000000007</v>
      </c>
      <c r="D18" s="50">
        <v>8.3000000000000007</v>
      </c>
      <c r="E18" s="50">
        <v>8.3000000000000007</v>
      </c>
      <c r="F18" s="50">
        <v>8.3000000000000007</v>
      </c>
      <c r="G18" s="50">
        <v>8.3000000000000007</v>
      </c>
      <c r="H18" s="50">
        <v>8.3000000000000007</v>
      </c>
      <c r="I18" s="50">
        <v>8.3000000000000007</v>
      </c>
      <c r="J18" s="50">
        <v>8.3000000000000007</v>
      </c>
      <c r="K18" s="50">
        <v>8.3000000000000007</v>
      </c>
      <c r="L18" s="50">
        <v>8.3000000000000007</v>
      </c>
      <c r="M18" s="50">
        <v>8.3000000000000007</v>
      </c>
      <c r="N18" s="50">
        <v>8.3000000000000007</v>
      </c>
      <c r="O18" s="50">
        <v>8.3000000000000007</v>
      </c>
      <c r="P18" s="50">
        <v>8.3000000000000007</v>
      </c>
      <c r="Q18" s="50">
        <v>8.3000000000000007</v>
      </c>
      <c r="R18" s="50">
        <v>8.3000000000000007</v>
      </c>
      <c r="S18" s="50">
        <v>8.3000000000000007</v>
      </c>
      <c r="T18" s="50">
        <v>8.3000000000000007</v>
      </c>
      <c r="U18" s="50">
        <v>8.3000000000000007</v>
      </c>
      <c r="V18" s="50">
        <v>8.3000000000000007</v>
      </c>
      <c r="W18" s="50">
        <v>8.3000000000000007</v>
      </c>
      <c r="X18" s="50">
        <v>8.3000000000000007</v>
      </c>
      <c r="Y18" s="50">
        <v>8.3000000000000007</v>
      </c>
      <c r="Z18" s="50">
        <v>8.3000000000000007</v>
      </c>
      <c r="AA18" s="50">
        <v>8.3000000000000007</v>
      </c>
      <c r="AB18" s="50">
        <v>8.3000000000000007</v>
      </c>
      <c r="AC18" s="50">
        <v>8.3000000000000007</v>
      </c>
      <c r="AD18" s="50">
        <v>8.3000000000000007</v>
      </c>
      <c r="AE18" s="50">
        <v>8.3000000000000007</v>
      </c>
      <c r="AF18" s="50">
        <v>8.3000000000000007</v>
      </c>
      <c r="AG18" s="56">
        <v>30</v>
      </c>
      <c r="AH18" s="52">
        <f t="shared" si="2"/>
        <v>8.3000000000000007</v>
      </c>
      <c r="AI18" s="53">
        <f t="shared" si="3"/>
        <v>8.3000000000000007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9.6</v>
      </c>
      <c r="C19" s="50">
        <v>9.6</v>
      </c>
      <c r="D19" s="50">
        <v>9.6</v>
      </c>
      <c r="E19" s="50">
        <v>9.6</v>
      </c>
      <c r="F19" s="50">
        <v>9.6</v>
      </c>
      <c r="G19" s="50">
        <v>9.6</v>
      </c>
      <c r="H19" s="50">
        <v>9.6</v>
      </c>
      <c r="I19" s="50">
        <v>9.6</v>
      </c>
      <c r="J19" s="50">
        <v>9.6</v>
      </c>
      <c r="K19" s="50">
        <v>9.6</v>
      </c>
      <c r="L19" s="50">
        <v>9.6</v>
      </c>
      <c r="M19" s="50">
        <v>9.6</v>
      </c>
      <c r="N19" s="50">
        <v>9.6</v>
      </c>
      <c r="O19" s="50">
        <v>9.6</v>
      </c>
      <c r="P19" s="50">
        <v>9.6</v>
      </c>
      <c r="Q19" s="50">
        <v>6.4</v>
      </c>
      <c r="R19" s="50">
        <v>6.4</v>
      </c>
      <c r="S19" s="50">
        <v>6.4</v>
      </c>
      <c r="T19" s="50">
        <v>6.4</v>
      </c>
      <c r="U19" s="50">
        <v>6.4</v>
      </c>
      <c r="V19" s="50">
        <v>6.4</v>
      </c>
      <c r="W19" s="50">
        <v>6.4</v>
      </c>
      <c r="X19" s="50">
        <v>6.4</v>
      </c>
      <c r="Y19" s="50">
        <v>6.4</v>
      </c>
      <c r="Z19" s="50">
        <v>6.4</v>
      </c>
      <c r="AA19" s="50">
        <v>6.4</v>
      </c>
      <c r="AB19" s="50">
        <v>6.4</v>
      </c>
      <c r="AC19" s="50">
        <v>6.4</v>
      </c>
      <c r="AD19" s="50">
        <v>6.4</v>
      </c>
      <c r="AE19" s="50">
        <v>6.4</v>
      </c>
      <c r="AF19" s="50">
        <v>6.4</v>
      </c>
      <c r="AG19" s="55">
        <v>24.2</v>
      </c>
      <c r="AH19" s="52">
        <f t="shared" si="2"/>
        <v>9.6</v>
      </c>
      <c r="AI19" s="53">
        <f t="shared" si="3"/>
        <v>6.4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12</v>
      </c>
      <c r="N20" s="50">
        <v>12</v>
      </c>
      <c r="O20" s="50">
        <v>12</v>
      </c>
      <c r="P20" s="50">
        <v>12</v>
      </c>
      <c r="Q20" s="50">
        <v>12</v>
      </c>
      <c r="R20" s="50">
        <v>12</v>
      </c>
      <c r="S20" s="50">
        <v>12</v>
      </c>
      <c r="T20" s="50">
        <v>12</v>
      </c>
      <c r="U20" s="50">
        <v>12</v>
      </c>
      <c r="V20" s="50">
        <v>12</v>
      </c>
      <c r="W20" s="50">
        <v>12</v>
      </c>
      <c r="X20" s="50">
        <v>12</v>
      </c>
      <c r="Y20" s="50">
        <v>12</v>
      </c>
      <c r="Z20" s="50">
        <v>12</v>
      </c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12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8.1999999999999993</v>
      </c>
      <c r="C22" s="50">
        <v>8.1999999999999993</v>
      </c>
      <c r="D22" s="50">
        <v>8.1999999999999993</v>
      </c>
      <c r="E22" s="50">
        <v>8.1999999999999993</v>
      </c>
      <c r="F22" s="50">
        <v>8.1999999999999993</v>
      </c>
      <c r="G22" s="50">
        <v>8.1999999999999993</v>
      </c>
      <c r="H22" s="50">
        <v>8.1999999999999993</v>
      </c>
      <c r="I22" s="50">
        <v>8.1999999999999993</v>
      </c>
      <c r="J22" s="50">
        <v>8.1999999999999993</v>
      </c>
      <c r="K22" s="50">
        <v>8.1999999999999993</v>
      </c>
      <c r="L22" s="50">
        <v>8.1999999999999993</v>
      </c>
      <c r="M22" s="50">
        <v>8.1999999999999993</v>
      </c>
      <c r="N22" s="50">
        <v>8.1999999999999993</v>
      </c>
      <c r="O22" s="50">
        <v>8.1999999999999993</v>
      </c>
      <c r="P22" s="50">
        <v>8.1999999999999993</v>
      </c>
      <c r="Q22" s="50">
        <v>6.4</v>
      </c>
      <c r="R22" s="50">
        <v>6.4</v>
      </c>
      <c r="S22" s="50">
        <v>6.4</v>
      </c>
      <c r="T22" s="50">
        <v>6.4</v>
      </c>
      <c r="U22" s="50">
        <v>6.4</v>
      </c>
      <c r="V22" s="50">
        <v>6.4</v>
      </c>
      <c r="W22" s="50">
        <v>6.4</v>
      </c>
      <c r="X22" s="50">
        <v>6.4</v>
      </c>
      <c r="Y22" s="50">
        <v>6.4</v>
      </c>
      <c r="Z22" s="50">
        <v>6.4</v>
      </c>
      <c r="AA22" s="50">
        <v>6.4</v>
      </c>
      <c r="AB22" s="50">
        <v>6.4</v>
      </c>
      <c r="AC22" s="50">
        <v>6.4</v>
      </c>
      <c r="AD22" s="50">
        <v>6.4</v>
      </c>
      <c r="AE22" s="50">
        <v>6.4</v>
      </c>
      <c r="AF22" s="50">
        <v>6.4</v>
      </c>
      <c r="AG22" s="55">
        <v>25</v>
      </c>
      <c r="AH22" s="52">
        <f t="shared" si="2"/>
        <v>8.1999999999999993</v>
      </c>
      <c r="AI22" s="53">
        <f t="shared" si="3"/>
        <v>6.4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8.1999999999999993</v>
      </c>
      <c r="C26" s="50">
        <v>8.1999999999999993</v>
      </c>
      <c r="D26" s="50">
        <v>8.1999999999999993</v>
      </c>
      <c r="E26" s="50">
        <v>8.1999999999999993</v>
      </c>
      <c r="F26" s="50">
        <v>8.1999999999999993</v>
      </c>
      <c r="G26" s="50">
        <v>8.1999999999999993</v>
      </c>
      <c r="H26" s="50">
        <v>8.1999999999999993</v>
      </c>
      <c r="I26" s="50">
        <v>8.1999999999999993</v>
      </c>
      <c r="J26" s="50">
        <v>8.1999999999999993</v>
      </c>
      <c r="K26" s="50">
        <v>8.1999999999999993</v>
      </c>
      <c r="L26" s="50">
        <v>8.1999999999999993</v>
      </c>
      <c r="M26" s="50">
        <v>8.1999999999999993</v>
      </c>
      <c r="N26" s="50">
        <v>8.1999999999999993</v>
      </c>
      <c r="O26" s="50">
        <v>8.1999999999999993</v>
      </c>
      <c r="P26" s="50">
        <v>8.1999999999999993</v>
      </c>
      <c r="Q26" s="50">
        <v>6</v>
      </c>
      <c r="R26" s="50">
        <v>6</v>
      </c>
      <c r="S26" s="50">
        <v>6</v>
      </c>
      <c r="T26" s="50">
        <v>6</v>
      </c>
      <c r="U26" s="50">
        <v>6</v>
      </c>
      <c r="V26" s="50">
        <v>6</v>
      </c>
      <c r="W26" s="50">
        <v>6</v>
      </c>
      <c r="X26" s="50">
        <v>6</v>
      </c>
      <c r="Y26" s="50">
        <v>6</v>
      </c>
      <c r="Z26" s="50">
        <v>6</v>
      </c>
      <c r="AA26" s="50">
        <v>6</v>
      </c>
      <c r="AB26" s="50">
        <v>6</v>
      </c>
      <c r="AC26" s="50">
        <v>6</v>
      </c>
      <c r="AD26" s="50">
        <v>6</v>
      </c>
      <c r="AE26" s="50">
        <v>6</v>
      </c>
      <c r="AF26" s="50">
        <v>6</v>
      </c>
      <c r="AG26" s="55">
        <v>23.5</v>
      </c>
      <c r="AH26" s="52">
        <f t="shared" si="2"/>
        <v>8.1999999999999993</v>
      </c>
      <c r="AI26" s="53">
        <f t="shared" si="3"/>
        <v>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0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11.5</v>
      </c>
      <c r="C30" s="50">
        <v>11.5</v>
      </c>
      <c r="D30" s="50">
        <v>11.5</v>
      </c>
      <c r="E30" s="50">
        <v>11.5</v>
      </c>
      <c r="F30" s="50">
        <v>11.5</v>
      </c>
      <c r="G30" s="50">
        <v>11.5</v>
      </c>
      <c r="H30" s="50">
        <v>11.5</v>
      </c>
      <c r="I30" s="50">
        <v>11.5</v>
      </c>
      <c r="J30" s="50">
        <v>11.5</v>
      </c>
      <c r="K30" s="50">
        <v>11.5</v>
      </c>
      <c r="L30" s="50">
        <v>11.5</v>
      </c>
      <c r="M30" s="50">
        <v>11.5</v>
      </c>
      <c r="N30" s="50">
        <v>11.5</v>
      </c>
      <c r="O30" s="50">
        <v>11.5</v>
      </c>
      <c r="P30" s="50">
        <v>6.5</v>
      </c>
      <c r="Q30" s="50">
        <v>7.5</v>
      </c>
      <c r="R30" s="50">
        <v>7.5</v>
      </c>
      <c r="S30" s="50">
        <v>7.5</v>
      </c>
      <c r="T30" s="50">
        <v>7.5</v>
      </c>
      <c r="U30" s="50">
        <v>7.5</v>
      </c>
      <c r="V30" s="50">
        <v>7.5</v>
      </c>
      <c r="W30" s="50">
        <v>7.5</v>
      </c>
      <c r="X30" s="50">
        <v>7.5</v>
      </c>
      <c r="Y30" s="50">
        <v>7.5</v>
      </c>
      <c r="Z30" s="50">
        <v>7.5</v>
      </c>
      <c r="AA30" s="50">
        <v>7.5</v>
      </c>
      <c r="AB30" s="50">
        <v>7.5</v>
      </c>
      <c r="AC30" s="50">
        <v>7.5</v>
      </c>
      <c r="AD30" s="50">
        <v>7.5</v>
      </c>
      <c r="AE30" s="50">
        <v>7.5</v>
      </c>
      <c r="AF30" s="50">
        <v>7.5</v>
      </c>
      <c r="AG30" s="55">
        <v>22</v>
      </c>
      <c r="AH30" s="52">
        <f t="shared" si="2"/>
        <v>11.5</v>
      </c>
      <c r="AI30" s="53">
        <f t="shared" si="3"/>
        <v>6.5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5</v>
      </c>
      <c r="C36" s="50">
        <v>5</v>
      </c>
      <c r="D36" s="50">
        <v>5</v>
      </c>
      <c r="E36" s="50">
        <v>5</v>
      </c>
      <c r="F36" s="50">
        <v>5</v>
      </c>
      <c r="G36" s="50">
        <v>5</v>
      </c>
      <c r="H36" s="50">
        <v>5</v>
      </c>
      <c r="I36" s="50">
        <v>5</v>
      </c>
      <c r="J36" s="50">
        <v>5</v>
      </c>
      <c r="K36" s="50">
        <v>5</v>
      </c>
      <c r="L36" s="50">
        <v>5</v>
      </c>
      <c r="M36" s="50">
        <v>5</v>
      </c>
      <c r="N36" s="50">
        <v>5</v>
      </c>
      <c r="O36" s="50">
        <v>5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5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12</v>
      </c>
      <c r="C38" s="50">
        <v>12</v>
      </c>
      <c r="D38" s="50">
        <v>12</v>
      </c>
      <c r="E38" s="50">
        <v>12</v>
      </c>
      <c r="F38" s="50">
        <v>12</v>
      </c>
      <c r="G38" s="50">
        <v>12</v>
      </c>
      <c r="H38" s="50">
        <v>12</v>
      </c>
      <c r="I38" s="50">
        <v>12</v>
      </c>
      <c r="J38" s="50">
        <v>12</v>
      </c>
      <c r="K38" s="50">
        <v>12</v>
      </c>
      <c r="L38" s="50">
        <v>12</v>
      </c>
      <c r="M38" s="50">
        <v>12</v>
      </c>
      <c r="N38" s="50">
        <v>12</v>
      </c>
      <c r="O38" s="50">
        <v>12</v>
      </c>
      <c r="P38" s="50">
        <v>10</v>
      </c>
      <c r="Q38" s="50">
        <v>10</v>
      </c>
      <c r="R38" s="50">
        <v>10</v>
      </c>
      <c r="S38" s="50">
        <v>10</v>
      </c>
      <c r="T38" s="50">
        <v>10</v>
      </c>
      <c r="U38" s="50">
        <v>10</v>
      </c>
      <c r="V38" s="50">
        <v>10</v>
      </c>
      <c r="W38" s="50">
        <v>10</v>
      </c>
      <c r="X38" s="50">
        <v>10</v>
      </c>
      <c r="Y38" s="50">
        <v>10</v>
      </c>
      <c r="Z38" s="50">
        <v>10</v>
      </c>
      <c r="AA38" s="50">
        <v>10</v>
      </c>
      <c r="AB38" s="50">
        <v>10</v>
      </c>
      <c r="AC38" s="50">
        <v>10</v>
      </c>
      <c r="AD38" s="50">
        <v>10</v>
      </c>
      <c r="AE38" s="50">
        <v>10</v>
      </c>
      <c r="AF38" s="50">
        <v>10</v>
      </c>
      <c r="AG38" s="55">
        <v>12</v>
      </c>
      <c r="AH38" s="52">
        <f t="shared" si="2"/>
        <v>12</v>
      </c>
      <c r="AI38" s="53">
        <f t="shared" si="3"/>
        <v>10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4.9000000000000004</v>
      </c>
      <c r="C41" s="50">
        <v>4.9000000000000004</v>
      </c>
      <c r="D41" s="50">
        <v>4.9000000000000004</v>
      </c>
      <c r="E41" s="50">
        <v>4.9000000000000004</v>
      </c>
      <c r="F41" s="50">
        <v>4.9000000000000004</v>
      </c>
      <c r="G41" s="50">
        <v>4.9000000000000004</v>
      </c>
      <c r="H41" s="50">
        <v>4.9000000000000004</v>
      </c>
      <c r="I41" s="50">
        <v>4.9000000000000004</v>
      </c>
      <c r="J41" s="50">
        <v>4.9000000000000004</v>
      </c>
      <c r="K41" s="50">
        <v>4.9000000000000004</v>
      </c>
      <c r="L41" s="50">
        <v>4.9000000000000004</v>
      </c>
      <c r="M41" s="50">
        <v>4.9000000000000004</v>
      </c>
      <c r="N41" s="50">
        <v>4.9000000000000004</v>
      </c>
      <c r="O41" s="50">
        <v>4.9000000000000004</v>
      </c>
      <c r="P41" s="50">
        <v>2.2999999999999998</v>
      </c>
      <c r="Q41" s="50">
        <v>2.2999999999999998</v>
      </c>
      <c r="R41" s="50">
        <v>2.2999999999999998</v>
      </c>
      <c r="S41" s="50">
        <v>2.2999999999999998</v>
      </c>
      <c r="T41" s="50">
        <v>2.2999999999999998</v>
      </c>
      <c r="U41" s="50">
        <v>2.2999999999999998</v>
      </c>
      <c r="V41" s="50">
        <v>2.2999999999999998</v>
      </c>
      <c r="W41" s="50">
        <v>2.2999999999999998</v>
      </c>
      <c r="X41" s="50">
        <v>2.2999999999999998</v>
      </c>
      <c r="Y41" s="50">
        <v>2.2999999999999998</v>
      </c>
      <c r="Z41" s="50">
        <v>2.2999999999999998</v>
      </c>
      <c r="AA41" s="50">
        <v>2.2999999999999998</v>
      </c>
      <c r="AB41" s="50">
        <v>2.2999999999999998</v>
      </c>
      <c r="AC41" s="50">
        <v>2.2999999999999998</v>
      </c>
      <c r="AD41" s="50">
        <v>2.2999999999999998</v>
      </c>
      <c r="AE41" s="50">
        <v>2.2999999999999998</v>
      </c>
      <c r="AF41" s="50">
        <v>2.2999999999999998</v>
      </c>
      <c r="AG41" s="56">
        <v>11.88</v>
      </c>
      <c r="AH41" s="52">
        <f t="shared" si="2"/>
        <v>4.9000000000000004</v>
      </c>
      <c r="AI41" s="53">
        <f t="shared" si="3"/>
        <v>2.2999999999999998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1</v>
      </c>
      <c r="O45" s="50">
        <v>1</v>
      </c>
      <c r="P45" s="50">
        <v>1</v>
      </c>
      <c r="Q45" s="50">
        <v>1</v>
      </c>
      <c r="R45" s="50">
        <v>1</v>
      </c>
      <c r="S45" s="50">
        <v>1</v>
      </c>
      <c r="T45" s="50">
        <v>1</v>
      </c>
      <c r="U45" s="50">
        <v>1</v>
      </c>
      <c r="V45" s="50">
        <v>1</v>
      </c>
      <c r="W45" s="50">
        <v>1</v>
      </c>
      <c r="X45" s="50">
        <v>1</v>
      </c>
      <c r="Y45" s="50">
        <v>1</v>
      </c>
      <c r="Z45" s="50">
        <v>1</v>
      </c>
      <c r="AA45" s="50">
        <v>1</v>
      </c>
      <c r="AB45" s="50">
        <v>1</v>
      </c>
      <c r="AC45" s="50">
        <v>1</v>
      </c>
      <c r="AD45" s="50">
        <v>1</v>
      </c>
      <c r="AE45" s="50">
        <v>1</v>
      </c>
      <c r="AF45" s="50">
        <v>1</v>
      </c>
      <c r="AG45" s="61">
        <v>10</v>
      </c>
      <c r="AH45" s="52">
        <f t="shared" si="2"/>
        <v>1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" si="4">SUM(B12:B46)</f>
        <v>339.79999999999995</v>
      </c>
      <c r="C48" s="67">
        <f t="shared" ref="C48:AG48" si="5">SUM(C12:C46)</f>
        <v>339.79999999999995</v>
      </c>
      <c r="D48" s="67">
        <f t="shared" si="5"/>
        <v>379.79999999999995</v>
      </c>
      <c r="E48" s="67">
        <f t="shared" si="5"/>
        <v>376.9</v>
      </c>
      <c r="F48" s="67">
        <f t="shared" si="5"/>
        <v>366.9</v>
      </c>
      <c r="G48" s="67">
        <f t="shared" si="5"/>
        <v>366.9</v>
      </c>
      <c r="H48" s="67">
        <f t="shared" si="5"/>
        <v>366.9</v>
      </c>
      <c r="I48" s="67">
        <f t="shared" si="5"/>
        <v>364.79999999999995</v>
      </c>
      <c r="J48" s="67">
        <f>SUM(J12:J46)</f>
        <v>364.7</v>
      </c>
      <c r="K48" s="67">
        <f t="shared" si="5"/>
        <v>364.7</v>
      </c>
      <c r="L48" s="67">
        <f t="shared" si="5"/>
        <v>364.7</v>
      </c>
      <c r="M48" s="67">
        <f t="shared" si="5"/>
        <v>367.7</v>
      </c>
      <c r="N48" s="67">
        <f t="shared" si="5"/>
        <v>368.7</v>
      </c>
      <c r="O48" s="67">
        <f t="shared" si="5"/>
        <v>368.7</v>
      </c>
      <c r="P48" s="67">
        <f t="shared" si="5"/>
        <v>356.29999999999995</v>
      </c>
      <c r="Q48" s="67">
        <f t="shared" si="5"/>
        <v>347.90000000000003</v>
      </c>
      <c r="R48" s="67">
        <f t="shared" si="5"/>
        <v>347.90000000000003</v>
      </c>
      <c r="S48" s="67">
        <f t="shared" ref="S48" si="6">SUM(S12:S46)</f>
        <v>347.90000000000003</v>
      </c>
      <c r="T48" s="67">
        <f t="shared" si="5"/>
        <v>347.90000000000003</v>
      </c>
      <c r="U48" s="67">
        <f t="shared" ref="U48:V48" si="7">SUM(U12:U46)</f>
        <v>347.90000000000003</v>
      </c>
      <c r="V48" s="67">
        <f t="shared" si="7"/>
        <v>347.90000000000003</v>
      </c>
      <c r="W48" s="67">
        <f t="shared" si="5"/>
        <v>347.90000000000003</v>
      </c>
      <c r="X48" s="67">
        <f t="shared" ref="X48" si="8">SUM(X12:X46)</f>
        <v>347.90000000000003</v>
      </c>
      <c r="Y48" s="67">
        <f t="shared" si="5"/>
        <v>347.90000000000003</v>
      </c>
      <c r="Z48" s="67">
        <v>347.90000000000003</v>
      </c>
      <c r="AA48" s="67">
        <v>347.90000000000003</v>
      </c>
      <c r="AB48" s="67">
        <f t="shared" si="5"/>
        <v>347.90000000000003</v>
      </c>
      <c r="AC48" s="67">
        <f t="shared" si="5"/>
        <v>347.90000000000003</v>
      </c>
      <c r="AD48" s="67">
        <f t="shared" si="5"/>
        <v>347.90000000000003</v>
      </c>
      <c r="AE48" s="67">
        <f t="shared" si="5"/>
        <v>347.90000000000003</v>
      </c>
      <c r="AF48" s="67">
        <f t="shared" si="5"/>
        <v>347.90000000000003</v>
      </c>
      <c r="AG48" s="68">
        <f t="shared" si="5"/>
        <v>875.68</v>
      </c>
      <c r="AH48" s="52">
        <f t="shared" si="2"/>
        <v>379.79999999999995</v>
      </c>
      <c r="AI48" s="53">
        <f t="shared" si="3"/>
        <v>339.79999999999995</v>
      </c>
      <c r="AK48" s="54"/>
    </row>
    <row r="49" spans="1:41" x14ac:dyDescent="0.25">
      <c r="A49" s="69" t="s">
        <v>53</v>
      </c>
      <c r="B49" s="50">
        <v>50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15</v>
      </c>
      <c r="I49" s="50">
        <v>15</v>
      </c>
      <c r="J49" s="50">
        <v>50</v>
      </c>
      <c r="K49" s="50">
        <v>50</v>
      </c>
      <c r="L49" s="50">
        <v>50</v>
      </c>
      <c r="M49" s="70">
        <v>15</v>
      </c>
      <c r="N49" s="70">
        <v>15</v>
      </c>
      <c r="O49" s="50">
        <v>15</v>
      </c>
      <c r="P49" s="50">
        <v>15</v>
      </c>
      <c r="Q49" s="50">
        <v>60</v>
      </c>
      <c r="R49" s="50">
        <v>70</v>
      </c>
      <c r="S49" s="50">
        <v>25</v>
      </c>
      <c r="T49" s="50">
        <v>76</v>
      </c>
      <c r="U49" s="50">
        <v>76</v>
      </c>
      <c r="V49" s="50">
        <v>80</v>
      </c>
      <c r="W49" s="50">
        <v>80</v>
      </c>
      <c r="X49" s="50">
        <v>35</v>
      </c>
      <c r="Y49" s="50">
        <v>60</v>
      </c>
      <c r="Z49" s="50">
        <v>122.9</v>
      </c>
      <c r="AA49" s="50">
        <v>122.9</v>
      </c>
      <c r="AB49" s="50">
        <v>150</v>
      </c>
      <c r="AC49" s="50">
        <v>114</v>
      </c>
      <c r="AD49" s="50">
        <v>114</v>
      </c>
      <c r="AE49" s="50">
        <v>74</v>
      </c>
      <c r="AF49" s="50">
        <v>83.4</v>
      </c>
      <c r="AG49" s="56">
        <v>456</v>
      </c>
      <c r="AH49" s="52">
        <f t="shared" si="2"/>
        <v>150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26</v>
      </c>
      <c r="N50" s="72">
        <v>26</v>
      </c>
      <c r="O50" s="72">
        <v>26</v>
      </c>
      <c r="P50" s="72">
        <v>26</v>
      </c>
      <c r="Q50" s="72">
        <v>26</v>
      </c>
      <c r="R50" s="72">
        <v>26</v>
      </c>
      <c r="S50" s="72">
        <v>26</v>
      </c>
      <c r="T50" s="72">
        <v>26</v>
      </c>
      <c r="U50" s="72">
        <v>26</v>
      </c>
      <c r="V50" s="72">
        <v>26</v>
      </c>
      <c r="W50" s="72">
        <v>26</v>
      </c>
      <c r="X50" s="72">
        <v>26</v>
      </c>
      <c r="Y50" s="72">
        <v>26</v>
      </c>
      <c r="Z50" s="72">
        <v>26</v>
      </c>
      <c r="AA50" s="72">
        <v>26</v>
      </c>
      <c r="AB50" s="72">
        <v>26</v>
      </c>
      <c r="AC50" s="72">
        <v>26</v>
      </c>
      <c r="AD50" s="72">
        <v>26</v>
      </c>
      <c r="AE50" s="72">
        <v>26</v>
      </c>
      <c r="AF50" s="72">
        <v>26</v>
      </c>
      <c r="AG50" s="61">
        <v>60</v>
      </c>
      <c r="AH50" s="52">
        <f t="shared" si="2"/>
        <v>26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9.3000000000000007</v>
      </c>
      <c r="C51" s="74">
        <v>9.3000000000000007</v>
      </c>
      <c r="D51" s="74">
        <v>9.3000000000000007</v>
      </c>
      <c r="E51" s="74">
        <v>9.3000000000000007</v>
      </c>
      <c r="F51" s="74">
        <v>9.3000000000000007</v>
      </c>
      <c r="G51" s="74">
        <v>9.6</v>
      </c>
      <c r="H51" s="74">
        <v>9.5</v>
      </c>
      <c r="I51" s="74">
        <v>9.5</v>
      </c>
      <c r="J51" s="74">
        <v>9.5</v>
      </c>
      <c r="K51" s="74">
        <v>9.5</v>
      </c>
      <c r="L51" s="74">
        <v>9.5</v>
      </c>
      <c r="M51" s="74">
        <v>9.5</v>
      </c>
      <c r="N51" s="74">
        <v>9.5</v>
      </c>
      <c r="O51" s="74">
        <v>9.5</v>
      </c>
      <c r="P51" s="74">
        <v>9.5</v>
      </c>
      <c r="Q51" s="74">
        <v>9.5</v>
      </c>
      <c r="R51" s="74">
        <v>9.4</v>
      </c>
      <c r="S51" s="74">
        <v>9.4</v>
      </c>
      <c r="T51" s="74">
        <v>9.4</v>
      </c>
      <c r="U51" s="74">
        <v>9.4</v>
      </c>
      <c r="V51" s="74">
        <v>9.4</v>
      </c>
      <c r="W51" s="74">
        <v>9.4</v>
      </c>
      <c r="X51" s="74">
        <v>9.4</v>
      </c>
      <c r="Y51" s="74">
        <v>9.4</v>
      </c>
      <c r="Z51" s="74">
        <v>9.4</v>
      </c>
      <c r="AA51" s="74">
        <v>9.4</v>
      </c>
      <c r="AB51" s="74">
        <v>9.4</v>
      </c>
      <c r="AC51" s="74">
        <v>9.4</v>
      </c>
      <c r="AD51" s="74">
        <v>9.4</v>
      </c>
      <c r="AE51" s="74">
        <v>9.4</v>
      </c>
      <c r="AF51" s="74">
        <v>9.4</v>
      </c>
      <c r="AG51" s="75">
        <v>22.1</v>
      </c>
      <c r="AH51" s="52">
        <f t="shared" si="2"/>
        <v>9.6</v>
      </c>
      <c r="AI51" s="53">
        <f t="shared" si="3"/>
        <v>9.3000000000000007</v>
      </c>
      <c r="AK51" s="54"/>
    </row>
    <row r="52" spans="1:41" ht="15.75" thickBot="1" x14ac:dyDescent="0.3">
      <c r="A52" s="76" t="s">
        <v>56</v>
      </c>
      <c r="B52" s="67">
        <f t="shared" ref="B52" si="9">SUM(B49:B51)</f>
        <v>84.3</v>
      </c>
      <c r="C52" s="67">
        <f t="shared" ref="C52:AG52" si="10">SUM(C49:C51)</f>
        <v>34.299999999999997</v>
      </c>
      <c r="D52" s="67">
        <f t="shared" si="10"/>
        <v>34.299999999999997</v>
      </c>
      <c r="E52" s="67">
        <f t="shared" si="10"/>
        <v>34.299999999999997</v>
      </c>
      <c r="F52" s="67">
        <f t="shared" si="10"/>
        <v>34.299999999999997</v>
      </c>
      <c r="G52" s="67">
        <f t="shared" si="10"/>
        <v>34.6</v>
      </c>
      <c r="H52" s="67">
        <f t="shared" si="10"/>
        <v>49.5</v>
      </c>
      <c r="I52" s="67">
        <f t="shared" si="10"/>
        <v>49.5</v>
      </c>
      <c r="J52" s="67">
        <f t="shared" si="10"/>
        <v>84.5</v>
      </c>
      <c r="K52" s="67">
        <f t="shared" si="10"/>
        <v>84.5</v>
      </c>
      <c r="L52" s="67">
        <f t="shared" si="10"/>
        <v>84.5</v>
      </c>
      <c r="M52" s="67">
        <f t="shared" si="10"/>
        <v>50.5</v>
      </c>
      <c r="N52" s="67">
        <f t="shared" si="10"/>
        <v>50.5</v>
      </c>
      <c r="O52" s="67">
        <f t="shared" si="10"/>
        <v>50.5</v>
      </c>
      <c r="P52" s="67">
        <f t="shared" si="10"/>
        <v>50.5</v>
      </c>
      <c r="Q52" s="67">
        <f t="shared" si="10"/>
        <v>95.5</v>
      </c>
      <c r="R52" s="67">
        <f t="shared" si="10"/>
        <v>105.4</v>
      </c>
      <c r="S52" s="67">
        <f t="shared" ref="S52" si="11">SUM(S49:S51)</f>
        <v>60.4</v>
      </c>
      <c r="T52" s="67">
        <f t="shared" si="10"/>
        <v>111.4</v>
      </c>
      <c r="U52" s="67">
        <f t="shared" ref="U52:V52" si="12">SUM(U49:U51)</f>
        <v>111.4</v>
      </c>
      <c r="V52" s="67">
        <f t="shared" si="12"/>
        <v>115.4</v>
      </c>
      <c r="W52" s="67">
        <f t="shared" si="10"/>
        <v>115.4</v>
      </c>
      <c r="X52" s="67">
        <f t="shared" ref="X52" si="13">SUM(X49:X51)</f>
        <v>70.400000000000006</v>
      </c>
      <c r="Y52" s="67">
        <f t="shared" si="10"/>
        <v>95.4</v>
      </c>
      <c r="Z52" s="67">
        <v>158.30000000000001</v>
      </c>
      <c r="AA52" s="67">
        <v>158.30000000000001</v>
      </c>
      <c r="AB52" s="67">
        <f t="shared" si="10"/>
        <v>185.4</v>
      </c>
      <c r="AC52" s="67">
        <f t="shared" si="10"/>
        <v>149.4</v>
      </c>
      <c r="AD52" s="67">
        <f t="shared" si="10"/>
        <v>149.4</v>
      </c>
      <c r="AE52" s="67">
        <f t="shared" si="10"/>
        <v>109.4</v>
      </c>
      <c r="AF52" s="67">
        <f t="shared" si="10"/>
        <v>118.80000000000001</v>
      </c>
      <c r="AG52" s="68">
        <f t="shared" si="10"/>
        <v>538.1</v>
      </c>
      <c r="AH52" s="52">
        <f t="shared" si="2"/>
        <v>185.4</v>
      </c>
      <c r="AI52" s="53">
        <f t="shared" si="3"/>
        <v>34.299999999999997</v>
      </c>
      <c r="AK52" s="54"/>
    </row>
    <row r="53" spans="1:41" x14ac:dyDescent="0.25">
      <c r="A53" s="49" t="s">
        <v>57</v>
      </c>
      <c r="B53" s="50">
        <v>30.5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30.5</v>
      </c>
      <c r="I53" s="50">
        <v>48</v>
      </c>
      <c r="J53" s="50">
        <v>73.099999999999994</v>
      </c>
      <c r="K53" s="50">
        <v>73.099999999999994</v>
      </c>
      <c r="L53" s="50">
        <v>53</v>
      </c>
      <c r="M53" s="50">
        <v>35.5</v>
      </c>
      <c r="N53" s="50">
        <v>0</v>
      </c>
      <c r="O53" s="50">
        <v>0</v>
      </c>
      <c r="P53" s="50">
        <v>0</v>
      </c>
      <c r="Q53" s="50">
        <v>81.099999999999994</v>
      </c>
      <c r="R53" s="50">
        <v>81</v>
      </c>
      <c r="S53" s="50">
        <v>92</v>
      </c>
      <c r="T53" s="50">
        <v>92</v>
      </c>
      <c r="U53" s="50">
        <v>92</v>
      </c>
      <c r="V53" s="50">
        <v>60</v>
      </c>
      <c r="W53" s="50">
        <v>58.8</v>
      </c>
      <c r="X53" s="50">
        <v>60</v>
      </c>
      <c r="Y53" s="50">
        <v>95</v>
      </c>
      <c r="Z53" s="50">
        <v>98.6</v>
      </c>
      <c r="AA53" s="50">
        <v>72.2</v>
      </c>
      <c r="AB53" s="50">
        <v>71.3</v>
      </c>
      <c r="AC53" s="50">
        <v>61.4</v>
      </c>
      <c r="AD53" s="50">
        <v>93</v>
      </c>
      <c r="AE53" s="50">
        <v>50</v>
      </c>
      <c r="AF53" s="50">
        <v>0</v>
      </c>
      <c r="AG53" s="56">
        <v>144</v>
      </c>
      <c r="AH53" s="52">
        <f t="shared" si="2"/>
        <v>98.6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25</v>
      </c>
      <c r="E54" s="72">
        <v>24.8</v>
      </c>
      <c r="F54" s="72">
        <v>24.8</v>
      </c>
      <c r="G54" s="72">
        <v>24.7</v>
      </c>
      <c r="H54" s="72">
        <v>30</v>
      </c>
      <c r="I54" s="72">
        <v>34.4</v>
      </c>
      <c r="J54" s="72">
        <v>34.700000000000003</v>
      </c>
      <c r="K54" s="72">
        <v>34.799999999999997</v>
      </c>
      <c r="L54" s="72">
        <v>34.799999999999997</v>
      </c>
      <c r="M54" s="72">
        <v>34.799999999999997</v>
      </c>
      <c r="N54" s="72">
        <v>24.9</v>
      </c>
      <c r="O54" s="72">
        <v>24.8</v>
      </c>
      <c r="P54" s="72">
        <v>24.8</v>
      </c>
      <c r="Q54" s="72">
        <v>24.8</v>
      </c>
      <c r="R54" s="50">
        <v>30</v>
      </c>
      <c r="S54" s="50">
        <v>29.9</v>
      </c>
      <c r="T54" s="50">
        <v>29.9</v>
      </c>
      <c r="U54" s="50">
        <v>29.9</v>
      </c>
      <c r="V54" s="50">
        <v>21.7</v>
      </c>
      <c r="W54" s="50">
        <v>21.7</v>
      </c>
      <c r="X54" s="50">
        <v>21.8</v>
      </c>
      <c r="Y54" s="50">
        <v>21.8</v>
      </c>
      <c r="Z54" s="50">
        <v>21.8</v>
      </c>
      <c r="AA54" s="50">
        <v>34.9</v>
      </c>
      <c r="AB54" s="72">
        <v>34.799999999999997</v>
      </c>
      <c r="AC54" s="72">
        <v>34.799999999999997</v>
      </c>
      <c r="AD54" s="72">
        <v>35</v>
      </c>
      <c r="AE54" s="72">
        <v>35</v>
      </c>
      <c r="AF54" s="72">
        <v>35</v>
      </c>
      <c r="AG54" s="61">
        <v>70</v>
      </c>
      <c r="AH54" s="52">
        <f t="shared" si="2"/>
        <v>35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15.9</v>
      </c>
      <c r="C55" s="72">
        <v>23.2</v>
      </c>
      <c r="D55" s="72">
        <v>0</v>
      </c>
      <c r="E55" s="72">
        <v>0</v>
      </c>
      <c r="F55" s="72">
        <v>0</v>
      </c>
      <c r="G55" s="72">
        <v>0</v>
      </c>
      <c r="H55" s="72">
        <v>17.399999999999999</v>
      </c>
      <c r="I55" s="72">
        <v>17.7</v>
      </c>
      <c r="J55" s="72">
        <v>56.2</v>
      </c>
      <c r="K55" s="72">
        <v>59</v>
      </c>
      <c r="L55" s="72">
        <v>34</v>
      </c>
      <c r="M55" s="72">
        <v>34</v>
      </c>
      <c r="N55" s="72">
        <v>0</v>
      </c>
      <c r="O55" s="72">
        <v>0</v>
      </c>
      <c r="P55" s="72">
        <v>0</v>
      </c>
      <c r="Q55" s="72">
        <v>0</v>
      </c>
      <c r="R55" s="50">
        <v>0</v>
      </c>
      <c r="S55" s="50">
        <v>22</v>
      </c>
      <c r="T55" s="50">
        <v>22</v>
      </c>
      <c r="U55" s="50">
        <v>22</v>
      </c>
      <c r="V55" s="50">
        <v>22.2</v>
      </c>
      <c r="W55" s="50">
        <v>16.3</v>
      </c>
      <c r="X55" s="50">
        <v>35.1</v>
      </c>
      <c r="Y55" s="50">
        <v>52.6</v>
      </c>
      <c r="Z55" s="50">
        <v>60</v>
      </c>
      <c r="AA55" s="50">
        <v>51.9</v>
      </c>
      <c r="AB55" s="72">
        <v>51.6</v>
      </c>
      <c r="AC55" s="72">
        <v>45.7</v>
      </c>
      <c r="AD55" s="72">
        <v>45</v>
      </c>
      <c r="AE55" s="72">
        <v>33</v>
      </c>
      <c r="AF55" s="72">
        <v>16.7</v>
      </c>
      <c r="AG55" s="61">
        <v>69</v>
      </c>
      <c r="AH55" s="52">
        <f t="shared" si="2"/>
        <v>60</v>
      </c>
      <c r="AI55" s="53">
        <f t="shared" si="3"/>
        <v>0</v>
      </c>
      <c r="AK55" s="54"/>
    </row>
    <row r="56" spans="1:41" x14ac:dyDescent="0.25">
      <c r="A56" s="60" t="s">
        <v>60</v>
      </c>
      <c r="B56" s="50">
        <v>35.299999999999997</v>
      </c>
      <c r="C56" s="50">
        <v>35.299999999999997</v>
      </c>
      <c r="D56" s="50">
        <v>35.299999999999997</v>
      </c>
      <c r="E56" s="63">
        <v>34.299999999999997</v>
      </c>
      <c r="F56" s="63">
        <v>34.6</v>
      </c>
      <c r="G56" s="63">
        <v>34.299999999999997</v>
      </c>
      <c r="H56" s="63">
        <v>34.6</v>
      </c>
      <c r="I56" s="63">
        <v>34.5</v>
      </c>
      <c r="J56" s="63">
        <v>34.6</v>
      </c>
      <c r="K56" s="63">
        <v>34.6</v>
      </c>
      <c r="L56" s="63">
        <v>34.6</v>
      </c>
      <c r="M56" s="63">
        <v>34.6</v>
      </c>
      <c r="N56" s="72">
        <v>35.799999999999997</v>
      </c>
      <c r="O56" s="72">
        <v>35.799999999999997</v>
      </c>
      <c r="P56" s="72">
        <v>35.799999999999997</v>
      </c>
      <c r="Q56" s="72">
        <v>35</v>
      </c>
      <c r="R56" s="50">
        <v>35.299999999999997</v>
      </c>
      <c r="S56" s="50">
        <v>35</v>
      </c>
      <c r="T56" s="50">
        <v>35</v>
      </c>
      <c r="U56" s="50">
        <v>35</v>
      </c>
      <c r="V56" s="50">
        <v>34</v>
      </c>
      <c r="W56" s="50">
        <v>33.700000000000003</v>
      </c>
      <c r="X56" s="50">
        <v>34</v>
      </c>
      <c r="Y56" s="50">
        <v>34.799999999999997</v>
      </c>
      <c r="Z56" s="50">
        <v>35</v>
      </c>
      <c r="AA56" s="50">
        <v>35</v>
      </c>
      <c r="AB56" s="72">
        <v>34</v>
      </c>
      <c r="AC56" s="72">
        <v>34</v>
      </c>
      <c r="AD56" s="72">
        <v>34</v>
      </c>
      <c r="AE56" s="72">
        <v>34</v>
      </c>
      <c r="AF56" s="72">
        <v>35</v>
      </c>
      <c r="AG56" s="61">
        <v>60</v>
      </c>
      <c r="AH56" s="52">
        <f t="shared" si="2"/>
        <v>35.799999999999997</v>
      </c>
      <c r="AI56" s="53">
        <f t="shared" si="3"/>
        <v>33.700000000000003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15</v>
      </c>
      <c r="K57" s="63">
        <v>15</v>
      </c>
      <c r="L57" s="63">
        <v>10</v>
      </c>
      <c r="M57" s="63">
        <v>10</v>
      </c>
      <c r="N57" s="72">
        <v>0</v>
      </c>
      <c r="O57" s="72">
        <v>0</v>
      </c>
      <c r="P57" s="72">
        <v>0</v>
      </c>
      <c r="Q57" s="72">
        <v>15</v>
      </c>
      <c r="R57" s="50">
        <v>9.1</v>
      </c>
      <c r="S57" s="50">
        <v>9.1</v>
      </c>
      <c r="T57" s="50">
        <v>9.1</v>
      </c>
      <c r="U57" s="50">
        <v>9.1</v>
      </c>
      <c r="V57" s="50">
        <v>9.1</v>
      </c>
      <c r="W57" s="50">
        <v>9.1</v>
      </c>
      <c r="X57" s="50">
        <v>9.1</v>
      </c>
      <c r="Y57" s="50">
        <v>9.1</v>
      </c>
      <c r="Z57" s="50">
        <v>29</v>
      </c>
      <c r="AA57" s="50">
        <v>28.8</v>
      </c>
      <c r="AB57" s="50">
        <v>25</v>
      </c>
      <c r="AC57" s="50">
        <v>15</v>
      </c>
      <c r="AD57" s="50">
        <v>15</v>
      </c>
      <c r="AE57" s="50">
        <v>10</v>
      </c>
      <c r="AF57" s="50">
        <v>0</v>
      </c>
      <c r="AG57" s="61">
        <v>30</v>
      </c>
      <c r="AH57" s="52">
        <f t="shared" si="2"/>
        <v>29</v>
      </c>
      <c r="AI57" s="53">
        <f t="shared" si="3"/>
        <v>0</v>
      </c>
      <c r="AK57" s="54"/>
    </row>
    <row r="58" spans="1:41" x14ac:dyDescent="0.25">
      <c r="A58" s="60" t="s">
        <v>62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4</v>
      </c>
      <c r="N58" s="72">
        <v>6</v>
      </c>
      <c r="O58" s="72">
        <v>8</v>
      </c>
      <c r="P58" s="72">
        <v>8</v>
      </c>
      <c r="Q58" s="72">
        <v>8</v>
      </c>
      <c r="R58" s="50">
        <v>8</v>
      </c>
      <c r="S58" s="50">
        <v>8</v>
      </c>
      <c r="T58" s="50">
        <v>8</v>
      </c>
      <c r="U58" s="50">
        <v>8</v>
      </c>
      <c r="V58" s="50">
        <v>8</v>
      </c>
      <c r="W58" s="50">
        <v>8</v>
      </c>
      <c r="X58" s="50">
        <v>8</v>
      </c>
      <c r="Y58" s="50">
        <v>8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8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9.5</v>
      </c>
      <c r="C59" s="72">
        <v>9.5</v>
      </c>
      <c r="D59" s="72">
        <v>9.5</v>
      </c>
      <c r="E59" s="72">
        <v>9.5</v>
      </c>
      <c r="F59" s="72">
        <v>9.5</v>
      </c>
      <c r="G59" s="72">
        <v>9.5</v>
      </c>
      <c r="H59" s="72">
        <v>9.5</v>
      </c>
      <c r="I59" s="72">
        <v>9.5</v>
      </c>
      <c r="J59" s="72">
        <v>9.5</v>
      </c>
      <c r="K59" s="72">
        <v>9.5</v>
      </c>
      <c r="L59" s="72">
        <v>9.5</v>
      </c>
      <c r="M59" s="72">
        <v>14</v>
      </c>
      <c r="N59" s="72">
        <v>14</v>
      </c>
      <c r="O59" s="72">
        <v>12</v>
      </c>
      <c r="P59" s="72">
        <v>12</v>
      </c>
      <c r="Q59" s="72">
        <v>12</v>
      </c>
      <c r="R59" s="72">
        <v>12</v>
      </c>
      <c r="S59" s="72">
        <v>12</v>
      </c>
      <c r="T59" s="72">
        <v>12</v>
      </c>
      <c r="U59" s="72">
        <v>12</v>
      </c>
      <c r="V59" s="72">
        <v>12</v>
      </c>
      <c r="W59" s="72">
        <v>12</v>
      </c>
      <c r="X59" s="72">
        <v>12</v>
      </c>
      <c r="Y59" s="72">
        <v>12</v>
      </c>
      <c r="Z59" s="72">
        <v>17</v>
      </c>
      <c r="AA59" s="72">
        <v>17</v>
      </c>
      <c r="AB59" s="72">
        <v>17</v>
      </c>
      <c r="AC59" s="72">
        <v>17</v>
      </c>
      <c r="AD59" s="72">
        <v>17</v>
      </c>
      <c r="AE59" s="72">
        <v>17</v>
      </c>
      <c r="AF59" s="72">
        <v>17</v>
      </c>
      <c r="AG59" s="61">
        <v>24</v>
      </c>
      <c r="AH59" s="52">
        <f t="shared" si="2"/>
        <v>17</v>
      </c>
      <c r="AI59" s="53">
        <f t="shared" si="3"/>
        <v>9.5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7.5</v>
      </c>
      <c r="C61" s="72">
        <v>7.5</v>
      </c>
      <c r="D61" s="72">
        <v>7.5</v>
      </c>
      <c r="E61" s="72">
        <v>7.5</v>
      </c>
      <c r="F61" s="72">
        <v>7.5</v>
      </c>
      <c r="G61" s="72">
        <v>7.5</v>
      </c>
      <c r="H61" s="72">
        <v>7.5</v>
      </c>
      <c r="I61" s="72">
        <v>7.5</v>
      </c>
      <c r="J61" s="72">
        <v>7.5</v>
      </c>
      <c r="K61" s="72">
        <v>7.5</v>
      </c>
      <c r="L61" s="72">
        <v>7.5</v>
      </c>
      <c r="M61" s="72">
        <v>11</v>
      </c>
      <c r="N61" s="72">
        <v>11</v>
      </c>
      <c r="O61" s="72">
        <v>7.5</v>
      </c>
      <c r="P61" s="72">
        <v>7.5</v>
      </c>
      <c r="Q61" s="72">
        <v>7.5</v>
      </c>
      <c r="R61" s="72">
        <v>7.6</v>
      </c>
      <c r="S61" s="72">
        <v>7.6</v>
      </c>
      <c r="T61" s="72">
        <v>7.6</v>
      </c>
      <c r="U61" s="72">
        <v>7.6</v>
      </c>
      <c r="V61" s="72">
        <v>7.6</v>
      </c>
      <c r="W61" s="72">
        <v>7.6</v>
      </c>
      <c r="X61" s="72">
        <v>7.6</v>
      </c>
      <c r="Y61" s="72">
        <v>7.6</v>
      </c>
      <c r="Z61" s="72">
        <v>7.6</v>
      </c>
      <c r="AA61" s="72">
        <v>7.6</v>
      </c>
      <c r="AB61" s="72">
        <v>7.6</v>
      </c>
      <c r="AC61" s="72">
        <v>7.6</v>
      </c>
      <c r="AD61" s="72">
        <v>7.6</v>
      </c>
      <c r="AE61" s="72">
        <v>7.6</v>
      </c>
      <c r="AF61" s="72">
        <v>7.6</v>
      </c>
      <c r="AG61" s="61">
        <v>14.1</v>
      </c>
      <c r="AH61" s="52">
        <f t="shared" si="2"/>
        <v>11</v>
      </c>
      <c r="AI61" s="53">
        <f t="shared" si="3"/>
        <v>7.5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3.4</v>
      </c>
      <c r="C62" s="72">
        <v>3.4</v>
      </c>
      <c r="D62" s="72">
        <v>3.4</v>
      </c>
      <c r="E62" s="72">
        <v>3.4</v>
      </c>
      <c r="F62" s="72">
        <v>3.4</v>
      </c>
      <c r="G62" s="72">
        <v>3.4</v>
      </c>
      <c r="H62" s="72">
        <v>3.4</v>
      </c>
      <c r="I62" s="72">
        <v>3.4</v>
      </c>
      <c r="J62" s="72">
        <v>3.4</v>
      </c>
      <c r="K62" s="72">
        <v>3.4</v>
      </c>
      <c r="L62" s="72">
        <v>3.4</v>
      </c>
      <c r="M62" s="72">
        <v>3.4</v>
      </c>
      <c r="N62" s="72">
        <v>3.4</v>
      </c>
      <c r="O62" s="72">
        <v>3.4</v>
      </c>
      <c r="P62" s="72">
        <v>3.4</v>
      </c>
      <c r="Q62" s="72">
        <v>3.4</v>
      </c>
      <c r="R62" s="72">
        <v>3.4</v>
      </c>
      <c r="S62" s="72">
        <v>3.4</v>
      </c>
      <c r="T62" s="72">
        <v>3.4</v>
      </c>
      <c r="U62" s="72">
        <v>3.4</v>
      </c>
      <c r="V62" s="72">
        <v>3.4</v>
      </c>
      <c r="W62" s="72">
        <v>3.4</v>
      </c>
      <c r="X62" s="72">
        <v>3.4</v>
      </c>
      <c r="Y62" s="72">
        <v>3.4</v>
      </c>
      <c r="Z62" s="72">
        <v>3.4</v>
      </c>
      <c r="AA62" s="72">
        <v>3.4</v>
      </c>
      <c r="AB62" s="72">
        <v>3.4</v>
      </c>
      <c r="AC62" s="72">
        <v>3.4</v>
      </c>
      <c r="AD62" s="72">
        <v>3.4</v>
      </c>
      <c r="AE62" s="72">
        <v>3.4</v>
      </c>
      <c r="AF62" s="72">
        <v>3.4</v>
      </c>
      <c r="AG62" s="61">
        <v>14</v>
      </c>
      <c r="AH62" s="52">
        <f t="shared" si="2"/>
        <v>3.4</v>
      </c>
      <c r="AI62" s="53">
        <f t="shared" si="3"/>
        <v>3.4</v>
      </c>
      <c r="AK62" s="54"/>
    </row>
    <row r="63" spans="1:41" x14ac:dyDescent="0.25">
      <c r="A63" s="60" t="s">
        <v>67</v>
      </c>
      <c r="B63" s="72">
        <v>2.4</v>
      </c>
      <c r="C63" s="72">
        <v>2.4</v>
      </c>
      <c r="D63" s="72">
        <v>2.4</v>
      </c>
      <c r="E63" s="72">
        <v>2.4</v>
      </c>
      <c r="F63" s="72">
        <v>2.4</v>
      </c>
      <c r="G63" s="72">
        <v>2.4</v>
      </c>
      <c r="H63" s="72">
        <v>2.4</v>
      </c>
      <c r="I63" s="72">
        <v>2.4</v>
      </c>
      <c r="J63" s="72">
        <v>2.4</v>
      </c>
      <c r="K63" s="72">
        <v>2.4</v>
      </c>
      <c r="L63" s="72">
        <v>2.4</v>
      </c>
      <c r="M63" s="72">
        <v>2.4</v>
      </c>
      <c r="N63" s="72">
        <v>2.4</v>
      </c>
      <c r="O63" s="72">
        <v>2.4</v>
      </c>
      <c r="P63" s="72">
        <v>2.4</v>
      </c>
      <c r="Q63" s="72">
        <v>2.4</v>
      </c>
      <c r="R63" s="72">
        <v>2.4</v>
      </c>
      <c r="S63" s="72">
        <v>2.4</v>
      </c>
      <c r="T63" s="72">
        <v>2.4</v>
      </c>
      <c r="U63" s="72">
        <v>2.4</v>
      </c>
      <c r="V63" s="72">
        <v>2.4</v>
      </c>
      <c r="W63" s="72">
        <v>2.4</v>
      </c>
      <c r="X63" s="72">
        <v>2.4</v>
      </c>
      <c r="Y63" s="72">
        <v>2.4</v>
      </c>
      <c r="Z63" s="72">
        <v>2.4</v>
      </c>
      <c r="AA63" s="72">
        <v>2.4</v>
      </c>
      <c r="AB63" s="72">
        <v>2.4</v>
      </c>
      <c r="AC63" s="72">
        <v>2.4</v>
      </c>
      <c r="AD63" s="72">
        <v>2.4</v>
      </c>
      <c r="AE63" s="72">
        <v>2.4</v>
      </c>
      <c r="AF63" s="72">
        <v>2.4</v>
      </c>
      <c r="AG63" s="61">
        <v>10.050000000000001</v>
      </c>
      <c r="AH63" s="52">
        <f t="shared" si="2"/>
        <v>2.4</v>
      </c>
      <c r="AI63" s="53">
        <f t="shared" si="3"/>
        <v>2.4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" si="14">SUM(B53:B65)</f>
        <v>109.64</v>
      </c>
      <c r="C66" s="67">
        <f t="shared" ref="C66:AG66" si="15">SUM(C53:C65)</f>
        <v>86.440000000000012</v>
      </c>
      <c r="D66" s="67">
        <f t="shared" si="15"/>
        <v>88.240000000000009</v>
      </c>
      <c r="E66" s="67">
        <f t="shared" si="15"/>
        <v>87.04</v>
      </c>
      <c r="F66" s="67">
        <f t="shared" si="15"/>
        <v>87.340000000000018</v>
      </c>
      <c r="G66" s="67">
        <f t="shared" si="15"/>
        <v>86.940000000000012</v>
      </c>
      <c r="H66" s="67">
        <f t="shared" si="15"/>
        <v>140.44</v>
      </c>
      <c r="I66" s="67">
        <f t="shared" si="15"/>
        <v>162.54000000000002</v>
      </c>
      <c r="J66" s="67">
        <f t="shared" si="15"/>
        <v>241.54</v>
      </c>
      <c r="K66" s="67">
        <f t="shared" si="15"/>
        <v>244.43999999999997</v>
      </c>
      <c r="L66" s="67">
        <f t="shared" si="15"/>
        <v>194.34</v>
      </c>
      <c r="M66" s="67">
        <f t="shared" si="15"/>
        <v>188.84</v>
      </c>
      <c r="N66" s="67">
        <f t="shared" si="15"/>
        <v>102.64</v>
      </c>
      <c r="O66" s="67">
        <f t="shared" si="15"/>
        <v>99.04</v>
      </c>
      <c r="P66" s="67">
        <f t="shared" si="15"/>
        <v>99.04</v>
      </c>
      <c r="Q66" s="67">
        <f t="shared" si="15"/>
        <v>194.33999999999997</v>
      </c>
      <c r="R66" s="67">
        <f t="shared" si="15"/>
        <v>193.94</v>
      </c>
      <c r="S66" s="67">
        <f t="shared" ref="S66" si="16">SUM(S53:S65)</f>
        <v>226.54</v>
      </c>
      <c r="T66" s="67">
        <f t="shared" si="15"/>
        <v>226.54</v>
      </c>
      <c r="U66" s="67">
        <f t="shared" ref="U66:V66" si="17">SUM(U53:U65)</f>
        <v>226.54</v>
      </c>
      <c r="V66" s="67">
        <f t="shared" si="17"/>
        <v>185.54</v>
      </c>
      <c r="W66" s="67">
        <f t="shared" si="15"/>
        <v>178.14</v>
      </c>
      <c r="X66" s="67">
        <f t="shared" ref="X66" si="18">SUM(X53:X65)</f>
        <v>198.54</v>
      </c>
      <c r="Y66" s="67">
        <f t="shared" si="15"/>
        <v>251.83999999999997</v>
      </c>
      <c r="Z66" s="67">
        <v>279.94</v>
      </c>
      <c r="AA66" s="67">
        <v>279.94</v>
      </c>
      <c r="AB66" s="67">
        <f t="shared" si="15"/>
        <v>252.23999999999998</v>
      </c>
      <c r="AC66" s="67">
        <f t="shared" si="15"/>
        <v>226.43999999999997</v>
      </c>
      <c r="AD66" s="67">
        <f t="shared" si="15"/>
        <v>257.54000000000002</v>
      </c>
      <c r="AE66" s="67">
        <f t="shared" si="15"/>
        <v>197.54</v>
      </c>
      <c r="AF66" s="67">
        <f t="shared" si="15"/>
        <v>122.24000000000001</v>
      </c>
      <c r="AG66" s="68">
        <f t="shared" si="15"/>
        <v>489.91</v>
      </c>
      <c r="AH66" s="52">
        <f t="shared" si="2"/>
        <v>279.94</v>
      </c>
      <c r="AI66" s="53">
        <f t="shared" si="3"/>
        <v>86.440000000000012</v>
      </c>
      <c r="AK66" s="54"/>
    </row>
    <row r="67" spans="1:40" x14ac:dyDescent="0.25">
      <c r="A67" s="49" t="s">
        <v>71</v>
      </c>
      <c r="B67" s="50">
        <v>60</v>
      </c>
      <c r="C67" s="50">
        <v>60</v>
      </c>
      <c r="D67" s="50">
        <v>30</v>
      </c>
      <c r="E67" s="50">
        <v>30</v>
      </c>
      <c r="F67" s="50">
        <v>14</v>
      </c>
      <c r="G67" s="50">
        <v>45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50</v>
      </c>
      <c r="N67" s="50">
        <v>60</v>
      </c>
      <c r="O67" s="50">
        <v>40</v>
      </c>
      <c r="P67" s="50">
        <v>30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20</v>
      </c>
      <c r="Y67" s="50">
        <v>40</v>
      </c>
      <c r="Z67" s="50">
        <v>30</v>
      </c>
      <c r="AA67" s="50">
        <v>14</v>
      </c>
      <c r="AB67" s="50">
        <v>14</v>
      </c>
      <c r="AC67" s="50">
        <v>14</v>
      </c>
      <c r="AD67" s="50">
        <v>14</v>
      </c>
      <c r="AE67" s="50">
        <v>30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14</v>
      </c>
      <c r="AK67" s="54"/>
    </row>
    <row r="68" spans="1:40" x14ac:dyDescent="0.25">
      <c r="A68" s="60" t="s">
        <v>72</v>
      </c>
      <c r="B68" s="50">
        <v>26.5</v>
      </c>
      <c r="C68" s="50">
        <v>26.5</v>
      </c>
      <c r="D68" s="72">
        <v>11.5</v>
      </c>
      <c r="E68" s="72">
        <v>14.3</v>
      </c>
      <c r="F68" s="72">
        <v>4.0999999999999996</v>
      </c>
      <c r="G68" s="72">
        <v>18.399999999999999</v>
      </c>
      <c r="H68" s="72">
        <v>27.4</v>
      </c>
      <c r="I68" s="72">
        <v>27.5</v>
      </c>
      <c r="J68" s="72">
        <v>27.4</v>
      </c>
      <c r="K68" s="72">
        <v>27.4</v>
      </c>
      <c r="L68" s="72">
        <v>27.3</v>
      </c>
      <c r="M68" s="72">
        <v>27.3</v>
      </c>
      <c r="N68" s="72">
        <v>19.2</v>
      </c>
      <c r="O68" s="72">
        <v>15.8</v>
      </c>
      <c r="P68" s="72">
        <v>15.8</v>
      </c>
      <c r="Q68" s="72">
        <v>27.6</v>
      </c>
      <c r="R68" s="50">
        <v>27.6</v>
      </c>
      <c r="S68" s="50">
        <v>27.6</v>
      </c>
      <c r="T68" s="50">
        <v>27.6</v>
      </c>
      <c r="U68" s="50">
        <v>27.6</v>
      </c>
      <c r="V68" s="50">
        <v>27.6</v>
      </c>
      <c r="W68" s="72">
        <v>16.100000000000001</v>
      </c>
      <c r="X68" s="72">
        <v>15.2</v>
      </c>
      <c r="Y68" s="72">
        <v>17.399999999999999</v>
      </c>
      <c r="Z68" s="72">
        <v>16.7</v>
      </c>
      <c r="AA68" s="72">
        <v>5.5</v>
      </c>
      <c r="AB68" s="72">
        <v>5.5</v>
      </c>
      <c r="AC68" s="72">
        <v>5</v>
      </c>
      <c r="AD68" s="72">
        <v>5</v>
      </c>
      <c r="AE68" s="72">
        <v>13</v>
      </c>
      <c r="AF68" s="72">
        <v>28</v>
      </c>
      <c r="AG68" s="61">
        <v>32</v>
      </c>
      <c r="AH68" s="52">
        <f t="shared" si="2"/>
        <v>28</v>
      </c>
      <c r="AI68" s="53">
        <f t="shared" si="3"/>
        <v>4.0999999999999996</v>
      </c>
      <c r="AK68" s="54"/>
    </row>
    <row r="69" spans="1:40" ht="15.75" thickBot="1" x14ac:dyDescent="0.3">
      <c r="A69" s="78" t="s">
        <v>73</v>
      </c>
      <c r="B69" s="50">
        <v>9.6999999999999993</v>
      </c>
      <c r="C69" s="50">
        <v>9.6999999999999993</v>
      </c>
      <c r="D69" s="74">
        <v>4.2</v>
      </c>
      <c r="E69" s="74">
        <v>4.2</v>
      </c>
      <c r="F69" s="74">
        <v>1.5</v>
      </c>
      <c r="G69" s="74">
        <v>6.8</v>
      </c>
      <c r="H69" s="74">
        <v>10</v>
      </c>
      <c r="I69" s="74">
        <v>10</v>
      </c>
      <c r="J69" s="74">
        <v>10</v>
      </c>
      <c r="K69" s="74">
        <v>10</v>
      </c>
      <c r="L69" s="74">
        <v>10</v>
      </c>
      <c r="M69" s="74">
        <v>9.5</v>
      </c>
      <c r="N69" s="74">
        <v>7</v>
      </c>
      <c r="O69" s="74">
        <v>5.8</v>
      </c>
      <c r="P69" s="74">
        <v>5.8</v>
      </c>
      <c r="Q69" s="74">
        <v>10.1</v>
      </c>
      <c r="R69" s="50">
        <v>10.1</v>
      </c>
      <c r="S69" s="50">
        <v>10.1</v>
      </c>
      <c r="T69" s="50">
        <v>10.1</v>
      </c>
      <c r="U69" s="50">
        <v>10.1</v>
      </c>
      <c r="V69" s="50">
        <v>10.1</v>
      </c>
      <c r="W69" s="74">
        <v>5.9</v>
      </c>
      <c r="X69" s="74">
        <v>5.5</v>
      </c>
      <c r="Y69" s="74">
        <v>6.3</v>
      </c>
      <c r="Z69" s="74">
        <v>6.1</v>
      </c>
      <c r="AA69" s="74">
        <v>2</v>
      </c>
      <c r="AB69" s="74">
        <v>2</v>
      </c>
      <c r="AC69" s="74">
        <v>1.7</v>
      </c>
      <c r="AD69" s="74">
        <v>1.7</v>
      </c>
      <c r="AE69" s="74">
        <v>5</v>
      </c>
      <c r="AF69" s="74">
        <v>10.199999999999999</v>
      </c>
      <c r="AG69" s="75">
        <v>14</v>
      </c>
      <c r="AH69" s="52">
        <f t="shared" si="2"/>
        <v>10.199999999999999</v>
      </c>
      <c r="AI69" s="53">
        <f t="shared" si="3"/>
        <v>1.5</v>
      </c>
      <c r="AK69" s="54"/>
    </row>
    <row r="70" spans="1:40" ht="15.75" thickBot="1" x14ac:dyDescent="0.3">
      <c r="A70" s="81" t="s">
        <v>74</v>
      </c>
      <c r="B70" s="67">
        <f t="shared" ref="B70" si="19">B67+B68+B69</f>
        <v>96.2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97.3</v>
      </c>
      <c r="M70" s="67">
        <f t="shared" ref="M70:AF70" si="20">M67+M68+M69</f>
        <v>86.8</v>
      </c>
      <c r="N70" s="67">
        <f t="shared" si="20"/>
        <v>86.2</v>
      </c>
      <c r="O70" s="67">
        <f t="shared" si="20"/>
        <v>61.599999999999994</v>
      </c>
      <c r="P70" s="67">
        <f t="shared" si="20"/>
        <v>51.599999999999994</v>
      </c>
      <c r="Q70" s="67">
        <f t="shared" si="20"/>
        <v>97.699999999999989</v>
      </c>
      <c r="R70" s="67">
        <f t="shared" si="20"/>
        <v>97.699999999999989</v>
      </c>
      <c r="S70" s="67">
        <f t="shared" si="20"/>
        <v>97.699999999999989</v>
      </c>
      <c r="T70" s="67">
        <f t="shared" si="20"/>
        <v>97.699999999999989</v>
      </c>
      <c r="U70" s="67">
        <f t="shared" ref="U70:V70" si="21">U67+U68+U69</f>
        <v>97.699999999999989</v>
      </c>
      <c r="V70" s="67">
        <f t="shared" si="21"/>
        <v>97.699999999999989</v>
      </c>
      <c r="W70" s="67">
        <f t="shared" si="20"/>
        <v>82</v>
      </c>
      <c r="X70" s="67">
        <f t="shared" ref="X70" si="22">X67+X68+X69</f>
        <v>40.700000000000003</v>
      </c>
      <c r="Y70" s="67">
        <f t="shared" si="20"/>
        <v>63.699999999999996</v>
      </c>
      <c r="Z70" s="67">
        <v>52.800000000000004</v>
      </c>
      <c r="AA70" s="67">
        <v>52.800000000000004</v>
      </c>
      <c r="AB70" s="67">
        <f t="shared" si="20"/>
        <v>21.5</v>
      </c>
      <c r="AC70" s="67">
        <f t="shared" si="20"/>
        <v>20.7</v>
      </c>
      <c r="AD70" s="67">
        <f t="shared" si="20"/>
        <v>20.7</v>
      </c>
      <c r="AE70" s="67">
        <f t="shared" si="20"/>
        <v>48</v>
      </c>
      <c r="AF70" s="67">
        <f t="shared" si="20"/>
        <v>98.2</v>
      </c>
      <c r="AG70" s="68">
        <f>SUM(AG67:AG69)</f>
        <v>106</v>
      </c>
      <c r="AH70" s="52">
        <f t="shared" si="2"/>
        <v>98.2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62</v>
      </c>
      <c r="C71" s="50">
        <v>63.6</v>
      </c>
      <c r="D71" s="50">
        <v>65.2</v>
      </c>
      <c r="E71" s="50">
        <v>66</v>
      </c>
      <c r="F71" s="50">
        <v>65.3</v>
      </c>
      <c r="G71" s="50">
        <v>62.3</v>
      </c>
      <c r="H71" s="50">
        <v>74</v>
      </c>
      <c r="I71" s="50">
        <v>76</v>
      </c>
      <c r="J71" s="50">
        <v>70.900000000000006</v>
      </c>
      <c r="K71" s="50">
        <v>62</v>
      </c>
      <c r="L71" s="50">
        <v>62</v>
      </c>
      <c r="M71" s="50">
        <v>59.6</v>
      </c>
      <c r="N71" s="50">
        <v>63</v>
      </c>
      <c r="O71" s="50">
        <v>64.8</v>
      </c>
      <c r="P71" s="50">
        <v>64.8</v>
      </c>
      <c r="Q71" s="50">
        <v>66.8</v>
      </c>
      <c r="R71" s="50">
        <v>61</v>
      </c>
      <c r="S71" s="50">
        <v>61</v>
      </c>
      <c r="T71" s="50">
        <v>67</v>
      </c>
      <c r="U71" s="50">
        <v>67</v>
      </c>
      <c r="V71" s="50">
        <v>60.8</v>
      </c>
      <c r="W71" s="50">
        <v>66.099999999999994</v>
      </c>
      <c r="X71" s="50">
        <v>64.7</v>
      </c>
      <c r="Y71" s="50">
        <v>62.9</v>
      </c>
      <c r="Z71" s="50">
        <v>53.9</v>
      </c>
      <c r="AA71" s="50">
        <v>55.1</v>
      </c>
      <c r="AB71" s="50">
        <v>54.3</v>
      </c>
      <c r="AC71" s="50">
        <v>66.400000000000006</v>
      </c>
      <c r="AD71" s="50">
        <v>61.2</v>
      </c>
      <c r="AE71" s="50">
        <v>74</v>
      </c>
      <c r="AF71" s="50">
        <v>66.5</v>
      </c>
      <c r="AG71" s="56"/>
      <c r="AH71" s="52">
        <f t="shared" si="2"/>
        <v>76</v>
      </c>
      <c r="AI71" s="53">
        <f t="shared" si="3"/>
        <v>53.9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357.3</v>
      </c>
      <c r="C73" s="72">
        <v>430.6</v>
      </c>
      <c r="D73" s="72">
        <v>410.3</v>
      </c>
      <c r="E73" s="72">
        <v>416.9</v>
      </c>
      <c r="F73" s="72">
        <v>440.2</v>
      </c>
      <c r="G73" s="72">
        <v>429.1</v>
      </c>
      <c r="H73" s="72">
        <v>419.6</v>
      </c>
      <c r="I73" s="72">
        <v>412</v>
      </c>
      <c r="J73" s="72">
        <v>404</v>
      </c>
      <c r="K73" s="72">
        <v>339</v>
      </c>
      <c r="L73" s="72">
        <v>331</v>
      </c>
      <c r="M73" s="72">
        <v>347.5</v>
      </c>
      <c r="N73" s="72">
        <v>345.9</v>
      </c>
      <c r="O73" s="72">
        <v>330.8</v>
      </c>
      <c r="P73" s="72">
        <v>330.8</v>
      </c>
      <c r="Q73" s="72">
        <v>396</v>
      </c>
      <c r="R73" s="72">
        <v>345.9</v>
      </c>
      <c r="S73" s="72">
        <v>355</v>
      </c>
      <c r="T73" s="72">
        <v>370</v>
      </c>
      <c r="U73" s="72">
        <v>370</v>
      </c>
      <c r="V73" s="72">
        <v>358</v>
      </c>
      <c r="W73" s="72">
        <v>365</v>
      </c>
      <c r="X73" s="72">
        <v>335</v>
      </c>
      <c r="Y73" s="72">
        <v>316</v>
      </c>
      <c r="Z73" s="72">
        <v>340</v>
      </c>
      <c r="AA73" s="72">
        <v>208</v>
      </c>
      <c r="AB73" s="72">
        <v>247.8</v>
      </c>
      <c r="AC73" s="72">
        <v>316</v>
      </c>
      <c r="AD73" s="72">
        <v>313</v>
      </c>
      <c r="AE73" s="72">
        <v>362</v>
      </c>
      <c r="AF73" s="72">
        <v>331</v>
      </c>
      <c r="AG73" s="82"/>
      <c r="AH73" s="52">
        <f t="shared" si="2"/>
        <v>440.2</v>
      </c>
      <c r="AI73" s="53">
        <f t="shared" si="3"/>
        <v>208</v>
      </c>
      <c r="AK73" s="54"/>
    </row>
    <row r="74" spans="1:40" x14ac:dyDescent="0.25">
      <c r="A74" s="60" t="s">
        <v>78</v>
      </c>
      <c r="B74" s="72">
        <v>52.2</v>
      </c>
      <c r="C74" s="72">
        <v>52.3</v>
      </c>
      <c r="D74" s="72">
        <v>51.6</v>
      </c>
      <c r="E74" s="83">
        <v>53.6</v>
      </c>
      <c r="F74" s="83">
        <v>50.9</v>
      </c>
      <c r="G74" s="83">
        <v>51.4</v>
      </c>
      <c r="H74" s="83">
        <v>53.1</v>
      </c>
      <c r="I74" s="83">
        <v>62</v>
      </c>
      <c r="J74" s="83">
        <v>56.6</v>
      </c>
      <c r="K74" s="83">
        <v>56.5</v>
      </c>
      <c r="L74" s="83">
        <v>59</v>
      </c>
      <c r="M74" s="83">
        <v>58</v>
      </c>
      <c r="N74" s="83">
        <v>57.1</v>
      </c>
      <c r="O74" s="83">
        <v>59.2</v>
      </c>
      <c r="P74" s="83">
        <v>59.2</v>
      </c>
      <c r="Q74" s="83">
        <v>60.4</v>
      </c>
      <c r="R74" s="83">
        <v>58</v>
      </c>
      <c r="S74" s="83">
        <v>58</v>
      </c>
      <c r="T74" s="83">
        <v>58</v>
      </c>
      <c r="U74" s="83">
        <v>58</v>
      </c>
      <c r="V74" s="83">
        <v>58</v>
      </c>
      <c r="W74" s="83">
        <v>58</v>
      </c>
      <c r="X74" s="83">
        <v>58</v>
      </c>
      <c r="Y74" s="72">
        <v>59</v>
      </c>
      <c r="Z74" s="72">
        <v>59</v>
      </c>
      <c r="AA74" s="72">
        <v>58.7</v>
      </c>
      <c r="AB74" s="72">
        <v>59</v>
      </c>
      <c r="AC74" s="72">
        <v>61</v>
      </c>
      <c r="AD74" s="72">
        <v>60.8</v>
      </c>
      <c r="AE74" s="72">
        <v>59</v>
      </c>
      <c r="AF74" s="72">
        <v>59</v>
      </c>
      <c r="AG74" s="82"/>
      <c r="AH74" s="52">
        <f t="shared" si="2"/>
        <v>62</v>
      </c>
      <c r="AI74" s="53">
        <f t="shared" si="3"/>
        <v>50.9</v>
      </c>
      <c r="AK74" s="54"/>
    </row>
    <row r="75" spans="1:40" x14ac:dyDescent="0.25">
      <c r="A75" s="60" t="s">
        <v>79</v>
      </c>
      <c r="B75" s="50">
        <v>28.9</v>
      </c>
      <c r="C75" s="50">
        <v>29.1</v>
      </c>
      <c r="D75" s="50">
        <v>29.33</v>
      </c>
      <c r="E75" s="50">
        <v>29</v>
      </c>
      <c r="F75" s="50">
        <v>28.6</v>
      </c>
      <c r="G75" s="50">
        <v>27.7</v>
      </c>
      <c r="H75" s="50">
        <v>27.2</v>
      </c>
      <c r="I75" s="50">
        <v>26.5</v>
      </c>
      <c r="J75" s="50">
        <v>28.6</v>
      </c>
      <c r="K75" s="50">
        <v>28.38</v>
      </c>
      <c r="L75" s="50">
        <v>30.3</v>
      </c>
      <c r="M75" s="50">
        <v>31.5</v>
      </c>
      <c r="N75" s="50">
        <v>59.2</v>
      </c>
      <c r="O75" s="50">
        <v>31.3</v>
      </c>
      <c r="P75" s="50">
        <v>31.3</v>
      </c>
      <c r="Q75" s="50">
        <v>35.700000000000003</v>
      </c>
      <c r="R75" s="50">
        <v>34.299999999999997</v>
      </c>
      <c r="S75" s="50">
        <v>34.299999999999997</v>
      </c>
      <c r="T75" s="50">
        <v>34</v>
      </c>
      <c r="U75" s="50">
        <v>34</v>
      </c>
      <c r="V75" s="50">
        <v>34</v>
      </c>
      <c r="W75" s="50">
        <v>28.4</v>
      </c>
      <c r="X75" s="50">
        <v>82.8</v>
      </c>
      <c r="Y75" s="50">
        <v>74.8</v>
      </c>
      <c r="Z75" s="50">
        <v>74.8</v>
      </c>
      <c r="AA75" s="50">
        <v>81.7</v>
      </c>
      <c r="AB75" s="50">
        <v>85.5</v>
      </c>
      <c r="AC75" s="50">
        <v>83</v>
      </c>
      <c r="AD75" s="50">
        <v>0</v>
      </c>
      <c r="AE75" s="50">
        <v>25</v>
      </c>
      <c r="AF75" s="50">
        <v>26.5</v>
      </c>
      <c r="AG75" s="82"/>
      <c r="AH75" s="52">
        <f t="shared" ref="AH75:AH117" si="23">MAX(B75:AF75)</f>
        <v>85.5</v>
      </c>
      <c r="AI75" s="53">
        <f t="shared" ref="AI75:AI117" si="24">MIN(B75:AF75)</f>
        <v>0</v>
      </c>
      <c r="AK75" s="54"/>
    </row>
    <row r="76" spans="1:40" x14ac:dyDescent="0.25">
      <c r="A76" s="60" t="s">
        <v>80</v>
      </c>
      <c r="B76" s="84">
        <v>6</v>
      </c>
      <c r="C76" s="84">
        <v>6</v>
      </c>
      <c r="D76" s="84">
        <v>6</v>
      </c>
      <c r="E76" s="84">
        <v>6</v>
      </c>
      <c r="F76" s="84">
        <v>6</v>
      </c>
      <c r="G76" s="84">
        <v>6</v>
      </c>
      <c r="H76" s="84">
        <v>6</v>
      </c>
      <c r="I76" s="84">
        <v>6</v>
      </c>
      <c r="J76" s="84">
        <v>6</v>
      </c>
      <c r="K76" s="84">
        <v>6</v>
      </c>
      <c r="L76" s="84">
        <v>6</v>
      </c>
      <c r="M76" s="84">
        <v>5.5</v>
      </c>
      <c r="N76" s="84">
        <v>5.5</v>
      </c>
      <c r="O76" s="84">
        <v>5.5</v>
      </c>
      <c r="P76" s="84">
        <v>5.5</v>
      </c>
      <c r="Q76" s="84">
        <v>5.5</v>
      </c>
      <c r="R76" s="84">
        <v>5.5</v>
      </c>
      <c r="S76" s="84">
        <v>5.5</v>
      </c>
      <c r="T76" s="84">
        <v>5.5</v>
      </c>
      <c r="U76" s="84">
        <v>5.5</v>
      </c>
      <c r="V76" s="84">
        <v>5.5</v>
      </c>
      <c r="W76" s="84">
        <v>5.5</v>
      </c>
      <c r="X76" s="84">
        <v>5.5</v>
      </c>
      <c r="Y76" s="84">
        <v>6</v>
      </c>
      <c r="Z76" s="84">
        <v>6</v>
      </c>
      <c r="AA76" s="84">
        <v>6</v>
      </c>
      <c r="AB76" s="84">
        <v>6</v>
      </c>
      <c r="AC76" s="84">
        <v>6</v>
      </c>
      <c r="AD76" s="84">
        <v>6</v>
      </c>
      <c r="AE76" s="84">
        <v>6</v>
      </c>
      <c r="AF76" s="84">
        <v>6</v>
      </c>
      <c r="AG76" s="82"/>
      <c r="AH76" s="52">
        <f t="shared" si="23"/>
        <v>6</v>
      </c>
      <c r="AI76" s="53">
        <f t="shared" si="24"/>
        <v>5.5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23"/>
        <v>0</v>
      </c>
      <c r="AI77" s="53">
        <f t="shared" si="24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4.2</v>
      </c>
      <c r="O78" s="84">
        <v>4.5</v>
      </c>
      <c r="P78" s="84">
        <v>4.5</v>
      </c>
      <c r="Q78" s="84">
        <v>4.5</v>
      </c>
      <c r="R78" s="84">
        <v>5</v>
      </c>
      <c r="S78" s="84">
        <v>5</v>
      </c>
      <c r="T78" s="84">
        <v>5</v>
      </c>
      <c r="U78" s="84">
        <v>5</v>
      </c>
      <c r="V78" s="84">
        <v>5</v>
      </c>
      <c r="W78" s="84">
        <v>5</v>
      </c>
      <c r="X78" s="84">
        <v>5</v>
      </c>
      <c r="Y78" s="84">
        <v>5</v>
      </c>
      <c r="Z78" s="84">
        <v>5</v>
      </c>
      <c r="AA78" s="84">
        <v>5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23"/>
        <v>5</v>
      </c>
      <c r="AI78" s="53">
        <f t="shared" si="24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23"/>
        <v>0</v>
      </c>
      <c r="AI79" s="53">
        <f t="shared" si="24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23"/>
        <v>0</v>
      </c>
      <c r="AI80" s="53">
        <f t="shared" si="24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23"/>
        <v>0</v>
      </c>
      <c r="AI81" s="53">
        <f t="shared" si="24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25">SUMIF(B71:B81,"&gt;0")</f>
        <v>506.4</v>
      </c>
      <c r="C82" s="67">
        <f t="shared" ref="C82:AF82" si="26">SUMIF(C71:C81,"&gt;0")</f>
        <v>581.6</v>
      </c>
      <c r="D82" s="67">
        <f t="shared" si="26"/>
        <v>562.43000000000006</v>
      </c>
      <c r="E82" s="67">
        <f t="shared" si="26"/>
        <v>571.5</v>
      </c>
      <c r="F82" s="67">
        <f t="shared" si="26"/>
        <v>591</v>
      </c>
      <c r="G82" s="67">
        <f t="shared" si="26"/>
        <v>576.50000000000011</v>
      </c>
      <c r="H82" s="67">
        <f t="shared" si="26"/>
        <v>579.90000000000009</v>
      </c>
      <c r="I82" s="67">
        <f t="shared" si="26"/>
        <v>582.5</v>
      </c>
      <c r="J82" s="67">
        <f t="shared" si="26"/>
        <v>566.1</v>
      </c>
      <c r="K82" s="67">
        <f t="shared" si="26"/>
        <v>491.88</v>
      </c>
      <c r="L82" s="67">
        <f t="shared" si="26"/>
        <v>488.3</v>
      </c>
      <c r="M82" s="67">
        <f t="shared" si="26"/>
        <v>502.1</v>
      </c>
      <c r="N82" s="67">
        <f t="shared" si="26"/>
        <v>534.90000000000009</v>
      </c>
      <c r="O82" s="67">
        <f t="shared" si="26"/>
        <v>496.1</v>
      </c>
      <c r="P82" s="67">
        <f t="shared" si="26"/>
        <v>496.1</v>
      </c>
      <c r="Q82" s="67">
        <f t="shared" si="26"/>
        <v>568.90000000000009</v>
      </c>
      <c r="R82" s="67">
        <f t="shared" si="26"/>
        <v>509.7</v>
      </c>
      <c r="S82" s="67">
        <f t="shared" si="26"/>
        <v>518.79999999999995</v>
      </c>
      <c r="T82" s="67">
        <f t="shared" si="26"/>
        <v>539.5</v>
      </c>
      <c r="U82" s="67">
        <f t="shared" ref="U82:V82" si="27">SUMIF(U71:U81,"&gt;0")</f>
        <v>539.5</v>
      </c>
      <c r="V82" s="67">
        <f t="shared" si="27"/>
        <v>521.29999999999995</v>
      </c>
      <c r="W82" s="67">
        <f t="shared" si="26"/>
        <v>528</v>
      </c>
      <c r="X82" s="67">
        <f t="shared" si="26"/>
        <v>551</v>
      </c>
      <c r="Y82" s="67">
        <f t="shared" si="26"/>
        <v>523.69999999999993</v>
      </c>
      <c r="Z82" s="67">
        <v>538.69999999999993</v>
      </c>
      <c r="AA82" s="67">
        <v>538.69999999999993</v>
      </c>
      <c r="AB82" s="67">
        <f t="shared" si="26"/>
        <v>452.6</v>
      </c>
      <c r="AC82" s="67">
        <f t="shared" si="26"/>
        <v>532.4</v>
      </c>
      <c r="AD82" s="67">
        <f t="shared" si="26"/>
        <v>441</v>
      </c>
      <c r="AE82" s="67">
        <f t="shared" si="26"/>
        <v>526</v>
      </c>
      <c r="AF82" s="67">
        <f t="shared" si="26"/>
        <v>489</v>
      </c>
      <c r="AG82" s="95">
        <f>SUM(AG71:AG81)</f>
        <v>0</v>
      </c>
      <c r="AH82" s="52">
        <f t="shared" si="23"/>
        <v>591</v>
      </c>
      <c r="AI82" s="53">
        <f t="shared" si="24"/>
        <v>441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3"/>
        <v>0</v>
      </c>
      <c r="AI83" s="53">
        <f t="shared" si="24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3"/>
        <v>0</v>
      </c>
      <c r="AI84" s="53">
        <f t="shared" si="24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3"/>
        <v>0</v>
      </c>
      <c r="AI85" s="53">
        <f t="shared" si="24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>
        <v>0</v>
      </c>
      <c r="AA86" s="67">
        <v>0</v>
      </c>
      <c r="AB86" s="67"/>
      <c r="AC86" s="67"/>
      <c r="AD86" s="67"/>
      <c r="AE86" s="67"/>
      <c r="AF86" s="67"/>
      <c r="AG86" s="95">
        <f>SUM(AG83:AG85)</f>
        <v>55.4</v>
      </c>
      <c r="AH86" s="52">
        <f t="shared" si="23"/>
        <v>0</v>
      </c>
      <c r="AI86" s="53">
        <f t="shared" si="24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28">B48+B52+B70+B66+B82+B86</f>
        <v>1136.3399999999999</v>
      </c>
      <c r="C87" s="102">
        <f t="shared" ref="C87:AG87" si="29">C48+C52+C70+C66+C82+C86</f>
        <v>1042.1399999999999</v>
      </c>
      <c r="D87" s="102">
        <f t="shared" si="29"/>
        <v>1064.77</v>
      </c>
      <c r="E87" s="102">
        <f t="shared" si="29"/>
        <v>1069.74</v>
      </c>
      <c r="F87" s="102">
        <f t="shared" si="29"/>
        <v>1079.54</v>
      </c>
      <c r="G87" s="102">
        <f t="shared" si="29"/>
        <v>1064.94</v>
      </c>
      <c r="H87" s="102">
        <f t="shared" si="29"/>
        <v>1136.74</v>
      </c>
      <c r="I87" s="102">
        <f t="shared" si="29"/>
        <v>1159.3399999999999</v>
      </c>
      <c r="J87" s="102">
        <f t="shared" si="29"/>
        <v>1256.8400000000001</v>
      </c>
      <c r="K87" s="102">
        <f t="shared" si="29"/>
        <v>1185.52</v>
      </c>
      <c r="L87" s="102">
        <f t="shared" si="29"/>
        <v>1229.1400000000001</v>
      </c>
      <c r="M87" s="102">
        <f t="shared" si="29"/>
        <v>1195.94</v>
      </c>
      <c r="N87" s="102">
        <f t="shared" si="29"/>
        <v>1142.94</v>
      </c>
      <c r="O87" s="102">
        <f t="shared" si="29"/>
        <v>1075.94</v>
      </c>
      <c r="P87" s="102">
        <f t="shared" si="29"/>
        <v>1053.54</v>
      </c>
      <c r="Q87" s="102">
        <f t="shared" si="29"/>
        <v>1304.3400000000001</v>
      </c>
      <c r="R87" s="102">
        <f t="shared" si="29"/>
        <v>1254.6400000000001</v>
      </c>
      <c r="S87" s="102">
        <f t="shared" si="29"/>
        <v>1251.3399999999999</v>
      </c>
      <c r="T87" s="102">
        <f t="shared" si="29"/>
        <v>1323.04</v>
      </c>
      <c r="U87" s="102">
        <f t="shared" ref="U87:V87" si="30">U48+U52+U70+U66+U82+U86</f>
        <v>1323.04</v>
      </c>
      <c r="V87" s="102">
        <f t="shared" si="30"/>
        <v>1267.8399999999999</v>
      </c>
      <c r="W87" s="102">
        <f t="shared" si="29"/>
        <v>1251.44</v>
      </c>
      <c r="X87" s="102">
        <f t="shared" si="29"/>
        <v>1208.54</v>
      </c>
      <c r="Y87" s="102">
        <f t="shared" si="29"/>
        <v>1282.54</v>
      </c>
      <c r="Z87" s="102">
        <v>1377.6399999999999</v>
      </c>
      <c r="AA87" s="102">
        <v>1377.6399999999999</v>
      </c>
      <c r="AB87" s="102">
        <f t="shared" si="29"/>
        <v>1259.6400000000001</v>
      </c>
      <c r="AC87" s="102">
        <f t="shared" si="29"/>
        <v>1276.8400000000001</v>
      </c>
      <c r="AD87" s="102">
        <f t="shared" si="29"/>
        <v>1216.5400000000002</v>
      </c>
      <c r="AE87" s="102">
        <f t="shared" si="29"/>
        <v>1228.8400000000001</v>
      </c>
      <c r="AF87" s="102">
        <f t="shared" si="29"/>
        <v>1176.1400000000001</v>
      </c>
      <c r="AG87" s="68">
        <f t="shared" si="29"/>
        <v>2065.09</v>
      </c>
      <c r="AH87" s="52">
        <f>MAX(B87:AF87)</f>
        <v>1377.6399999999999</v>
      </c>
      <c r="AI87" s="53">
        <f>MIN(B87:AF87)</f>
        <v>1042.1399999999999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150</v>
      </c>
      <c r="L88" s="104">
        <v>200</v>
      </c>
      <c r="M88" s="104">
        <v>230</v>
      </c>
      <c r="N88" s="104">
        <v>230</v>
      </c>
      <c r="O88" s="104">
        <v>230</v>
      </c>
      <c r="P88" s="104"/>
      <c r="Q88" s="104"/>
      <c r="R88" s="104"/>
      <c r="S88" s="104"/>
      <c r="T88" s="104"/>
      <c r="U88" s="104"/>
      <c r="V88" s="104"/>
      <c r="W88" s="104">
        <v>100</v>
      </c>
      <c r="X88" s="104">
        <v>150</v>
      </c>
      <c r="Y88" s="104">
        <v>150</v>
      </c>
      <c r="Z88" s="104">
        <v>150</v>
      </c>
      <c r="AA88" s="104">
        <v>150</v>
      </c>
      <c r="AB88" s="104">
        <v>120</v>
      </c>
      <c r="AC88" s="104">
        <v>120</v>
      </c>
      <c r="AD88" s="104">
        <v>120</v>
      </c>
      <c r="AE88" s="104"/>
      <c r="AF88" s="104"/>
      <c r="AG88" s="95"/>
      <c r="AH88" s="52">
        <f t="shared" si="23"/>
        <v>230</v>
      </c>
      <c r="AI88" s="53">
        <f t="shared" si="24"/>
        <v>100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31">B87+B88</f>
        <v>1136.3399999999999</v>
      </c>
      <c r="C89" s="102">
        <f t="shared" ref="C89:AF89" si="32">C87+C88</f>
        <v>1042.1399999999999</v>
      </c>
      <c r="D89" s="102">
        <f t="shared" si="32"/>
        <v>1064.77</v>
      </c>
      <c r="E89" s="102">
        <f t="shared" si="32"/>
        <v>1069.74</v>
      </c>
      <c r="F89" s="102">
        <f t="shared" si="32"/>
        <v>1079.54</v>
      </c>
      <c r="G89" s="102">
        <f t="shared" si="32"/>
        <v>1064.94</v>
      </c>
      <c r="H89" s="102">
        <f t="shared" si="32"/>
        <v>1136.74</v>
      </c>
      <c r="I89" s="102">
        <f t="shared" si="32"/>
        <v>1159.3399999999999</v>
      </c>
      <c r="J89" s="102">
        <f t="shared" si="32"/>
        <v>1256.8400000000001</v>
      </c>
      <c r="K89" s="102">
        <f t="shared" si="32"/>
        <v>1335.52</v>
      </c>
      <c r="L89" s="102">
        <f t="shared" si="32"/>
        <v>1429.14</v>
      </c>
      <c r="M89" s="102">
        <f t="shared" si="32"/>
        <v>1425.94</v>
      </c>
      <c r="N89" s="102">
        <f t="shared" si="32"/>
        <v>1372.94</v>
      </c>
      <c r="O89" s="102">
        <f t="shared" si="32"/>
        <v>1305.94</v>
      </c>
      <c r="P89" s="102">
        <f t="shared" si="32"/>
        <v>1053.54</v>
      </c>
      <c r="Q89" s="102">
        <f t="shared" si="32"/>
        <v>1304.3400000000001</v>
      </c>
      <c r="R89" s="102">
        <f t="shared" si="32"/>
        <v>1254.6400000000001</v>
      </c>
      <c r="S89" s="102">
        <f t="shared" si="32"/>
        <v>1251.3399999999999</v>
      </c>
      <c r="T89" s="102">
        <f t="shared" si="32"/>
        <v>1323.04</v>
      </c>
      <c r="U89" s="102">
        <f t="shared" ref="U89:V89" si="33">U87+U88</f>
        <v>1323.04</v>
      </c>
      <c r="V89" s="102">
        <f t="shared" si="33"/>
        <v>1267.8399999999999</v>
      </c>
      <c r="W89" s="102">
        <f t="shared" si="32"/>
        <v>1351.44</v>
      </c>
      <c r="X89" s="102">
        <f t="shared" si="32"/>
        <v>1358.54</v>
      </c>
      <c r="Y89" s="102">
        <f t="shared" si="32"/>
        <v>1432.54</v>
      </c>
      <c r="Z89" s="102">
        <v>1529.6399999999999</v>
      </c>
      <c r="AA89" s="102">
        <v>1529.6399999999999</v>
      </c>
      <c r="AB89" s="102">
        <f t="shared" si="32"/>
        <v>1379.64</v>
      </c>
      <c r="AC89" s="102">
        <f t="shared" si="32"/>
        <v>1396.8400000000001</v>
      </c>
      <c r="AD89" s="102">
        <f t="shared" si="32"/>
        <v>1336.5400000000002</v>
      </c>
      <c r="AE89" s="102">
        <f t="shared" si="32"/>
        <v>1228.8400000000001</v>
      </c>
      <c r="AF89" s="102">
        <f t="shared" si="32"/>
        <v>1176.1400000000001</v>
      </c>
      <c r="AG89" s="95">
        <f>AG86+AG82+AG70+AG66+AG48+AG88</f>
        <v>1526.99</v>
      </c>
      <c r="AH89" s="52">
        <f t="shared" si="23"/>
        <v>1529.6399999999999</v>
      </c>
      <c r="AI89" s="53">
        <f t="shared" si="24"/>
        <v>1042.1399999999999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34">B89-B97</f>
        <v>1136.3399999999999</v>
      </c>
      <c r="C90" s="102">
        <f t="shared" ref="C90:AF90" si="35">C89-C97</f>
        <v>1042.1399999999999</v>
      </c>
      <c r="D90" s="102">
        <f t="shared" si="35"/>
        <v>1064.77</v>
      </c>
      <c r="E90" s="102">
        <f t="shared" si="35"/>
        <v>1069.74</v>
      </c>
      <c r="F90" s="102">
        <f t="shared" si="35"/>
        <v>1079.54</v>
      </c>
      <c r="G90" s="102">
        <f t="shared" si="35"/>
        <v>1064.94</v>
      </c>
      <c r="H90" s="102">
        <f t="shared" si="35"/>
        <v>1136.74</v>
      </c>
      <c r="I90" s="102">
        <f t="shared" si="35"/>
        <v>1159.3399999999999</v>
      </c>
      <c r="J90" s="102">
        <f t="shared" si="35"/>
        <v>1256.8400000000001</v>
      </c>
      <c r="K90" s="102">
        <f t="shared" si="35"/>
        <v>1335.52</v>
      </c>
      <c r="L90" s="102">
        <f t="shared" si="35"/>
        <v>1429.14</v>
      </c>
      <c r="M90" s="102">
        <f t="shared" si="35"/>
        <v>1425.94</v>
      </c>
      <c r="N90" s="102">
        <f t="shared" si="35"/>
        <v>1372.94</v>
      </c>
      <c r="O90" s="102">
        <f t="shared" si="35"/>
        <v>1305.94</v>
      </c>
      <c r="P90" s="102">
        <f t="shared" si="35"/>
        <v>1053.54</v>
      </c>
      <c r="Q90" s="102">
        <f t="shared" si="35"/>
        <v>1304.3400000000001</v>
      </c>
      <c r="R90" s="102">
        <f t="shared" si="35"/>
        <v>1254.6400000000001</v>
      </c>
      <c r="S90" s="102">
        <f t="shared" si="35"/>
        <v>1251.3399999999999</v>
      </c>
      <c r="T90" s="102">
        <f t="shared" si="35"/>
        <v>1323.04</v>
      </c>
      <c r="U90" s="102">
        <f t="shared" ref="U90:V90" si="36">U89-U97</f>
        <v>1323.04</v>
      </c>
      <c r="V90" s="102">
        <f t="shared" si="36"/>
        <v>1267.8399999999999</v>
      </c>
      <c r="W90" s="102">
        <f t="shared" si="35"/>
        <v>1351.44</v>
      </c>
      <c r="X90" s="102">
        <f t="shared" si="35"/>
        <v>1358.54</v>
      </c>
      <c r="Y90" s="102">
        <f t="shared" si="35"/>
        <v>1432.54</v>
      </c>
      <c r="Z90" s="102">
        <v>1527.6399999999999</v>
      </c>
      <c r="AA90" s="102">
        <v>1527.6399999999999</v>
      </c>
      <c r="AB90" s="102">
        <f t="shared" si="35"/>
        <v>1379.64</v>
      </c>
      <c r="AC90" s="102">
        <f t="shared" si="35"/>
        <v>1396.8400000000001</v>
      </c>
      <c r="AD90" s="102">
        <f t="shared" si="35"/>
        <v>1336.5400000000002</v>
      </c>
      <c r="AE90" s="102">
        <f t="shared" si="35"/>
        <v>1228.8400000000001</v>
      </c>
      <c r="AF90" s="102">
        <f t="shared" si="35"/>
        <v>1176.1400000000001</v>
      </c>
      <c r="AG90" s="95"/>
      <c r="AH90" s="52">
        <f t="shared" si="23"/>
        <v>1527.6399999999999</v>
      </c>
      <c r="AI90" s="53">
        <f t="shared" si="24"/>
        <v>1042.1399999999999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3"/>
        <v>0</v>
      </c>
      <c r="AI91" s="53">
        <f t="shared" si="24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3"/>
        <v>0</v>
      </c>
      <c r="AI92" s="53">
        <f t="shared" si="24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3"/>
        <v>0</v>
      </c>
      <c r="AI93" s="53">
        <f t="shared" si="24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3"/>
        <v>0</v>
      </c>
      <c r="AI94" s="53">
        <f t="shared" si="24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3"/>
        <v>0</v>
      </c>
      <c r="AI95" s="53">
        <f t="shared" si="24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2</v>
      </c>
      <c r="AA96" s="101">
        <v>2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3"/>
        <v>2</v>
      </c>
      <c r="AI96" s="53">
        <f t="shared" si="24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2</v>
      </c>
      <c r="AA97" s="67">
        <v>2</v>
      </c>
      <c r="AB97" s="67"/>
      <c r="AC97" s="67"/>
      <c r="AD97" s="67"/>
      <c r="AE97" s="67"/>
      <c r="AF97" s="67"/>
      <c r="AG97" s="95"/>
      <c r="AH97" s="52">
        <f t="shared" si="23"/>
        <v>2</v>
      </c>
      <c r="AI97" s="53">
        <f t="shared" si="24"/>
        <v>2</v>
      </c>
      <c r="AK97" s="54"/>
    </row>
    <row r="98" spans="1:88" s="1" customFormat="1" ht="15.75" thickBot="1" x14ac:dyDescent="0.3">
      <c r="A98" s="81" t="s">
        <v>102</v>
      </c>
      <c r="B98" s="67">
        <f t="shared" ref="B98" si="37">B82-B97</f>
        <v>506.4</v>
      </c>
      <c r="C98" s="67">
        <f t="shared" ref="C98:AF98" si="38">C82-C97</f>
        <v>581.6</v>
      </c>
      <c r="D98" s="67">
        <f t="shared" si="38"/>
        <v>562.43000000000006</v>
      </c>
      <c r="E98" s="67">
        <f t="shared" si="38"/>
        <v>571.5</v>
      </c>
      <c r="F98" s="67">
        <f t="shared" si="38"/>
        <v>591</v>
      </c>
      <c r="G98" s="67">
        <f t="shared" si="38"/>
        <v>576.50000000000011</v>
      </c>
      <c r="H98" s="67">
        <f t="shared" si="38"/>
        <v>579.90000000000009</v>
      </c>
      <c r="I98" s="67">
        <f t="shared" si="38"/>
        <v>582.5</v>
      </c>
      <c r="J98" s="67">
        <f t="shared" si="38"/>
        <v>566.1</v>
      </c>
      <c r="K98" s="67">
        <f t="shared" si="38"/>
        <v>491.88</v>
      </c>
      <c r="L98" s="67">
        <f t="shared" si="38"/>
        <v>488.3</v>
      </c>
      <c r="M98" s="67">
        <f t="shared" si="38"/>
        <v>502.1</v>
      </c>
      <c r="N98" s="67">
        <f t="shared" si="38"/>
        <v>534.90000000000009</v>
      </c>
      <c r="O98" s="67">
        <f t="shared" si="38"/>
        <v>496.1</v>
      </c>
      <c r="P98" s="67">
        <f t="shared" si="38"/>
        <v>496.1</v>
      </c>
      <c r="Q98" s="67">
        <f t="shared" si="38"/>
        <v>568.90000000000009</v>
      </c>
      <c r="R98" s="67">
        <f t="shared" si="38"/>
        <v>509.7</v>
      </c>
      <c r="S98" s="67">
        <f t="shared" si="38"/>
        <v>518.79999999999995</v>
      </c>
      <c r="T98" s="67">
        <f t="shared" si="38"/>
        <v>539.5</v>
      </c>
      <c r="U98" s="67">
        <f t="shared" ref="U98:V98" si="39">U82-U97</f>
        <v>539.5</v>
      </c>
      <c r="V98" s="67">
        <f t="shared" si="39"/>
        <v>521.29999999999995</v>
      </c>
      <c r="W98" s="67">
        <f t="shared" si="38"/>
        <v>528</v>
      </c>
      <c r="X98" s="67">
        <f t="shared" si="38"/>
        <v>551</v>
      </c>
      <c r="Y98" s="67">
        <f t="shared" si="38"/>
        <v>523.69999999999993</v>
      </c>
      <c r="Z98" s="67">
        <v>536.69999999999993</v>
      </c>
      <c r="AA98" s="67">
        <v>536.69999999999993</v>
      </c>
      <c r="AB98" s="67">
        <f t="shared" si="38"/>
        <v>452.6</v>
      </c>
      <c r="AC98" s="67">
        <f t="shared" si="38"/>
        <v>532.4</v>
      </c>
      <c r="AD98" s="67">
        <f t="shared" si="38"/>
        <v>441</v>
      </c>
      <c r="AE98" s="67">
        <f t="shared" si="38"/>
        <v>526</v>
      </c>
      <c r="AF98" s="67">
        <f t="shared" si="38"/>
        <v>489</v>
      </c>
      <c r="AG98" s="95"/>
      <c r="AH98" s="52">
        <f t="shared" si="23"/>
        <v>591</v>
      </c>
      <c r="AI98" s="53">
        <f t="shared" si="24"/>
        <v>441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49.957000000000001</v>
      </c>
      <c r="C99" s="108">
        <v>50.063000000000002</v>
      </c>
      <c r="D99" s="108">
        <v>49.939</v>
      </c>
      <c r="E99" s="108">
        <v>49.844999999999999</v>
      </c>
      <c r="F99" s="108">
        <v>49.878</v>
      </c>
      <c r="G99" s="108">
        <v>49.963000000000001</v>
      </c>
      <c r="H99" s="108">
        <v>49.878999999999998</v>
      </c>
      <c r="I99" s="108">
        <v>49.786000000000001</v>
      </c>
      <c r="J99" s="108">
        <v>49.881999999999998</v>
      </c>
      <c r="K99" s="108">
        <v>49.795000000000002</v>
      </c>
      <c r="L99" s="108">
        <v>49.969000000000001</v>
      </c>
      <c r="M99" s="108">
        <v>49.932000000000002</v>
      </c>
      <c r="N99" s="108">
        <v>49.957000000000001</v>
      </c>
      <c r="O99" s="108">
        <v>50.103000000000002</v>
      </c>
      <c r="P99" s="108">
        <v>50.103000000000002</v>
      </c>
      <c r="Q99" s="108">
        <v>50.103000000000002</v>
      </c>
      <c r="R99" s="108">
        <v>49.94</v>
      </c>
      <c r="S99" s="108">
        <v>49.93</v>
      </c>
      <c r="T99" s="108">
        <v>49.7</v>
      </c>
      <c r="U99" s="108">
        <v>49.7</v>
      </c>
      <c r="V99" s="108">
        <v>49.94</v>
      </c>
      <c r="W99" s="108">
        <v>50.12</v>
      </c>
      <c r="X99" s="108">
        <v>50.1</v>
      </c>
      <c r="Y99" s="108">
        <v>50.1</v>
      </c>
      <c r="Z99" s="108">
        <v>50.04</v>
      </c>
      <c r="AA99" s="108">
        <v>49.94</v>
      </c>
      <c r="AB99" s="108">
        <v>49.984999999999999</v>
      </c>
      <c r="AC99" s="108">
        <v>50.045000000000002</v>
      </c>
      <c r="AD99" s="108">
        <v>50.091999999999999</v>
      </c>
      <c r="AE99" s="108">
        <v>50.012999999999998</v>
      </c>
      <c r="AF99" s="108">
        <v>50.000999999999998</v>
      </c>
      <c r="AG99" s="109"/>
      <c r="AH99" s="52">
        <f t="shared" si="23"/>
        <v>50.12</v>
      </c>
      <c r="AI99" s="53">
        <f t="shared" si="24"/>
        <v>49.7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126.8</v>
      </c>
      <c r="C100" s="72">
        <v>129.1</v>
      </c>
      <c r="D100" s="72">
        <v>124.7</v>
      </c>
      <c r="E100" s="72">
        <v>125.36</v>
      </c>
      <c r="F100" s="72">
        <v>124.3</v>
      </c>
      <c r="G100" s="72">
        <v>125.5</v>
      </c>
      <c r="H100" s="72">
        <v>125</v>
      </c>
      <c r="I100" s="72">
        <v>125.5</v>
      </c>
      <c r="J100" s="72">
        <v>126.8</v>
      </c>
      <c r="K100" s="72">
        <v>128.30000000000001</v>
      </c>
      <c r="L100" s="72">
        <v>128.9</v>
      </c>
      <c r="M100" s="72">
        <v>128.19999999999999</v>
      </c>
      <c r="N100" s="72">
        <v>127.3</v>
      </c>
      <c r="O100" s="72">
        <v>127.9</v>
      </c>
      <c r="P100" s="72">
        <v>127.9</v>
      </c>
      <c r="Q100" s="72">
        <v>127.9</v>
      </c>
      <c r="R100" s="72">
        <v>125.6</v>
      </c>
      <c r="S100" s="72">
        <v>124.6</v>
      </c>
      <c r="T100" s="72">
        <v>125</v>
      </c>
      <c r="U100" s="72">
        <v>125</v>
      </c>
      <c r="V100" s="72">
        <v>129</v>
      </c>
      <c r="W100" s="72">
        <v>129.69999999999999</v>
      </c>
      <c r="X100" s="72">
        <v>130.30000000000001</v>
      </c>
      <c r="Y100" s="72">
        <v>130.1</v>
      </c>
      <c r="Z100" s="72">
        <v>129.6</v>
      </c>
      <c r="AA100" s="72">
        <v>128.5</v>
      </c>
      <c r="AB100" s="72">
        <v>130</v>
      </c>
      <c r="AC100" s="72">
        <v>128.80000000000001</v>
      </c>
      <c r="AD100" s="72">
        <v>127.5</v>
      </c>
      <c r="AE100" s="72">
        <v>129.19999999999999</v>
      </c>
      <c r="AF100" s="72">
        <v>129.5</v>
      </c>
      <c r="AG100" s="111"/>
      <c r="AH100" s="52">
        <f t="shared" si="23"/>
        <v>130.30000000000001</v>
      </c>
      <c r="AI100" s="53">
        <f t="shared" si="24"/>
        <v>124.3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131.19999999999999</v>
      </c>
      <c r="C101" s="72">
        <v>132.6</v>
      </c>
      <c r="D101" s="72">
        <v>130.30000000000001</v>
      </c>
      <c r="E101" s="72">
        <v>130</v>
      </c>
      <c r="F101" s="72">
        <v>129.5</v>
      </c>
      <c r="G101" s="72">
        <v>129.80000000000001</v>
      </c>
      <c r="H101" s="72">
        <v>129.4</v>
      </c>
      <c r="I101" s="72">
        <v>129.4</v>
      </c>
      <c r="J101" s="72">
        <v>129.5</v>
      </c>
      <c r="K101" s="72">
        <v>130.19999999999999</v>
      </c>
      <c r="L101" s="72">
        <v>129.80000000000001</v>
      </c>
      <c r="M101" s="72">
        <v>129</v>
      </c>
      <c r="N101" s="72">
        <v>128.19999999999999</v>
      </c>
      <c r="O101" s="72">
        <v>129.4</v>
      </c>
      <c r="P101" s="72">
        <v>129.4</v>
      </c>
      <c r="Q101" s="72">
        <v>129.4</v>
      </c>
      <c r="R101" s="72">
        <v>128.69999999999999</v>
      </c>
      <c r="S101" s="72">
        <v>128.30000000000001</v>
      </c>
      <c r="T101" s="72">
        <v>128</v>
      </c>
      <c r="U101" s="72">
        <v>128</v>
      </c>
      <c r="V101" s="72">
        <v>131.9</v>
      </c>
      <c r="W101" s="72">
        <v>132.4</v>
      </c>
      <c r="X101" s="72">
        <v>132.4</v>
      </c>
      <c r="Y101" s="72">
        <v>131.9</v>
      </c>
      <c r="Z101" s="72">
        <v>131.4</v>
      </c>
      <c r="AA101" s="72">
        <v>130.5</v>
      </c>
      <c r="AB101" s="72">
        <v>131.9</v>
      </c>
      <c r="AC101" s="72">
        <v>131.19999999999999</v>
      </c>
      <c r="AD101" s="72">
        <v>130.4</v>
      </c>
      <c r="AE101" s="72">
        <v>132.30000000000001</v>
      </c>
      <c r="AF101" s="72">
        <v>132.80000000000001</v>
      </c>
      <c r="AG101" s="111"/>
      <c r="AH101" s="52">
        <f t="shared" si="23"/>
        <v>132.80000000000001</v>
      </c>
      <c r="AI101" s="53">
        <f t="shared" si="24"/>
        <v>128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132.1</v>
      </c>
      <c r="C102" s="72">
        <v>131.9</v>
      </c>
      <c r="D102" s="72">
        <v>130.4</v>
      </c>
      <c r="E102" s="72">
        <v>129.80000000000001</v>
      </c>
      <c r="F102" s="72">
        <v>129.80000000000001</v>
      </c>
      <c r="G102" s="72">
        <v>129</v>
      </c>
      <c r="H102" s="72">
        <v>128.30000000000001</v>
      </c>
      <c r="I102" s="72">
        <v>128.69999999999999</v>
      </c>
      <c r="J102" s="72">
        <v>127</v>
      </c>
      <c r="K102" s="72">
        <v>127.5</v>
      </c>
      <c r="L102" s="72">
        <v>130.1</v>
      </c>
      <c r="M102" s="72">
        <v>128.19999999999999</v>
      </c>
      <c r="N102" s="72">
        <v>129.69999999999999</v>
      </c>
      <c r="O102" s="72">
        <v>130.19999999999999</v>
      </c>
      <c r="P102" s="72">
        <v>130.19999999999999</v>
      </c>
      <c r="Q102" s="72">
        <v>130.19999999999999</v>
      </c>
      <c r="R102" s="72">
        <v>127.4</v>
      </c>
      <c r="S102" s="72">
        <v>127.7</v>
      </c>
      <c r="T102" s="72">
        <v>127</v>
      </c>
      <c r="U102" s="72">
        <v>127</v>
      </c>
      <c r="V102" s="72">
        <v>129.5</v>
      </c>
      <c r="W102" s="72">
        <v>132.6</v>
      </c>
      <c r="X102" s="72">
        <v>131.1</v>
      </c>
      <c r="Y102" s="72">
        <v>125.9</v>
      </c>
      <c r="Z102" s="72">
        <v>130.69999999999999</v>
      </c>
      <c r="AA102" s="72">
        <v>131.30000000000001</v>
      </c>
      <c r="AB102" s="72">
        <v>130.6</v>
      </c>
      <c r="AC102" s="72">
        <v>126.6</v>
      </c>
      <c r="AD102" s="72">
        <v>128.9</v>
      </c>
      <c r="AE102" s="72">
        <v>132.1</v>
      </c>
      <c r="AF102" s="72">
        <v>130.5</v>
      </c>
      <c r="AG102" s="111"/>
      <c r="AH102" s="52">
        <f t="shared" si="23"/>
        <v>132.6</v>
      </c>
      <c r="AI102" s="53">
        <f t="shared" si="24"/>
        <v>125.9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3"/>
        <v>0</v>
      </c>
      <c r="AI103" s="53">
        <f t="shared" si="24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131.1</v>
      </c>
      <c r="C104" s="113">
        <v>133</v>
      </c>
      <c r="D104" s="113">
        <v>127.5</v>
      </c>
      <c r="E104" s="113">
        <v>130.9</v>
      </c>
      <c r="F104" s="113">
        <v>130</v>
      </c>
      <c r="G104" s="113">
        <v>128.9</v>
      </c>
      <c r="H104" s="113">
        <v>132.6</v>
      </c>
      <c r="I104" s="113">
        <v>131.6</v>
      </c>
      <c r="J104" s="113">
        <v>134.80000000000001</v>
      </c>
      <c r="K104" s="113">
        <v>133.30000000000001</v>
      </c>
      <c r="L104" s="113">
        <v>135.30000000000001</v>
      </c>
      <c r="M104" s="113">
        <v>132.80000000000001</v>
      </c>
      <c r="N104" s="113">
        <v>129.4</v>
      </c>
      <c r="O104" s="113">
        <v>131.6</v>
      </c>
      <c r="P104" s="113">
        <v>131.6</v>
      </c>
      <c r="Q104" s="113">
        <v>131.6</v>
      </c>
      <c r="R104" s="113">
        <v>131.19999999999999</v>
      </c>
      <c r="S104" s="113">
        <v>131.69999999999999</v>
      </c>
      <c r="T104" s="113">
        <v>133.69999999999999</v>
      </c>
      <c r="U104" s="113">
        <v>133.69999999999999</v>
      </c>
      <c r="V104" s="113">
        <v>132.80000000000001</v>
      </c>
      <c r="W104" s="113">
        <v>131.4</v>
      </c>
      <c r="X104" s="113">
        <v>131.9</v>
      </c>
      <c r="Y104" s="113">
        <v>134.1</v>
      </c>
      <c r="Z104" s="113">
        <v>132.9</v>
      </c>
      <c r="AA104" s="113">
        <v>135.19999999999999</v>
      </c>
      <c r="AB104" s="113">
        <v>134.80000000000001</v>
      </c>
      <c r="AC104" s="113">
        <v>133.5</v>
      </c>
      <c r="AD104" s="113">
        <v>131.1</v>
      </c>
      <c r="AE104" s="113">
        <v>131.6</v>
      </c>
      <c r="AF104" s="113">
        <v>129.5</v>
      </c>
      <c r="AG104" s="114"/>
      <c r="AH104" s="52">
        <f t="shared" si="23"/>
        <v>135.30000000000001</v>
      </c>
      <c r="AI104" s="53">
        <f t="shared" si="24"/>
        <v>127.5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136.1</v>
      </c>
      <c r="C105" s="72">
        <v>132.6</v>
      </c>
      <c r="D105" s="72">
        <v>135.1</v>
      </c>
      <c r="E105" s="72">
        <v>133.80000000000001</v>
      </c>
      <c r="F105" s="72">
        <v>134.80000000000001</v>
      </c>
      <c r="G105" s="72">
        <v>135.30000000000001</v>
      </c>
      <c r="H105" s="72">
        <v>133</v>
      </c>
      <c r="I105" s="72">
        <v>130.9</v>
      </c>
      <c r="J105" s="72">
        <v>129</v>
      </c>
      <c r="K105" s="72">
        <v>130.6</v>
      </c>
      <c r="L105" s="72">
        <v>130.30000000000001</v>
      </c>
      <c r="M105" s="72">
        <v>128.19999999999999</v>
      </c>
      <c r="N105" s="72">
        <v>130.19999999999999</v>
      </c>
      <c r="O105" s="72">
        <v>130.9</v>
      </c>
      <c r="P105" s="72">
        <v>130.9</v>
      </c>
      <c r="Q105" s="72">
        <v>130.9</v>
      </c>
      <c r="R105" s="72">
        <v>128.9</v>
      </c>
      <c r="S105" s="72">
        <v>130.9</v>
      </c>
      <c r="T105" s="72">
        <v>131</v>
      </c>
      <c r="U105" s="72">
        <v>131</v>
      </c>
      <c r="V105" s="72">
        <v>127.8</v>
      </c>
      <c r="W105" s="72">
        <v>134.4</v>
      </c>
      <c r="X105" s="72">
        <v>134.5</v>
      </c>
      <c r="Y105" s="72">
        <v>129.80000000000001</v>
      </c>
      <c r="Z105" s="72">
        <v>132.30000000000001</v>
      </c>
      <c r="AA105" s="72">
        <v>132.80000000000001</v>
      </c>
      <c r="AB105" s="72">
        <v>135</v>
      </c>
      <c r="AC105" s="72">
        <v>134</v>
      </c>
      <c r="AD105" s="72">
        <v>132.30000000000001</v>
      </c>
      <c r="AE105" s="72">
        <v>130.6</v>
      </c>
      <c r="AF105" s="72">
        <v>135.6</v>
      </c>
      <c r="AG105" s="111"/>
      <c r="AH105" s="52">
        <f t="shared" si="23"/>
        <v>136.1</v>
      </c>
      <c r="AI105" s="53">
        <f t="shared" si="24"/>
        <v>127.8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</v>
      </c>
      <c r="C106" s="99">
        <v>66.599999999999994</v>
      </c>
      <c r="D106" s="99">
        <v>65.5</v>
      </c>
      <c r="E106" s="99">
        <v>65.599999999999994</v>
      </c>
      <c r="F106" s="99">
        <v>65.099999999999994</v>
      </c>
      <c r="G106" s="99">
        <v>65.599999999999994</v>
      </c>
      <c r="H106" s="99">
        <v>65.2</v>
      </c>
      <c r="I106" s="99">
        <v>65</v>
      </c>
      <c r="J106" s="99">
        <v>65.2</v>
      </c>
      <c r="K106" s="99">
        <v>65.3</v>
      </c>
      <c r="L106" s="99">
        <v>65</v>
      </c>
      <c r="M106" s="99">
        <v>64.7</v>
      </c>
      <c r="N106" s="99">
        <v>64.400000000000006</v>
      </c>
      <c r="O106" s="99">
        <v>65.099999999999994</v>
      </c>
      <c r="P106" s="99">
        <v>65.099999999999994</v>
      </c>
      <c r="Q106" s="99">
        <v>65.099999999999994</v>
      </c>
      <c r="R106" s="99">
        <v>64.8</v>
      </c>
      <c r="S106" s="99">
        <v>64.2</v>
      </c>
      <c r="T106" s="99">
        <v>64.400000000000006</v>
      </c>
      <c r="U106" s="99">
        <v>64.400000000000006</v>
      </c>
      <c r="V106" s="99">
        <v>66.099999999999994</v>
      </c>
      <c r="W106" s="99">
        <v>66.3</v>
      </c>
      <c r="X106" s="99">
        <v>66.400000000000006</v>
      </c>
      <c r="Y106" s="99">
        <v>66.2</v>
      </c>
      <c r="Z106" s="99">
        <v>66.099999999999994</v>
      </c>
      <c r="AA106" s="99">
        <v>65.3</v>
      </c>
      <c r="AB106" s="99">
        <v>66</v>
      </c>
      <c r="AC106" s="99">
        <v>65.8</v>
      </c>
      <c r="AD106" s="99">
        <v>65.400000000000006</v>
      </c>
      <c r="AE106" s="99">
        <v>66.3</v>
      </c>
      <c r="AF106" s="99">
        <v>66.5</v>
      </c>
      <c r="AG106" s="115"/>
      <c r="AH106" s="52">
        <f t="shared" si="23"/>
        <v>66.599999999999994</v>
      </c>
      <c r="AI106" s="53">
        <f t="shared" si="24"/>
        <v>64.2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 t="s">
        <v>111</v>
      </c>
      <c r="AA107" s="99" t="s">
        <v>111</v>
      </c>
      <c r="AB107" s="99"/>
      <c r="AC107" s="99"/>
      <c r="AD107" s="99"/>
      <c r="AE107" s="99"/>
      <c r="AF107" s="99"/>
      <c r="AG107" s="115"/>
      <c r="AH107" s="52">
        <f t="shared" si="23"/>
        <v>0</v>
      </c>
      <c r="AI107" s="53">
        <f t="shared" si="24"/>
        <v>0</v>
      </c>
    </row>
    <row r="108" spans="1:88" ht="15.75" thickBot="1" x14ac:dyDescent="0.3">
      <c r="A108" s="117" t="s">
        <v>112</v>
      </c>
      <c r="B108" s="118">
        <f t="shared" ref="B108" si="40">SUM(B18,B24,B27:B28,B56,B58:B59,B61,B63,B109:B113,B135,B141,B147,B156,B158,B170,B177,B180:B181,B188,B190,B192,B196:B198,B200:B202,B207,B213:B214,B216:B218,B226,B231)</f>
        <v>111.9</v>
      </c>
      <c r="C108" s="118">
        <f t="shared" ref="C108:AF108" si="41">SUM(C18,C24,C27:C28,C56,C58:C59,C61,C63,C109:C113,C135,C141,C147,C156,C158,C170,C177,C180:C181,C188,C190,C192,C196:C198,C200:C202,C207,C213:C214,C216:C218,C226,C231)</f>
        <v>124.83999999999999</v>
      </c>
      <c r="D108" s="118">
        <f t="shared" si="41"/>
        <v>101.13999999999999</v>
      </c>
      <c r="E108" s="118">
        <f t="shared" si="41"/>
        <v>88.54</v>
      </c>
      <c r="F108" s="118">
        <f t="shared" si="41"/>
        <v>104.54</v>
      </c>
      <c r="G108" s="118">
        <f t="shared" si="41"/>
        <v>101.33999999999999</v>
      </c>
      <c r="H108" s="118">
        <f t="shared" si="41"/>
        <v>139.84</v>
      </c>
      <c r="I108" s="118">
        <f t="shared" si="41"/>
        <v>162.63999999999999</v>
      </c>
      <c r="J108" s="118">
        <f t="shared" si="41"/>
        <v>218.94000000000003</v>
      </c>
      <c r="K108" s="118">
        <f t="shared" si="41"/>
        <v>215.04000000000002</v>
      </c>
      <c r="L108" s="118">
        <f t="shared" si="41"/>
        <v>253.34000000000003</v>
      </c>
      <c r="M108" s="118">
        <f t="shared" si="41"/>
        <v>274.04000000000002</v>
      </c>
      <c r="N108" s="118">
        <f t="shared" si="41"/>
        <v>280.33999999999997</v>
      </c>
      <c r="O108" s="118">
        <f t="shared" si="41"/>
        <v>242.14</v>
      </c>
      <c r="P108" s="118">
        <v>42</v>
      </c>
      <c r="Q108" s="118">
        <f t="shared" si="41"/>
        <v>240.4</v>
      </c>
      <c r="R108" s="118">
        <f t="shared" si="41"/>
        <v>256.2</v>
      </c>
      <c r="S108" s="118">
        <f t="shared" si="41"/>
        <v>152.79999999999998</v>
      </c>
      <c r="T108" s="118">
        <f t="shared" si="41"/>
        <v>250.3</v>
      </c>
      <c r="U108" s="118">
        <f t="shared" ref="U108:V108" si="42">SUM(U18,U24,U27:U28,U56,U58:U59,U61,U63,U109:U113,U135,U141,U147,U156,U158,U170,U177,U180:U181,U188,U190,U192,U196:U198,U200:U202,U207,U213:U214,U216:U218,U226,U231)</f>
        <v>250.3</v>
      </c>
      <c r="V108" s="118">
        <f t="shared" si="42"/>
        <v>221</v>
      </c>
      <c r="W108" s="118">
        <f t="shared" si="41"/>
        <v>243.3</v>
      </c>
      <c r="X108" s="118">
        <f t="shared" si="41"/>
        <v>266.39999999999998</v>
      </c>
      <c r="Y108" s="118">
        <f t="shared" si="41"/>
        <v>301.39999999999998</v>
      </c>
      <c r="Z108" s="118">
        <v>385.79708333333332</v>
      </c>
      <c r="AA108" s="118">
        <v>385.79708333333332</v>
      </c>
      <c r="AB108" s="118">
        <f t="shared" si="41"/>
        <v>280.89999999999998</v>
      </c>
      <c r="AC108" s="118">
        <f t="shared" si="41"/>
        <v>269.10000000000002</v>
      </c>
      <c r="AD108" s="118">
        <f t="shared" si="41"/>
        <v>218.7</v>
      </c>
      <c r="AE108" s="118">
        <f t="shared" si="41"/>
        <v>176.29999999999998</v>
      </c>
      <c r="AF108" s="118">
        <f t="shared" si="41"/>
        <v>138.69999999999999</v>
      </c>
      <c r="AG108" s="119"/>
      <c r="AH108" s="52">
        <f t="shared" si="23"/>
        <v>385.79708333333332</v>
      </c>
      <c r="AI108" s="53">
        <f t="shared" si="24"/>
        <v>42</v>
      </c>
    </row>
    <row r="109" spans="1:88" x14ac:dyDescent="0.25">
      <c r="A109" s="107" t="s">
        <v>113</v>
      </c>
      <c r="B109" s="120">
        <v>-24</v>
      </c>
      <c r="C109" s="120">
        <v>-27.2</v>
      </c>
      <c r="D109" s="120">
        <v>-20.100000000000001</v>
      </c>
      <c r="E109" s="120">
        <v>-13.9</v>
      </c>
      <c r="F109" s="120">
        <v>-19.399999999999999</v>
      </c>
      <c r="G109" s="120">
        <v>-21.6</v>
      </c>
      <c r="H109" s="120">
        <v>-12.5</v>
      </c>
      <c r="I109" s="120">
        <v>-3.4</v>
      </c>
      <c r="J109" s="120">
        <v>8.9</v>
      </c>
      <c r="K109" s="120">
        <v>15.1</v>
      </c>
      <c r="L109" s="120">
        <v>8.8000000000000007</v>
      </c>
      <c r="M109" s="120">
        <v>4.4000000000000004</v>
      </c>
      <c r="N109" s="120">
        <v>-7.9</v>
      </c>
      <c r="O109" s="120">
        <v>-3.3</v>
      </c>
      <c r="P109" s="120">
        <v>-3.3</v>
      </c>
      <c r="Q109" s="120">
        <v>-3.3</v>
      </c>
      <c r="R109" s="120">
        <v>-0.7</v>
      </c>
      <c r="S109" s="120">
        <v>-9.4</v>
      </c>
      <c r="T109" s="120">
        <v>13</v>
      </c>
      <c r="U109" s="120">
        <v>13</v>
      </c>
      <c r="V109" s="120">
        <v>7</v>
      </c>
      <c r="W109" s="120">
        <v>5</v>
      </c>
      <c r="X109" s="120">
        <v>9.6</v>
      </c>
      <c r="Y109" s="120">
        <v>18.3</v>
      </c>
      <c r="Z109" s="120">
        <v>17.7</v>
      </c>
      <c r="AA109" s="120">
        <v>19.8</v>
      </c>
      <c r="AB109" s="120">
        <v>20.100000000000001</v>
      </c>
      <c r="AC109" s="120">
        <v>15.2</v>
      </c>
      <c r="AD109" s="120">
        <v>21</v>
      </c>
      <c r="AE109" s="120">
        <v>3</v>
      </c>
      <c r="AF109" s="120">
        <v>-20.100000000000001</v>
      </c>
      <c r="AG109" s="121">
        <v>75</v>
      </c>
      <c r="AH109" s="52">
        <f t="shared" si="23"/>
        <v>21</v>
      </c>
      <c r="AI109" s="53">
        <f t="shared" si="24"/>
        <v>-27.2</v>
      </c>
    </row>
    <row r="110" spans="1:88" x14ac:dyDescent="0.25">
      <c r="A110" s="110" t="s">
        <v>114</v>
      </c>
      <c r="B110" s="122">
        <v>-31.1</v>
      </c>
      <c r="C110" s="122">
        <v>-37.200000000000003</v>
      </c>
      <c r="D110" s="122">
        <v>-21.9</v>
      </c>
      <c r="E110" s="122">
        <v>-15.2</v>
      </c>
      <c r="F110" s="122">
        <v>-22.5</v>
      </c>
      <c r="G110" s="122">
        <v>-25.5</v>
      </c>
      <c r="H110" s="122">
        <v>-15.4</v>
      </c>
      <c r="I110" s="122">
        <v>-1.6</v>
      </c>
      <c r="J110" s="122">
        <v>11.7</v>
      </c>
      <c r="K110" s="122">
        <v>18.3</v>
      </c>
      <c r="L110" s="122">
        <v>6.5</v>
      </c>
      <c r="M110" s="122">
        <v>0</v>
      </c>
      <c r="N110" s="122">
        <v>13.5</v>
      </c>
      <c r="O110" s="122">
        <v>-8.3000000000000007</v>
      </c>
      <c r="P110" s="122">
        <v>-8.3000000000000007</v>
      </c>
      <c r="Q110" s="122">
        <v>-8.3000000000000007</v>
      </c>
      <c r="R110" s="122">
        <v>4.5999999999999996</v>
      </c>
      <c r="S110" s="122">
        <v>-15.7</v>
      </c>
      <c r="T110" s="122">
        <v>20</v>
      </c>
      <c r="U110" s="122">
        <v>20</v>
      </c>
      <c r="V110" s="122">
        <v>7</v>
      </c>
      <c r="W110" s="122">
        <v>3.4</v>
      </c>
      <c r="X110" s="122">
        <v>7.5</v>
      </c>
      <c r="Y110" s="122">
        <v>18.600000000000001</v>
      </c>
      <c r="Z110" s="122">
        <v>18.100000000000001</v>
      </c>
      <c r="AA110" s="122">
        <v>21.5</v>
      </c>
      <c r="AB110" s="122">
        <v>22.8</v>
      </c>
      <c r="AC110" s="122">
        <v>15.9</v>
      </c>
      <c r="AD110" s="122">
        <v>24.8</v>
      </c>
      <c r="AE110" s="122">
        <v>2.6</v>
      </c>
      <c r="AF110" s="122">
        <v>-23</v>
      </c>
      <c r="AG110" s="121">
        <v>240</v>
      </c>
      <c r="AH110" s="52">
        <f t="shared" si="23"/>
        <v>24.8</v>
      </c>
      <c r="AI110" s="53">
        <f t="shared" si="24"/>
        <v>-37.200000000000003</v>
      </c>
    </row>
    <row r="111" spans="1:88" x14ac:dyDescent="0.25">
      <c r="A111" s="110" t="s">
        <v>115</v>
      </c>
      <c r="B111" s="122">
        <v>-24.3</v>
      </c>
      <c r="C111" s="122">
        <v>-12.8</v>
      </c>
      <c r="D111" s="122">
        <v>-34</v>
      </c>
      <c r="E111" s="122">
        <v>-50.1</v>
      </c>
      <c r="F111" s="122">
        <v>-39.700000000000003</v>
      </c>
      <c r="G111" s="122">
        <v>-41.1</v>
      </c>
      <c r="H111" s="122">
        <v>-43.9</v>
      </c>
      <c r="I111" s="122">
        <v>-42</v>
      </c>
      <c r="J111" s="122">
        <v>-24</v>
      </c>
      <c r="K111" s="122">
        <v>-30.4</v>
      </c>
      <c r="L111" s="122">
        <v>17</v>
      </c>
      <c r="M111" s="122">
        <v>36</v>
      </c>
      <c r="N111" s="122">
        <v>31</v>
      </c>
      <c r="O111" s="122">
        <v>30</v>
      </c>
      <c r="P111" s="122">
        <v>30</v>
      </c>
      <c r="Q111" s="122">
        <v>30</v>
      </c>
      <c r="R111" s="122">
        <v>-30.8</v>
      </c>
      <c r="S111" s="122">
        <f>-5-34.8</f>
        <v>-39.799999999999997</v>
      </c>
      <c r="T111" s="122">
        <v>1</v>
      </c>
      <c r="U111" s="122">
        <v>1</v>
      </c>
      <c r="V111" s="122">
        <f>-20.1+11.6</f>
        <v>-8.5000000000000018</v>
      </c>
      <c r="W111" s="122">
        <f>1.3+20.3</f>
        <v>21.6</v>
      </c>
      <c r="X111" s="122">
        <f>11.3+27.6</f>
        <v>38.900000000000006</v>
      </c>
      <c r="Y111" s="122">
        <f>6.3+27.3</f>
        <v>33.6</v>
      </c>
      <c r="Z111" s="122">
        <v>48</v>
      </c>
      <c r="AA111" s="122">
        <f>22.3+30.8</f>
        <v>53.1</v>
      </c>
      <c r="AB111" s="122">
        <v>42.1</v>
      </c>
      <c r="AC111" s="122">
        <f>26+29</f>
        <v>55</v>
      </c>
      <c r="AD111" s="122">
        <f>11+9</f>
        <v>20</v>
      </c>
      <c r="AE111" s="122">
        <v>-24</v>
      </c>
      <c r="AF111" s="122">
        <v>-21</v>
      </c>
      <c r="AG111" s="121">
        <v>240</v>
      </c>
      <c r="AH111" s="52">
        <f t="shared" si="23"/>
        <v>55</v>
      </c>
      <c r="AI111" s="53">
        <f t="shared" si="24"/>
        <v>-50.1</v>
      </c>
    </row>
    <row r="112" spans="1:88" x14ac:dyDescent="0.25">
      <c r="A112" s="110" t="s">
        <v>116</v>
      </c>
      <c r="B112" s="122">
        <v>31.6</v>
      </c>
      <c r="C112" s="122">
        <v>32.1</v>
      </c>
      <c r="D112" s="122">
        <v>14.1</v>
      </c>
      <c r="E112" s="122">
        <v>4.4000000000000004</v>
      </c>
      <c r="F112" s="122">
        <v>11.9</v>
      </c>
      <c r="G112" s="122">
        <v>22.5</v>
      </c>
      <c r="H112" s="122">
        <v>35.4</v>
      </c>
      <c r="I112" s="122">
        <v>36.799999999999997</v>
      </c>
      <c r="J112" s="122">
        <v>44.2</v>
      </c>
      <c r="K112" s="122">
        <v>47.8</v>
      </c>
      <c r="L112" s="122">
        <v>52.1</v>
      </c>
      <c r="M112" s="122">
        <v>47.4</v>
      </c>
      <c r="N112" s="122">
        <v>53.5</v>
      </c>
      <c r="O112" s="122">
        <v>36.799999999999997</v>
      </c>
      <c r="P112" s="122">
        <v>36.799999999999997</v>
      </c>
      <c r="Q112" s="122">
        <v>36.799999999999997</v>
      </c>
      <c r="R112" s="122">
        <v>97.5</v>
      </c>
      <c r="S112" s="122">
        <v>38.6</v>
      </c>
      <c r="T112" s="122">
        <v>36</v>
      </c>
      <c r="U112" s="122">
        <v>36</v>
      </c>
      <c r="V112" s="122">
        <v>38.799999999999997</v>
      </c>
      <c r="W112" s="122">
        <v>30.6</v>
      </c>
      <c r="X112" s="122">
        <v>28.2</v>
      </c>
      <c r="Y112" s="122">
        <v>42.4</v>
      </c>
      <c r="Z112" s="122">
        <v>40.700000000000003</v>
      </c>
      <c r="AA112" s="122">
        <v>26.6</v>
      </c>
      <c r="AB112" s="122">
        <v>25.7</v>
      </c>
      <c r="AC112" s="122">
        <v>22.7</v>
      </c>
      <c r="AD112" s="122">
        <v>18.600000000000001</v>
      </c>
      <c r="AE112" s="122">
        <v>25.9</v>
      </c>
      <c r="AF112" s="122">
        <v>33.6</v>
      </c>
      <c r="AG112" s="121">
        <v>60</v>
      </c>
      <c r="AH112" s="52">
        <f t="shared" si="23"/>
        <v>97.5</v>
      </c>
      <c r="AI112" s="53">
        <f t="shared" si="24"/>
        <v>4.4000000000000004</v>
      </c>
    </row>
    <row r="113" spans="1:37" x14ac:dyDescent="0.25">
      <c r="A113" s="123" t="s">
        <v>117</v>
      </c>
      <c r="B113" s="124">
        <v>84.7</v>
      </c>
      <c r="C113" s="124">
        <v>94</v>
      </c>
      <c r="D113" s="124">
        <v>87.1</v>
      </c>
      <c r="E113" s="124">
        <v>88.4</v>
      </c>
      <c r="F113" s="124">
        <v>99</v>
      </c>
      <c r="G113" s="124">
        <v>92.1</v>
      </c>
      <c r="H113" s="124">
        <v>101</v>
      </c>
      <c r="I113" s="124">
        <v>97.7</v>
      </c>
      <c r="J113" s="124">
        <v>102.9</v>
      </c>
      <c r="K113" s="124">
        <v>89</v>
      </c>
      <c r="L113" s="124">
        <v>93.7</v>
      </c>
      <c r="M113" s="124">
        <v>96</v>
      </c>
      <c r="N113" s="124">
        <v>96.8</v>
      </c>
      <c r="O113" s="124">
        <v>97</v>
      </c>
      <c r="P113" s="124">
        <v>97</v>
      </c>
      <c r="Q113" s="124">
        <v>97</v>
      </c>
      <c r="R113" s="124">
        <v>97</v>
      </c>
      <c r="S113" s="124">
        <v>90.8</v>
      </c>
      <c r="T113" s="124">
        <v>92</v>
      </c>
      <c r="U113" s="124">
        <v>92</v>
      </c>
      <c r="V113" s="124">
        <v>89.4</v>
      </c>
      <c r="W113" s="124">
        <v>95.7</v>
      </c>
      <c r="X113" s="124">
        <v>94.9</v>
      </c>
      <c r="Y113" s="124">
        <v>100.4</v>
      </c>
      <c r="Z113" s="124">
        <v>114</v>
      </c>
      <c r="AA113" s="124">
        <v>96.9</v>
      </c>
      <c r="AB113" s="124">
        <v>85.9</v>
      </c>
      <c r="AC113" s="124">
        <v>76</v>
      </c>
      <c r="AD113" s="124">
        <v>50</v>
      </c>
      <c r="AE113" s="124">
        <v>84.5</v>
      </c>
      <c r="AF113" s="124">
        <v>83.9</v>
      </c>
      <c r="AG113" s="125">
        <v>120</v>
      </c>
      <c r="AH113" s="52">
        <f t="shared" si="23"/>
        <v>114</v>
      </c>
      <c r="AI113" s="53">
        <f t="shared" si="24"/>
        <v>50</v>
      </c>
    </row>
    <row r="114" spans="1:37" x14ac:dyDescent="0.25">
      <c r="A114" s="123" t="s">
        <v>118</v>
      </c>
      <c r="B114" s="124">
        <v>93.6</v>
      </c>
      <c r="C114" s="124">
        <v>106</v>
      </c>
      <c r="D114" s="124">
        <v>102.2</v>
      </c>
      <c r="E114" s="124">
        <v>100.2</v>
      </c>
      <c r="F114" s="124">
        <v>110.9</v>
      </c>
      <c r="G114" s="124">
        <v>99.1</v>
      </c>
      <c r="H114" s="124">
        <v>105.6</v>
      </c>
      <c r="I114" s="124">
        <v>102.6</v>
      </c>
      <c r="J114" s="124">
        <v>95.5</v>
      </c>
      <c r="K114" s="124">
        <v>82</v>
      </c>
      <c r="L114" s="124">
        <v>68.3</v>
      </c>
      <c r="M114" s="124">
        <v>69.099999999999994</v>
      </c>
      <c r="N114" s="124">
        <v>72.900000000000006</v>
      </c>
      <c r="O114" s="124">
        <v>74.900000000000006</v>
      </c>
      <c r="P114" s="124">
        <v>74.900000000000006</v>
      </c>
      <c r="Q114" s="124">
        <v>74.900000000000006</v>
      </c>
      <c r="R114" s="124">
        <v>92.2</v>
      </c>
      <c r="S114" s="124">
        <v>86.2</v>
      </c>
      <c r="T114" s="124">
        <v>85</v>
      </c>
      <c r="U114" s="124">
        <v>85</v>
      </c>
      <c r="V114" s="124">
        <v>82.1</v>
      </c>
      <c r="W114" s="124">
        <v>88</v>
      </c>
      <c r="X114" s="124">
        <v>75.900000000000006</v>
      </c>
      <c r="Y114" s="124">
        <v>69.5</v>
      </c>
      <c r="Z114" s="124">
        <v>79.8</v>
      </c>
      <c r="AA114" s="124">
        <v>87.2</v>
      </c>
      <c r="AB114" s="124">
        <v>76.8</v>
      </c>
      <c r="AC114" s="124">
        <v>87.7</v>
      </c>
      <c r="AD114" s="124">
        <v>91.6</v>
      </c>
      <c r="AE114" s="124">
        <v>85.8</v>
      </c>
      <c r="AF114" s="124">
        <v>89.8</v>
      </c>
      <c r="AG114" s="125"/>
      <c r="AH114" s="52">
        <f t="shared" si="23"/>
        <v>110.9</v>
      </c>
      <c r="AI114" s="53">
        <f t="shared" si="24"/>
        <v>68.3</v>
      </c>
    </row>
    <row r="115" spans="1:37" x14ac:dyDescent="0.25">
      <c r="A115" s="123" t="s">
        <v>119</v>
      </c>
      <c r="B115" s="124">
        <v>43.1</v>
      </c>
      <c r="C115" s="124"/>
      <c r="D115" s="124"/>
      <c r="E115" s="124">
        <v>39.5</v>
      </c>
      <c r="F115" s="124">
        <v>36.200000000000003</v>
      </c>
      <c r="G115" s="124">
        <v>46.3</v>
      </c>
      <c r="H115" s="124"/>
      <c r="I115" s="124"/>
      <c r="J115" s="124"/>
      <c r="K115" s="124"/>
      <c r="L115" s="124"/>
      <c r="M115" s="124">
        <v>19.8</v>
      </c>
      <c r="N115" s="124"/>
      <c r="O115" s="124"/>
      <c r="P115" s="124"/>
      <c r="Q115" s="124"/>
      <c r="R115" s="124">
        <v>17.100000000000001</v>
      </c>
      <c r="S115" s="124">
        <v>16.8</v>
      </c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23"/>
        <v>46.3</v>
      </c>
      <c r="AI115" s="53">
        <f t="shared" si="24"/>
        <v>16.8</v>
      </c>
    </row>
    <row r="116" spans="1:37" x14ac:dyDescent="0.25">
      <c r="A116" s="127" t="s">
        <v>120</v>
      </c>
      <c r="B116" s="113">
        <v>-7.6</v>
      </c>
      <c r="C116" s="113">
        <v>0.8</v>
      </c>
      <c r="D116" s="113">
        <v>2.2000000000000002</v>
      </c>
      <c r="E116" s="113">
        <v>1.2</v>
      </c>
      <c r="F116" s="113">
        <v>2</v>
      </c>
      <c r="G116" s="113">
        <v>0</v>
      </c>
      <c r="H116" s="113">
        <v>-17.3</v>
      </c>
      <c r="I116" s="113">
        <v>-26.3</v>
      </c>
      <c r="J116" s="113">
        <v>-44.7</v>
      </c>
      <c r="K116" s="113">
        <v>-51.7</v>
      </c>
      <c r="L116" s="113">
        <v>-58.8</v>
      </c>
      <c r="M116" s="113">
        <v>-61.1</v>
      </c>
      <c r="N116" s="113">
        <v>-54.1</v>
      </c>
      <c r="O116" s="113">
        <v>-50.9</v>
      </c>
      <c r="P116" s="113">
        <v>-50.9</v>
      </c>
      <c r="Q116" s="113">
        <v>-50.9</v>
      </c>
      <c r="R116" s="113">
        <v>-38.799999999999997</v>
      </c>
      <c r="S116" s="113">
        <v>-39.700000000000003</v>
      </c>
      <c r="T116" s="113">
        <v>-43</v>
      </c>
      <c r="U116" s="113">
        <v>-43</v>
      </c>
      <c r="V116" s="113">
        <v>-59.8</v>
      </c>
      <c r="W116" s="113">
        <v>-66.7</v>
      </c>
      <c r="X116" s="113">
        <v>-71.7</v>
      </c>
      <c r="Y116" s="113">
        <v>-98.1</v>
      </c>
      <c r="Z116" s="113">
        <v>-82.6</v>
      </c>
      <c r="AA116" s="113">
        <v>-62.5</v>
      </c>
      <c r="AB116" s="113">
        <v>-28</v>
      </c>
      <c r="AC116" s="113">
        <v>-46.7</v>
      </c>
      <c r="AD116" s="113">
        <v>-25.1</v>
      </c>
      <c r="AE116" s="113">
        <v>-12.9</v>
      </c>
      <c r="AF116" s="113">
        <v>-8.3000000000000007</v>
      </c>
      <c r="AG116" s="126"/>
      <c r="AH116" s="52">
        <f t="shared" si="23"/>
        <v>2.2000000000000002</v>
      </c>
      <c r="AI116" s="53">
        <f t="shared" si="24"/>
        <v>-98.1</v>
      </c>
    </row>
    <row r="117" spans="1:37" ht="15.75" thickBot="1" x14ac:dyDescent="0.3">
      <c r="A117" s="127" t="s">
        <v>121</v>
      </c>
      <c r="B117" s="113">
        <v>83.2</v>
      </c>
      <c r="C117" s="113">
        <v>75.3</v>
      </c>
      <c r="D117" s="113">
        <v>72.5</v>
      </c>
      <c r="E117" s="113">
        <v>71.2</v>
      </c>
      <c r="F117" s="113">
        <v>75.2</v>
      </c>
      <c r="G117" s="113">
        <v>74.400000000000006</v>
      </c>
      <c r="H117" s="113">
        <v>75</v>
      </c>
      <c r="I117" s="113">
        <v>79.2</v>
      </c>
      <c r="J117" s="113">
        <v>86.7</v>
      </c>
      <c r="K117" s="113">
        <v>80.400000000000006</v>
      </c>
      <c r="L117" s="113">
        <v>75.599999999999994</v>
      </c>
      <c r="M117" s="113">
        <v>74.3</v>
      </c>
      <c r="N117" s="113">
        <v>73.8</v>
      </c>
      <c r="O117" s="113">
        <v>70.5</v>
      </c>
      <c r="P117" s="113">
        <v>70.5</v>
      </c>
      <c r="Q117" s="113">
        <v>70.5</v>
      </c>
      <c r="R117" s="113">
        <v>88.4</v>
      </c>
      <c r="S117" s="113">
        <v>105.5</v>
      </c>
      <c r="T117" s="113">
        <v>106</v>
      </c>
      <c r="U117" s="113">
        <v>106</v>
      </c>
      <c r="V117" s="113">
        <v>102.9</v>
      </c>
      <c r="W117" s="113">
        <v>86.6</v>
      </c>
      <c r="X117" s="113">
        <v>73.8</v>
      </c>
      <c r="Y117" s="113">
        <v>102.8</v>
      </c>
      <c r="Z117" s="113">
        <v>95.6</v>
      </c>
      <c r="AA117" s="113">
        <v>83.6</v>
      </c>
      <c r="AB117" s="113">
        <v>82.6</v>
      </c>
      <c r="AC117" s="113">
        <v>87.3</v>
      </c>
      <c r="AD117" s="113">
        <v>102</v>
      </c>
      <c r="AE117" s="113">
        <v>87.3</v>
      </c>
      <c r="AF117" s="113">
        <v>85.3</v>
      </c>
      <c r="AG117" s="126"/>
      <c r="AH117" s="52">
        <f t="shared" si="23"/>
        <v>106</v>
      </c>
      <c r="AI117" s="53">
        <f t="shared" si="24"/>
        <v>70.5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43">SUM(B119:B223)</f>
        <v>0</v>
      </c>
      <c r="C224" s="144">
        <f t="shared" si="43"/>
        <v>0</v>
      </c>
      <c r="D224" s="144">
        <f t="shared" si="43"/>
        <v>0</v>
      </c>
      <c r="E224" s="144">
        <f t="shared" si="43"/>
        <v>0</v>
      </c>
      <c r="F224" s="144">
        <f t="shared" si="43"/>
        <v>0</v>
      </c>
      <c r="G224" s="144">
        <f t="shared" si="43"/>
        <v>0</v>
      </c>
      <c r="H224" s="144">
        <f t="shared" si="43"/>
        <v>0</v>
      </c>
      <c r="I224" s="144">
        <f t="shared" si="43"/>
        <v>0</v>
      </c>
      <c r="J224" s="144">
        <f t="shared" si="43"/>
        <v>0</v>
      </c>
      <c r="K224" s="144">
        <f t="shared" si="43"/>
        <v>0</v>
      </c>
      <c r="L224" s="144">
        <f t="shared" si="43"/>
        <v>0</v>
      </c>
      <c r="M224" s="144">
        <f t="shared" si="43"/>
        <v>0</v>
      </c>
      <c r="N224" s="144">
        <f t="shared" si="43"/>
        <v>0</v>
      </c>
      <c r="O224" s="144">
        <f t="shared" si="43"/>
        <v>0</v>
      </c>
      <c r="P224" s="144">
        <f t="shared" si="43"/>
        <v>0</v>
      </c>
      <c r="Q224" s="144">
        <f t="shared" si="43"/>
        <v>0</v>
      </c>
      <c r="R224" s="144">
        <f t="shared" si="43"/>
        <v>0</v>
      </c>
      <c r="S224" s="144">
        <f t="shared" si="43"/>
        <v>0</v>
      </c>
      <c r="T224" s="144">
        <f t="shared" si="43"/>
        <v>0</v>
      </c>
      <c r="U224" s="144">
        <f t="shared" si="43"/>
        <v>0</v>
      </c>
      <c r="V224" s="144">
        <f t="shared" si="43"/>
        <v>0</v>
      </c>
      <c r="W224" s="144">
        <f t="shared" si="43"/>
        <v>0</v>
      </c>
      <c r="X224" s="144">
        <f t="shared" si="43"/>
        <v>0</v>
      </c>
      <c r="Y224" s="144">
        <f t="shared" si="43"/>
        <v>0</v>
      </c>
      <c r="Z224" s="144">
        <f t="shared" si="43"/>
        <v>0</v>
      </c>
      <c r="AA224" s="144">
        <f t="shared" si="43"/>
        <v>0</v>
      </c>
      <c r="AB224" s="144">
        <f t="shared" si="43"/>
        <v>0</v>
      </c>
      <c r="AC224" s="144">
        <f t="shared" si="43"/>
        <v>0</v>
      </c>
      <c r="AD224" s="144">
        <f t="shared" si="43"/>
        <v>0</v>
      </c>
      <c r="AE224" s="144">
        <f t="shared" si="43"/>
        <v>0</v>
      </c>
      <c r="AF224" s="145">
        <f t="shared" si="43"/>
        <v>0</v>
      </c>
      <c r="AG224" s="146">
        <f t="shared" si="43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44">AF226</f>
        <v>0</v>
      </c>
      <c r="C226" s="149">
        <v>0.3</v>
      </c>
      <c r="D226" s="149">
        <f t="shared" ref="D226:P231" si="45">C226</f>
        <v>0.3</v>
      </c>
      <c r="E226" s="149">
        <f t="shared" si="45"/>
        <v>0.3</v>
      </c>
      <c r="F226" s="149">
        <f t="shared" si="45"/>
        <v>0.3</v>
      </c>
      <c r="G226" s="149">
        <f t="shared" si="45"/>
        <v>0.3</v>
      </c>
      <c r="H226" s="149">
        <f t="shared" si="45"/>
        <v>0.3</v>
      </c>
      <c r="I226" s="149">
        <f t="shared" si="45"/>
        <v>0.3</v>
      </c>
      <c r="J226" s="149">
        <f t="shared" si="45"/>
        <v>0.3</v>
      </c>
      <c r="K226" s="149">
        <f t="shared" si="45"/>
        <v>0.3</v>
      </c>
      <c r="L226" s="149">
        <f t="shared" si="45"/>
        <v>0.3</v>
      </c>
      <c r="M226" s="149">
        <f t="shared" si="45"/>
        <v>0.3</v>
      </c>
      <c r="N226" s="149">
        <f t="shared" si="45"/>
        <v>0.3</v>
      </c>
      <c r="O226" s="149">
        <f t="shared" si="45"/>
        <v>0.3</v>
      </c>
      <c r="P226" s="149">
        <f t="shared" si="45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44"/>
        <v>0</v>
      </c>
      <c r="C227" s="136">
        <v>0.4</v>
      </c>
      <c r="D227" s="136">
        <f t="shared" si="45"/>
        <v>0.4</v>
      </c>
      <c r="E227" s="136">
        <f t="shared" si="45"/>
        <v>0.4</v>
      </c>
      <c r="F227" s="136">
        <f t="shared" si="45"/>
        <v>0.4</v>
      </c>
      <c r="G227" s="136">
        <f t="shared" si="45"/>
        <v>0.4</v>
      </c>
      <c r="H227" s="136">
        <f t="shared" si="45"/>
        <v>0.4</v>
      </c>
      <c r="I227" s="136">
        <f t="shared" si="45"/>
        <v>0.4</v>
      </c>
      <c r="J227" s="136">
        <f t="shared" si="45"/>
        <v>0.4</v>
      </c>
      <c r="K227" s="136">
        <f t="shared" si="45"/>
        <v>0.4</v>
      </c>
      <c r="L227" s="136">
        <f t="shared" si="45"/>
        <v>0.4</v>
      </c>
      <c r="M227" s="136">
        <f t="shared" si="45"/>
        <v>0.4</v>
      </c>
      <c r="N227" s="136">
        <f t="shared" si="45"/>
        <v>0.4</v>
      </c>
      <c r="O227" s="136">
        <f t="shared" si="45"/>
        <v>0.4</v>
      </c>
      <c r="P227" s="136">
        <f t="shared" si="45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44"/>
        <v>0</v>
      </c>
      <c r="C228" s="136">
        <v>1.5</v>
      </c>
      <c r="D228" s="136">
        <f t="shared" si="45"/>
        <v>1.5</v>
      </c>
      <c r="E228" s="136">
        <f t="shared" si="45"/>
        <v>1.5</v>
      </c>
      <c r="F228" s="136">
        <f t="shared" si="45"/>
        <v>1.5</v>
      </c>
      <c r="G228" s="136">
        <f t="shared" si="45"/>
        <v>1.5</v>
      </c>
      <c r="H228" s="136">
        <f t="shared" si="45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5"/>
        <v>1.5</v>
      </c>
      <c r="K228" s="136">
        <f t="shared" ca="1" si="45"/>
        <v>1.5</v>
      </c>
      <c r="L228" s="136">
        <f t="shared" ca="1" si="45"/>
        <v>1.5</v>
      </c>
      <c r="M228" s="136">
        <f t="shared" ca="1" si="45"/>
        <v>1.5</v>
      </c>
      <c r="N228" s="136">
        <f t="shared" ca="1" si="45"/>
        <v>1.5</v>
      </c>
      <c r="O228" s="136">
        <f t="shared" ca="1" si="45"/>
        <v>1.5</v>
      </c>
      <c r="P228" s="136">
        <f t="shared" ca="1" si="45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44"/>
        <v>0</v>
      </c>
      <c r="C229" s="136">
        <v>0.3</v>
      </c>
      <c r="D229" s="136">
        <f t="shared" si="45"/>
        <v>0.3</v>
      </c>
      <c r="E229" s="136">
        <f t="shared" si="45"/>
        <v>0.3</v>
      </c>
      <c r="F229" s="136">
        <f t="shared" si="45"/>
        <v>0.3</v>
      </c>
      <c r="G229" s="136">
        <f t="shared" si="45"/>
        <v>0.3</v>
      </c>
      <c r="H229" s="136">
        <f t="shared" si="45"/>
        <v>0.3</v>
      </c>
      <c r="I229" s="136">
        <f t="shared" si="45"/>
        <v>0.3</v>
      </c>
      <c r="J229" s="136">
        <f t="shared" si="45"/>
        <v>0.3</v>
      </c>
      <c r="K229" s="136">
        <f t="shared" si="45"/>
        <v>0.3</v>
      </c>
      <c r="L229" s="136">
        <f t="shared" si="45"/>
        <v>0.3</v>
      </c>
      <c r="M229" s="136">
        <f t="shared" si="45"/>
        <v>0.3</v>
      </c>
      <c r="N229" s="136">
        <f t="shared" si="45"/>
        <v>0.3</v>
      </c>
      <c r="O229" s="136">
        <f t="shared" si="45"/>
        <v>0.3</v>
      </c>
      <c r="P229" s="136">
        <f t="shared" si="45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44"/>
        <v>0</v>
      </c>
      <c r="C230" s="136">
        <v>0.4</v>
      </c>
      <c r="D230" s="136">
        <f t="shared" si="45"/>
        <v>0.4</v>
      </c>
      <c r="E230" s="136">
        <f t="shared" si="45"/>
        <v>0.4</v>
      </c>
      <c r="F230" s="136">
        <f t="shared" si="45"/>
        <v>0.4</v>
      </c>
      <c r="G230" s="136">
        <f t="shared" si="45"/>
        <v>0.4</v>
      </c>
      <c r="H230" s="136">
        <f t="shared" si="45"/>
        <v>0.4</v>
      </c>
      <c r="I230" s="136">
        <f t="shared" si="45"/>
        <v>0.4</v>
      </c>
      <c r="J230" s="136">
        <f t="shared" si="45"/>
        <v>0.4</v>
      </c>
      <c r="K230" s="136">
        <f t="shared" si="45"/>
        <v>0.4</v>
      </c>
      <c r="L230" s="136">
        <f t="shared" si="45"/>
        <v>0.4</v>
      </c>
      <c r="M230" s="136">
        <f t="shared" si="45"/>
        <v>0.4</v>
      </c>
      <c r="N230" s="136">
        <f t="shared" si="45"/>
        <v>0.4</v>
      </c>
      <c r="O230" s="136">
        <f t="shared" si="45"/>
        <v>0.4</v>
      </c>
      <c r="P230" s="136">
        <f t="shared" si="45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44"/>
        <v>0</v>
      </c>
      <c r="C231" s="140">
        <v>0.64</v>
      </c>
      <c r="D231" s="140">
        <f t="shared" si="45"/>
        <v>0.64</v>
      </c>
      <c r="E231" s="140">
        <f t="shared" si="45"/>
        <v>0.64</v>
      </c>
      <c r="F231" s="140">
        <f t="shared" si="45"/>
        <v>0.64</v>
      </c>
      <c r="G231" s="140">
        <f t="shared" si="45"/>
        <v>0.64</v>
      </c>
      <c r="H231" s="140">
        <f t="shared" si="45"/>
        <v>0.64</v>
      </c>
      <c r="I231" s="140">
        <f t="shared" si="45"/>
        <v>0.64</v>
      </c>
      <c r="J231" s="140">
        <f t="shared" si="45"/>
        <v>0.64</v>
      </c>
      <c r="K231" s="140">
        <f t="shared" si="45"/>
        <v>0.64</v>
      </c>
      <c r="L231" s="140">
        <f t="shared" si="45"/>
        <v>0.64</v>
      </c>
      <c r="M231" s="140">
        <f t="shared" si="45"/>
        <v>0.64</v>
      </c>
      <c r="N231" s="140">
        <f t="shared" si="45"/>
        <v>0.64</v>
      </c>
      <c r="O231" s="140">
        <f t="shared" si="45"/>
        <v>0.64</v>
      </c>
      <c r="P231" s="140">
        <f t="shared" si="45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46">SUM(B226:B231)</f>
        <v>0</v>
      </c>
      <c r="C232" s="144">
        <f t="shared" si="46"/>
        <v>3.54</v>
      </c>
      <c r="D232" s="144">
        <f t="shared" si="46"/>
        <v>3.54</v>
      </c>
      <c r="E232" s="144">
        <f t="shared" si="46"/>
        <v>3.54</v>
      </c>
      <c r="F232" s="144">
        <f t="shared" si="46"/>
        <v>3.54</v>
      </c>
      <c r="G232" s="144">
        <f t="shared" si="46"/>
        <v>3.54</v>
      </c>
      <c r="H232" s="144">
        <f t="shared" si="46"/>
        <v>3.54</v>
      </c>
      <c r="I232" s="144">
        <f t="shared" ca="1" si="46"/>
        <v>3.54</v>
      </c>
      <c r="J232" s="144">
        <f t="shared" ca="1" si="46"/>
        <v>3.54</v>
      </c>
      <c r="K232" s="144">
        <f t="shared" ca="1" si="46"/>
        <v>3.54</v>
      </c>
      <c r="L232" s="144">
        <f t="shared" ca="1" si="46"/>
        <v>3.54</v>
      </c>
      <c r="M232" s="144">
        <f t="shared" ca="1" si="46"/>
        <v>3.54</v>
      </c>
      <c r="N232" s="144">
        <f t="shared" ca="1" si="46"/>
        <v>3.54</v>
      </c>
      <c r="O232" s="144">
        <f t="shared" ca="1" si="46"/>
        <v>3.54</v>
      </c>
      <c r="P232" s="144">
        <f t="shared" ca="1" si="46"/>
        <v>3.54</v>
      </c>
      <c r="Q232" s="144">
        <f t="shared" si="46"/>
        <v>0</v>
      </c>
      <c r="R232" s="144">
        <f t="shared" si="46"/>
        <v>0</v>
      </c>
      <c r="S232" s="144">
        <f t="shared" si="46"/>
        <v>0</v>
      </c>
      <c r="T232" s="144">
        <f t="shared" si="46"/>
        <v>0</v>
      </c>
      <c r="U232" s="144">
        <f t="shared" si="46"/>
        <v>0</v>
      </c>
      <c r="V232" s="144">
        <f t="shared" si="46"/>
        <v>0</v>
      </c>
      <c r="W232" s="144">
        <f t="shared" si="46"/>
        <v>0</v>
      </c>
      <c r="X232" s="144">
        <f t="shared" si="46"/>
        <v>0</v>
      </c>
      <c r="Y232" s="144">
        <f t="shared" si="46"/>
        <v>0</v>
      </c>
      <c r="Z232" s="144">
        <f t="shared" si="46"/>
        <v>0</v>
      </c>
      <c r="AA232" s="144">
        <f t="shared" si="46"/>
        <v>0</v>
      </c>
      <c r="AB232" s="144">
        <f t="shared" si="46"/>
        <v>0</v>
      </c>
      <c r="AC232" s="144">
        <f t="shared" si="46"/>
        <v>0</v>
      </c>
      <c r="AD232" s="144">
        <f t="shared" si="46"/>
        <v>0</v>
      </c>
      <c r="AE232" s="144">
        <f t="shared" si="46"/>
        <v>0</v>
      </c>
      <c r="AF232" s="144">
        <f t="shared" si="46"/>
        <v>0</v>
      </c>
      <c r="AG232" s="154">
        <f t="shared" si="46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1429.14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15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2079/12/15)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2079/12/15)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47">B89</f>
        <v>1136.3399999999999</v>
      </c>
      <c r="U246" s="180">
        <f t="shared" si="47"/>
        <v>1042.1399999999999</v>
      </c>
      <c r="V246" s="180">
        <f t="shared" si="47"/>
        <v>1064.77</v>
      </c>
      <c r="W246" s="180">
        <f t="shared" si="47"/>
        <v>1069.74</v>
      </c>
      <c r="X246" s="180">
        <f t="shared" si="47"/>
        <v>1079.54</v>
      </c>
      <c r="Y246" s="180">
        <f t="shared" si="47"/>
        <v>1064.94</v>
      </c>
      <c r="Z246" s="180">
        <f t="shared" si="47"/>
        <v>1136.74</v>
      </c>
      <c r="AA246" s="180">
        <f t="shared" si="47"/>
        <v>1159.3399999999999</v>
      </c>
      <c r="AB246" s="180">
        <f t="shared" si="47"/>
        <v>1256.8400000000001</v>
      </c>
      <c r="AC246" s="180">
        <f t="shared" si="47"/>
        <v>1335.52</v>
      </c>
      <c r="AD246" s="180">
        <f t="shared" si="47"/>
        <v>1429.14</v>
      </c>
      <c r="AE246" s="180">
        <f t="shared" si="47"/>
        <v>1425.94</v>
      </c>
      <c r="AF246" s="180">
        <f t="shared" si="47"/>
        <v>1372.94</v>
      </c>
      <c r="AG246" s="180">
        <f t="shared" si="47"/>
        <v>1305.94</v>
      </c>
      <c r="AH246" s="180">
        <f t="shared" si="47"/>
        <v>1053.54</v>
      </c>
      <c r="AI246" s="180">
        <f t="shared" si="47"/>
        <v>1304.3400000000001</v>
      </c>
      <c r="AJ246" s="180">
        <f t="shared" si="47"/>
        <v>1254.6400000000001</v>
      </c>
      <c r="AK246" s="180">
        <f t="shared" si="47"/>
        <v>1251.3399999999999</v>
      </c>
      <c r="AL246" s="180">
        <f t="shared" si="47"/>
        <v>1323.04</v>
      </c>
      <c r="AM246" s="180">
        <f t="shared" si="47"/>
        <v>1323.04</v>
      </c>
      <c r="AN246" s="180">
        <f t="shared" si="47"/>
        <v>1267.8399999999999</v>
      </c>
      <c r="AO246" s="180">
        <f t="shared" si="47"/>
        <v>1351.44</v>
      </c>
      <c r="AP246" s="180">
        <f t="shared" si="47"/>
        <v>1358.54</v>
      </c>
      <c r="AQ246" s="180">
        <f t="shared" si="47"/>
        <v>1432.54</v>
      </c>
      <c r="AR246" s="180">
        <f t="shared" si="47"/>
        <v>1529.6399999999999</v>
      </c>
      <c r="AS246" s="180">
        <f t="shared" si="47"/>
        <v>1529.6399999999999</v>
      </c>
      <c r="AT246" s="180">
        <f t="shared" si="47"/>
        <v>1379.64</v>
      </c>
      <c r="AU246" s="180">
        <f t="shared" si="47"/>
        <v>1396.8400000000001</v>
      </c>
      <c r="AV246" s="180">
        <f t="shared" si="47"/>
        <v>1336.5400000000002</v>
      </c>
      <c r="AW246" s="180">
        <f t="shared" si="47"/>
        <v>1228.8400000000001</v>
      </c>
      <c r="AX246" s="180">
        <f t="shared" si="47"/>
        <v>1176.1400000000001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48">C231</f>
        <v>0.64</v>
      </c>
      <c r="C267" s="183">
        <f t="shared" si="48"/>
        <v>0.64</v>
      </c>
      <c r="D267" s="183">
        <f t="shared" si="48"/>
        <v>0.64</v>
      </c>
      <c r="E267" s="183">
        <f t="shared" si="48"/>
        <v>0.64</v>
      </c>
      <c r="F267" s="183">
        <f t="shared" si="48"/>
        <v>0.64</v>
      </c>
      <c r="G267" s="183">
        <f t="shared" si="48"/>
        <v>0.64</v>
      </c>
      <c r="H267" s="183">
        <f t="shared" si="48"/>
        <v>0.64</v>
      </c>
      <c r="I267" s="183">
        <f t="shared" si="48"/>
        <v>0.64</v>
      </c>
      <c r="J267" s="183">
        <f t="shared" si="48"/>
        <v>0.64</v>
      </c>
      <c r="K267" s="183">
        <f t="shared" si="48"/>
        <v>0.64</v>
      </c>
      <c r="L267" s="183">
        <f t="shared" si="48"/>
        <v>0.64</v>
      </c>
      <c r="M267" s="183">
        <f t="shared" si="48"/>
        <v>0.64</v>
      </c>
      <c r="N267" s="183">
        <f t="shared" si="48"/>
        <v>0.64</v>
      </c>
      <c r="O267" s="183">
        <f t="shared" si="48"/>
        <v>0.64</v>
      </c>
      <c r="P267" s="183">
        <f t="shared" si="48"/>
        <v>0</v>
      </c>
      <c r="Q267" s="183">
        <f t="shared" si="48"/>
        <v>0</v>
      </c>
      <c r="R267" s="183">
        <f t="shared" si="48"/>
        <v>0</v>
      </c>
      <c r="S267" s="183">
        <f t="shared" si="48"/>
        <v>0</v>
      </c>
      <c r="T267" s="183">
        <f t="shared" si="48"/>
        <v>0</v>
      </c>
      <c r="U267" s="183">
        <f t="shared" si="48"/>
        <v>0</v>
      </c>
      <c r="V267" s="183">
        <f t="shared" si="48"/>
        <v>0</v>
      </c>
      <c r="W267" s="183">
        <f t="shared" si="48"/>
        <v>0</v>
      </c>
      <c r="X267" s="183">
        <f t="shared" si="48"/>
        <v>0</v>
      </c>
      <c r="Y267" s="183">
        <f t="shared" si="48"/>
        <v>0</v>
      </c>
      <c r="Z267" s="183">
        <f t="shared" si="48"/>
        <v>0</v>
      </c>
      <c r="AA267" s="183">
        <f t="shared" si="48"/>
        <v>0</v>
      </c>
      <c r="AB267" s="183">
        <f t="shared" si="48"/>
        <v>0</v>
      </c>
      <c r="AC267" s="183">
        <f t="shared" si="48"/>
        <v>0</v>
      </c>
      <c r="AD267" s="183">
        <f t="shared" si="48"/>
        <v>0</v>
      </c>
      <c r="AE267" s="183">
        <f t="shared" si="48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9">IF(B235&lt;100,"",B235-520)</f>
        <v/>
      </c>
      <c r="C268" s="184" t="str">
        <f t="shared" si="49"/>
        <v/>
      </c>
      <c r="D268" s="184" t="str">
        <f t="shared" si="49"/>
        <v/>
      </c>
      <c r="E268" s="184" t="str">
        <f t="shared" si="49"/>
        <v/>
      </c>
      <c r="F268" s="184" t="str">
        <f t="shared" si="49"/>
        <v/>
      </c>
      <c r="G268" s="184" t="str">
        <f t="shared" si="49"/>
        <v/>
      </c>
      <c r="H268" s="184" t="str">
        <f t="shared" si="49"/>
        <v/>
      </c>
      <c r="I268" s="184" t="str">
        <f t="shared" si="49"/>
        <v/>
      </c>
      <c r="J268" s="184" t="str">
        <f t="shared" si="49"/>
        <v/>
      </c>
      <c r="K268" s="184" t="str">
        <f t="shared" si="49"/>
        <v/>
      </c>
      <c r="L268" s="184" t="str">
        <f t="shared" si="49"/>
        <v/>
      </c>
      <c r="M268" s="184" t="str">
        <f t="shared" si="49"/>
        <v/>
      </c>
      <c r="N268" s="184" t="str">
        <f t="shared" si="49"/>
        <v/>
      </c>
      <c r="O268" s="184" t="str">
        <f t="shared" si="49"/>
        <v/>
      </c>
      <c r="P268" s="184" t="str">
        <f t="shared" si="49"/>
        <v/>
      </c>
      <c r="Q268" s="184" t="str">
        <f t="shared" si="49"/>
        <v/>
      </c>
      <c r="R268" s="184" t="str">
        <f t="shared" si="49"/>
        <v/>
      </c>
      <c r="S268" s="184" t="str">
        <f t="shared" si="49"/>
        <v/>
      </c>
      <c r="T268" s="184" t="str">
        <f t="shared" si="49"/>
        <v/>
      </c>
      <c r="U268" s="184" t="str">
        <f t="shared" si="49"/>
        <v/>
      </c>
      <c r="V268" s="184" t="str">
        <f t="shared" si="49"/>
        <v/>
      </c>
      <c r="W268" s="184" t="str">
        <f t="shared" si="49"/>
        <v/>
      </c>
      <c r="X268" s="184" t="str">
        <f t="shared" si="49"/>
        <v/>
      </c>
      <c r="Y268" s="184" t="str">
        <f t="shared" si="49"/>
        <v/>
      </c>
      <c r="Z268" s="184" t="str">
        <f t="shared" si="49"/>
        <v/>
      </c>
      <c r="AA268" s="184" t="str">
        <f t="shared" si="49"/>
        <v/>
      </c>
      <c r="AB268" s="184" t="str">
        <f t="shared" si="49"/>
        <v/>
      </c>
      <c r="AC268" s="184" t="str">
        <f t="shared" si="49"/>
        <v/>
      </c>
      <c r="AD268" s="184" t="str">
        <f t="shared" si="49"/>
        <v/>
      </c>
      <c r="AE268" s="184" t="str">
        <f t="shared" si="49"/>
        <v/>
      </c>
      <c r="AF268" s="184" t="str">
        <f t="shared" si="49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50">IF(B236&lt;100,"",B236-620)</f>
        <v/>
      </c>
      <c r="C269" s="184" t="str">
        <f t="shared" si="50"/>
        <v/>
      </c>
      <c r="D269" s="184" t="str">
        <f t="shared" si="50"/>
        <v/>
      </c>
      <c r="E269" s="184" t="str">
        <f t="shared" si="50"/>
        <v/>
      </c>
      <c r="F269" s="184" t="str">
        <f t="shared" si="50"/>
        <v/>
      </c>
      <c r="G269" s="184" t="str">
        <f t="shared" si="50"/>
        <v/>
      </c>
      <c r="H269" s="184" t="str">
        <f t="shared" si="50"/>
        <v/>
      </c>
      <c r="I269" s="184" t="str">
        <f t="shared" si="50"/>
        <v/>
      </c>
      <c r="J269" s="184" t="str">
        <f t="shared" si="50"/>
        <v/>
      </c>
      <c r="K269" s="184" t="str">
        <f t="shared" si="50"/>
        <v/>
      </c>
      <c r="L269" s="184" t="str">
        <f t="shared" si="50"/>
        <v/>
      </c>
      <c r="M269" s="184" t="str">
        <f t="shared" si="50"/>
        <v/>
      </c>
      <c r="N269" s="184" t="str">
        <f t="shared" si="50"/>
        <v/>
      </c>
      <c r="O269" s="184" t="str">
        <f t="shared" si="50"/>
        <v/>
      </c>
      <c r="P269" s="184" t="str">
        <f t="shared" si="50"/>
        <v/>
      </c>
      <c r="Q269" s="184" t="str">
        <f t="shared" si="50"/>
        <v/>
      </c>
      <c r="R269" s="184" t="str">
        <f t="shared" si="50"/>
        <v/>
      </c>
      <c r="S269" s="184" t="str">
        <f t="shared" si="50"/>
        <v/>
      </c>
      <c r="T269" s="184" t="str">
        <f t="shared" si="50"/>
        <v/>
      </c>
      <c r="U269" s="184" t="str">
        <f t="shared" si="50"/>
        <v/>
      </c>
      <c r="V269" s="184" t="str">
        <f t="shared" si="50"/>
        <v/>
      </c>
      <c r="W269" s="184" t="str">
        <f t="shared" si="50"/>
        <v/>
      </c>
      <c r="X269" s="184" t="str">
        <f t="shared" si="50"/>
        <v/>
      </c>
      <c r="Y269" s="184" t="str">
        <f t="shared" si="50"/>
        <v/>
      </c>
      <c r="Z269" s="184" t="str">
        <f t="shared" si="50"/>
        <v/>
      </c>
      <c r="AA269" s="184" t="str">
        <f t="shared" si="50"/>
        <v/>
      </c>
      <c r="AB269" s="184" t="str">
        <f t="shared" si="50"/>
        <v/>
      </c>
      <c r="AC269" s="184" t="str">
        <f t="shared" si="50"/>
        <v/>
      </c>
      <c r="AD269" s="184" t="str">
        <f t="shared" si="50"/>
        <v/>
      </c>
      <c r="AE269" s="184" t="str">
        <f t="shared" si="50"/>
        <v/>
      </c>
      <c r="AF269" s="184" t="str">
        <f t="shared" si="50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51">IF(B237&lt;100,"",B237-330)</f>
        <v/>
      </c>
      <c r="C270" s="184" t="str">
        <f t="shared" si="51"/>
        <v/>
      </c>
      <c r="D270" s="184" t="str">
        <f t="shared" si="51"/>
        <v/>
      </c>
      <c r="E270" s="184" t="str">
        <f t="shared" si="51"/>
        <v/>
      </c>
      <c r="F270" s="184" t="str">
        <f t="shared" si="51"/>
        <v/>
      </c>
      <c r="G270" s="184" t="str">
        <f t="shared" si="51"/>
        <v/>
      </c>
      <c r="H270" s="184" t="str">
        <f t="shared" si="51"/>
        <v/>
      </c>
      <c r="I270" s="184" t="str">
        <f t="shared" si="51"/>
        <v/>
      </c>
      <c r="J270" s="184" t="str">
        <f t="shared" si="51"/>
        <v/>
      </c>
      <c r="K270" s="184" t="str">
        <f t="shared" si="51"/>
        <v/>
      </c>
      <c r="L270" s="184" t="str">
        <f t="shared" si="51"/>
        <v/>
      </c>
      <c r="M270" s="184" t="str">
        <f t="shared" si="51"/>
        <v/>
      </c>
      <c r="N270" s="184" t="str">
        <f t="shared" si="51"/>
        <v/>
      </c>
      <c r="O270" s="184" t="str">
        <f t="shared" si="51"/>
        <v/>
      </c>
      <c r="P270" s="184" t="str">
        <f t="shared" si="51"/>
        <v/>
      </c>
      <c r="Q270" s="184" t="str">
        <f t="shared" si="51"/>
        <v/>
      </c>
      <c r="R270" s="184" t="str">
        <f t="shared" si="51"/>
        <v/>
      </c>
      <c r="S270" s="184" t="str">
        <f t="shared" si="51"/>
        <v/>
      </c>
      <c r="T270" s="184" t="str">
        <f t="shared" si="51"/>
        <v/>
      </c>
      <c r="U270" s="184" t="str">
        <f t="shared" si="51"/>
        <v/>
      </c>
      <c r="V270" s="184" t="str">
        <f t="shared" si="51"/>
        <v/>
      </c>
      <c r="W270" s="184" t="str">
        <f t="shared" si="51"/>
        <v/>
      </c>
      <c r="X270" s="184" t="str">
        <f t="shared" si="51"/>
        <v/>
      </c>
      <c r="Y270" s="184" t="str">
        <f t="shared" si="51"/>
        <v/>
      </c>
      <c r="Z270" s="184" t="str">
        <f t="shared" si="51"/>
        <v/>
      </c>
      <c r="AA270" s="184" t="str">
        <f t="shared" si="51"/>
        <v/>
      </c>
      <c r="AB270" s="184" t="str">
        <f t="shared" si="51"/>
        <v/>
      </c>
      <c r="AC270" s="184" t="str">
        <f t="shared" si="51"/>
        <v/>
      </c>
      <c r="AD270" s="184" t="str">
        <f t="shared" si="51"/>
        <v/>
      </c>
      <c r="AE270" s="184" t="str">
        <f t="shared" si="51"/>
        <v/>
      </c>
      <c r="AF270" s="184" t="str">
        <f t="shared" si="51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52">IF(B238&lt;100,"",B238-1500)</f>
        <v/>
      </c>
      <c r="C271" s="184" t="str">
        <f t="shared" si="52"/>
        <v/>
      </c>
      <c r="D271" s="184" t="str">
        <f t="shared" si="52"/>
        <v/>
      </c>
      <c r="E271" s="184" t="str">
        <f t="shared" si="52"/>
        <v/>
      </c>
      <c r="F271" s="184" t="str">
        <f t="shared" si="52"/>
        <v/>
      </c>
      <c r="G271" s="184" t="str">
        <f t="shared" si="52"/>
        <v/>
      </c>
      <c r="H271" s="184" t="str">
        <f t="shared" si="52"/>
        <v/>
      </c>
      <c r="I271" s="184" t="str">
        <f t="shared" si="52"/>
        <v/>
      </c>
      <c r="J271" s="184" t="str">
        <f t="shared" si="52"/>
        <v/>
      </c>
      <c r="K271" s="184" t="str">
        <f t="shared" si="52"/>
        <v/>
      </c>
      <c r="L271" s="184" t="str">
        <f t="shared" si="52"/>
        <v/>
      </c>
      <c r="M271" s="184" t="str">
        <f t="shared" si="52"/>
        <v/>
      </c>
      <c r="N271" s="184" t="str">
        <f t="shared" si="52"/>
        <v/>
      </c>
      <c r="O271" s="184" t="str">
        <f t="shared" si="52"/>
        <v/>
      </c>
      <c r="P271" s="184" t="str">
        <f t="shared" si="52"/>
        <v/>
      </c>
      <c r="Q271" s="184" t="str">
        <f t="shared" si="52"/>
        <v/>
      </c>
      <c r="R271" s="184" t="str">
        <f t="shared" si="52"/>
        <v/>
      </c>
      <c r="S271" s="184" t="str">
        <f t="shared" si="52"/>
        <v/>
      </c>
      <c r="T271" s="184" t="str">
        <f t="shared" si="52"/>
        <v/>
      </c>
      <c r="U271" s="184" t="str">
        <f t="shared" si="52"/>
        <v/>
      </c>
      <c r="V271" s="184" t="str">
        <f t="shared" si="52"/>
        <v/>
      </c>
      <c r="W271" s="184" t="str">
        <f t="shared" si="52"/>
        <v/>
      </c>
      <c r="X271" s="184" t="str">
        <f t="shared" si="52"/>
        <v/>
      </c>
      <c r="Y271" s="184" t="str">
        <f t="shared" si="52"/>
        <v/>
      </c>
      <c r="Z271" s="184" t="str">
        <f t="shared" si="52"/>
        <v/>
      </c>
      <c r="AA271" s="184" t="str">
        <f t="shared" si="52"/>
        <v/>
      </c>
      <c r="AB271" s="184" t="str">
        <f t="shared" si="52"/>
        <v/>
      </c>
      <c r="AC271" s="184" t="str">
        <f t="shared" si="52"/>
        <v/>
      </c>
      <c r="AD271" s="184" t="str">
        <f t="shared" si="52"/>
        <v/>
      </c>
      <c r="AE271" s="184" t="str">
        <f t="shared" si="52"/>
        <v/>
      </c>
      <c r="AF271" s="184" t="str">
        <f t="shared" si="52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8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84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6814" priority="580">
      <formula>B$9&gt;=20/24</formula>
    </cfRule>
    <cfRule type="expression" dxfId="6813" priority="581">
      <formula>AND(B$9&gt;=14/24,B$9&lt;20/24)</formula>
    </cfRule>
    <cfRule type="expression" dxfId="6812" priority="582">
      <formula>AND(B$9&gt;=8/24,B$9&lt;14/24)</formula>
    </cfRule>
    <cfRule type="expression" dxfId="6811" priority="583">
      <formula>B$9&lt;8/24</formula>
    </cfRule>
  </conditionalFormatting>
  <conditionalFormatting sqref="AL4:AL6">
    <cfRule type="iconSet" priority="579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6810" priority="578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6809" priority="577">
      <formula>$AH12=0</formula>
    </cfRule>
  </conditionalFormatting>
  <conditionalFormatting sqref="A114">
    <cfRule type="expression" dxfId="6808" priority="576">
      <formula>$AH114=0</formula>
    </cfRule>
  </conditionalFormatting>
  <conditionalFormatting sqref="AL42">
    <cfRule type="iconSet" priority="575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807" priority="574">
      <formula>$AH45=0</formula>
    </cfRule>
  </conditionalFormatting>
  <conditionalFormatting sqref="A98">
    <cfRule type="expression" dxfId="6806" priority="573">
      <formula>$AH98=0</formula>
    </cfRule>
  </conditionalFormatting>
  <conditionalFormatting sqref="A18">
    <cfRule type="expression" dxfId="6805" priority="572">
      <formula>$AH18=0</formula>
    </cfRule>
  </conditionalFormatting>
  <conditionalFormatting sqref="A196:A201">
    <cfRule type="expression" dxfId="6804" priority="571">
      <formula>$AH196=0</formula>
    </cfRule>
  </conditionalFormatting>
  <conditionalFormatting sqref="A190:A195">
    <cfRule type="expression" dxfId="6803" priority="570">
      <formula>$AH190=0</formula>
    </cfRule>
  </conditionalFormatting>
  <conditionalFormatting sqref="A58">
    <cfRule type="expression" dxfId="6802" priority="569">
      <formula>$AH58=0</formula>
    </cfRule>
  </conditionalFormatting>
  <conditionalFormatting sqref="A94">
    <cfRule type="expression" dxfId="6801" priority="568">
      <formula>$AH94=0</formula>
    </cfRule>
  </conditionalFormatting>
  <conditionalFormatting sqref="AD99:AF99 E99:X99">
    <cfRule type="expression" dxfId="6800" priority="564">
      <formula>E$9&gt;=20/24</formula>
    </cfRule>
    <cfRule type="expression" dxfId="6799" priority="565">
      <formula>AND(E$9&gt;=14/24,E$9&lt;20/24)</formula>
    </cfRule>
    <cfRule type="expression" dxfId="6798" priority="566">
      <formula>AND(E$9&gt;=8/24,E$9&lt;14/24)</formula>
    </cfRule>
    <cfRule type="expression" dxfId="6797" priority="567">
      <formula>E$9&lt;8/24</formula>
    </cfRule>
  </conditionalFormatting>
  <conditionalFormatting sqref="AL43">
    <cfRule type="iconSet" priority="56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96" priority="586">
      <formula>C$9&gt;=20/24</formula>
    </cfRule>
    <cfRule type="expression" dxfId="6795" priority="587">
      <formula>AND(C$9&gt;=14/24,C$9&lt;20/24)</formula>
    </cfRule>
    <cfRule type="expression" dxfId="6794" priority="588">
      <formula>AND(C$9&gt;=8/24,C$9&lt;14/24)</formula>
    </cfRule>
    <cfRule type="expression" dxfId="6793" priority="589">
      <formula>C$9&lt;8/24</formula>
    </cfRule>
  </conditionalFormatting>
  <conditionalFormatting sqref="A233">
    <cfRule type="expression" dxfId="6792" priority="590">
      <formula>$AH233=0</formula>
    </cfRule>
  </conditionalFormatting>
  <conditionalFormatting sqref="AG245">
    <cfRule type="expression" dxfId="6791" priority="591">
      <formula>B$9&gt;=20/24</formula>
    </cfRule>
    <cfRule type="expression" dxfId="6790" priority="592">
      <formula>AND(B$9&gt;=14/24,B$9&lt;20/24)</formula>
    </cfRule>
    <cfRule type="expression" dxfId="6789" priority="593">
      <formula>AND(B$9&gt;=8/24,B$9&lt;14/24)</formula>
    </cfRule>
    <cfRule type="expression" dxfId="6788" priority="594">
      <formula>B$9&lt;8/24</formula>
    </cfRule>
  </conditionalFormatting>
  <conditionalFormatting sqref="S8">
    <cfRule type="expression" dxfId="6787" priority="559">
      <formula>U$9&gt;=20/24</formula>
    </cfRule>
    <cfRule type="expression" dxfId="6786" priority="560">
      <formula>AND(U$9&gt;=14/24,U$9&lt;20/24)</formula>
    </cfRule>
    <cfRule type="expression" dxfId="6785" priority="561">
      <formula>AND(U$9&gt;=8/24,U$9&lt;14/24)</formula>
    </cfRule>
    <cfRule type="expression" dxfId="6784" priority="562">
      <formula>U$9&lt;8/24</formula>
    </cfRule>
  </conditionalFormatting>
  <conditionalFormatting sqref="AB8">
    <cfRule type="expression" dxfId="6783" priority="555">
      <formula>AD$9&gt;=20/24</formula>
    </cfRule>
    <cfRule type="expression" dxfId="6782" priority="556">
      <formula>AND(AD$9&gt;=14/24,AD$9&lt;20/24)</formula>
    </cfRule>
    <cfRule type="expression" dxfId="6781" priority="557">
      <formula>AND(AD$9&gt;=8/24,AD$9&lt;14/24)</formula>
    </cfRule>
    <cfRule type="expression" dxfId="6780" priority="558">
      <formula>AD$9&lt;8/24</formula>
    </cfRule>
  </conditionalFormatting>
  <conditionalFormatting sqref="AH245:AX245">
    <cfRule type="expression" dxfId="6779" priority="595">
      <formula>AG$9&gt;=20/24</formula>
    </cfRule>
    <cfRule type="expression" dxfId="6778" priority="596">
      <formula>AND(AG$9&gt;=14/24,AG$9&lt;20/24)</formula>
    </cfRule>
    <cfRule type="expression" dxfId="6777" priority="597">
      <formula>AND(AG$9&gt;=8/24,AG$9&lt;14/24)</formula>
    </cfRule>
    <cfRule type="expression" dxfId="6776" priority="598">
      <formula>AG$9&lt;8/24</formula>
    </cfRule>
  </conditionalFormatting>
  <conditionalFormatting sqref="T245">
    <cfRule type="expression" dxfId="6775" priority="599">
      <formula>AX$9&gt;=20/24</formula>
    </cfRule>
    <cfRule type="expression" dxfId="6774" priority="600">
      <formula>AND(AX$9&gt;=14/24,AX$9&lt;20/24)</formula>
    </cfRule>
    <cfRule type="expression" dxfId="6773" priority="601">
      <formula>AND(AX$9&gt;=8/24,AX$9&lt;14/24)</formula>
    </cfRule>
    <cfRule type="expression" dxfId="6772" priority="602">
      <formula>AX$9&lt;8/24</formula>
    </cfRule>
  </conditionalFormatting>
  <conditionalFormatting sqref="A115:A116">
    <cfRule type="expression" dxfId="6771" priority="554">
      <formula>$AH115=0</formula>
    </cfRule>
  </conditionalFormatting>
  <conditionalFormatting sqref="N54:Q58 AB54:AF56 E71:AF71">
    <cfRule type="expression" dxfId="6770" priority="550">
      <formula>E$9&gt;=20/24</formula>
    </cfRule>
    <cfRule type="expression" dxfId="6769" priority="551">
      <formula>AND(E$9&gt;=14/24,E$9&lt;20/24)</formula>
    </cfRule>
    <cfRule type="expression" dxfId="6768" priority="552">
      <formula>AND(E$9&gt;=8/24,E$9&lt;14/24)</formula>
    </cfRule>
    <cfRule type="expression" dxfId="6767" priority="553">
      <formula>E$9&lt;8/24</formula>
    </cfRule>
  </conditionalFormatting>
  <conditionalFormatting sqref="N53:Q53 AB53:AF53">
    <cfRule type="expression" dxfId="6766" priority="546">
      <formula>N$9&gt;=20/24</formula>
    </cfRule>
    <cfRule type="expression" dxfId="6765" priority="547">
      <formula>AND(N$9&gt;=14/24,N$9&lt;20/24)</formula>
    </cfRule>
    <cfRule type="expression" dxfId="6764" priority="548">
      <formula>AND(N$9&gt;=8/24,N$9&lt;14/24)</formula>
    </cfRule>
    <cfRule type="expression" dxfId="6763" priority="549">
      <formula>N$9&lt;8/24</formula>
    </cfRule>
  </conditionalFormatting>
  <conditionalFormatting sqref="N53:Q58 AB53:AF56">
    <cfRule type="expression" dxfId="6762" priority="545">
      <formula>N53&gt;$AG53</formula>
    </cfRule>
  </conditionalFormatting>
  <conditionalFormatting sqref="AD100:AF106 M100:X106 E72:X73 X96:AF96 Y47:AF47 D86:AF86 Y67:AF69 Y72:AF74">
    <cfRule type="expression" dxfId="6761" priority="541">
      <formula>D$9&gt;=20/24</formula>
    </cfRule>
    <cfRule type="expression" dxfId="6760" priority="542">
      <formula>AND(D$9&gt;=14/24,D$9&lt;20/24)</formula>
    </cfRule>
    <cfRule type="expression" dxfId="6759" priority="543">
      <formula>AND(D$9&gt;=8/24,D$9&lt;14/24)</formula>
    </cfRule>
    <cfRule type="expression" dxfId="6758" priority="544">
      <formula>D$9&lt;8/24</formula>
    </cfRule>
  </conditionalFormatting>
  <conditionalFormatting sqref="Y47:AF47 Y67:AF69">
    <cfRule type="expression" dxfId="6757" priority="540">
      <formula>Y47&gt;$AG47</formula>
    </cfRule>
  </conditionalFormatting>
  <conditionalFormatting sqref="R53:AA58 AB57:AF58">
    <cfRule type="expression" dxfId="6756" priority="536">
      <formula>R$9&gt;=20/24</formula>
    </cfRule>
    <cfRule type="expression" dxfId="6755" priority="537">
      <formula>AND(R$9&gt;=14/24,R$9&lt;20/24)</formula>
    </cfRule>
    <cfRule type="expression" dxfId="6754" priority="538">
      <formula>AND(R$9&gt;=8/24,R$9&lt;14/24)</formula>
    </cfRule>
    <cfRule type="expression" dxfId="6753" priority="539">
      <formula>R$9&lt;8/24</formula>
    </cfRule>
  </conditionalFormatting>
  <conditionalFormatting sqref="R53:AA58 AB57:AF58">
    <cfRule type="expression" dxfId="6752" priority="535">
      <formula>R53&gt;$AG53</formula>
    </cfRule>
  </conditionalFormatting>
  <conditionalFormatting sqref="C97:AF97 D88:AF88">
    <cfRule type="expression" dxfId="6751" priority="531">
      <formula>C$9&gt;=20/24</formula>
    </cfRule>
    <cfRule type="expression" dxfId="6750" priority="532">
      <formula>AND(C$9&gt;=14/24,C$9&lt;20/24)</formula>
    </cfRule>
    <cfRule type="expression" dxfId="6749" priority="533">
      <formula>AND(C$9&gt;=8/24,C$9&lt;14/24)</formula>
    </cfRule>
    <cfRule type="expression" dxfId="6748" priority="534">
      <formula>C$9&lt;8/24</formula>
    </cfRule>
  </conditionalFormatting>
  <conditionalFormatting sqref="T47:X47">
    <cfRule type="expression" dxfId="6747" priority="527">
      <formula>T$9&gt;=20/24</formula>
    </cfRule>
    <cfRule type="expression" dxfId="6746" priority="528">
      <formula>AND(T$9&gt;=14/24,T$9&lt;20/24)</formula>
    </cfRule>
    <cfRule type="expression" dxfId="6745" priority="529">
      <formula>AND(T$9&gt;=8/24,T$9&lt;14/24)</formula>
    </cfRule>
    <cfRule type="expression" dxfId="6744" priority="530">
      <formula>T$9&lt;8/24</formula>
    </cfRule>
  </conditionalFormatting>
  <conditionalFormatting sqref="T47:X47">
    <cfRule type="expression" dxfId="6743" priority="526">
      <formula>T47&gt;$AG47</formula>
    </cfRule>
  </conditionalFormatting>
  <conditionalFormatting sqref="E54:M55">
    <cfRule type="expression" dxfId="6742" priority="522">
      <formula>E$9&gt;=20/24</formula>
    </cfRule>
    <cfRule type="expression" dxfId="6741" priority="523">
      <formula>AND(E$9&gt;=14/24,E$9&lt;20/24)</formula>
    </cfRule>
    <cfRule type="expression" dxfId="6740" priority="524">
      <formula>AND(E$9&gt;=8/24,E$9&lt;14/24)</formula>
    </cfRule>
    <cfRule type="expression" dxfId="6739" priority="525">
      <formula>E$9&lt;8/24</formula>
    </cfRule>
  </conditionalFormatting>
  <conditionalFormatting sqref="E53:M53">
    <cfRule type="expression" dxfId="6738" priority="518">
      <formula>E$9&gt;=20/24</formula>
    </cfRule>
    <cfRule type="expression" dxfId="6737" priority="519">
      <formula>AND(E$9&gt;=14/24,E$9&lt;20/24)</formula>
    </cfRule>
    <cfRule type="expression" dxfId="6736" priority="520">
      <formula>AND(E$9&gt;=8/24,E$9&lt;14/24)</formula>
    </cfRule>
    <cfRule type="expression" dxfId="6735" priority="521">
      <formula>E$9&lt;8/24</formula>
    </cfRule>
  </conditionalFormatting>
  <conditionalFormatting sqref="E53:M55">
    <cfRule type="expression" dxfId="6734" priority="517">
      <formula>E53&gt;$AG53</formula>
    </cfRule>
  </conditionalFormatting>
  <conditionalFormatting sqref="AG70 AG87 E100:L106 R67:X69">
    <cfRule type="expression" dxfId="6733" priority="513">
      <formula>E$9&gt;=20/24</formula>
    </cfRule>
    <cfRule type="expression" dxfId="6732" priority="514">
      <formula>AND(E$9&gt;=14/24,E$9&lt;20/24)</formula>
    </cfRule>
    <cfRule type="expression" dxfId="6731" priority="515">
      <formula>AND(E$9&gt;=8/24,E$9&lt;14/24)</formula>
    </cfRule>
    <cfRule type="expression" dxfId="6730" priority="516">
      <formula>E$9&lt;8/24</formula>
    </cfRule>
  </conditionalFormatting>
  <conditionalFormatting sqref="AG48 AG66 AG70 R67:X69">
    <cfRule type="expression" dxfId="6729" priority="512">
      <formula>R48&gt;$AG48</formula>
    </cfRule>
  </conditionalFormatting>
  <conditionalFormatting sqref="A43">
    <cfRule type="expression" dxfId="6728" priority="506">
      <formula>$AH43=0</formula>
    </cfRule>
  </conditionalFormatting>
  <conditionalFormatting sqref="X91:AF95">
    <cfRule type="expression" dxfId="6727" priority="502">
      <formula>X$9&gt;=20/24</formula>
    </cfRule>
    <cfRule type="expression" dxfId="6726" priority="503">
      <formula>AND(X$9&gt;=14/24,X$9&lt;20/24)</formula>
    </cfRule>
    <cfRule type="expression" dxfId="6725" priority="504">
      <formula>AND(X$9&gt;=8/24,X$9&lt;14/24)</formula>
    </cfRule>
    <cfRule type="expression" dxfId="6724" priority="505">
      <formula>X$9&lt;8/24</formula>
    </cfRule>
  </conditionalFormatting>
  <conditionalFormatting sqref="AL45 AL41 AL22:AL32 AL38:AL39 AL7:AL15 AL17:AL20 AL34:AL36">
    <cfRule type="iconSet" priority="603">
      <iconSet iconSet="3TrafficLights2" reverse="1">
        <cfvo type="percent" val="0"/>
        <cfvo type="num" val="1"/>
        <cfvo type="num" val="1"/>
      </iconSet>
    </cfRule>
  </conditionalFormatting>
  <conditionalFormatting sqref="E49:Q49 E51:Q51 L50:Q50 R49:AF51">
    <cfRule type="expression" dxfId="6723" priority="498">
      <formula>E$9&gt;=20/24</formula>
    </cfRule>
    <cfRule type="expression" dxfId="6722" priority="499">
      <formula>AND(E$9&gt;=14/24,E$9&lt;20/24)</formula>
    </cfRule>
    <cfRule type="expression" dxfId="6721" priority="500">
      <formula>AND(E$9&gt;=8/24,E$9&lt;14/24)</formula>
    </cfRule>
    <cfRule type="expression" dxfId="6720" priority="501">
      <formula>E$9&lt;8/24</formula>
    </cfRule>
  </conditionalFormatting>
  <conditionalFormatting sqref="E49:Q49 E51:Q51 L50:Q50 R49:AF51">
    <cfRule type="expression" dxfId="6719" priority="497">
      <formula>E49&gt;$AG49</formula>
    </cfRule>
  </conditionalFormatting>
  <conditionalFormatting sqref="AG52">
    <cfRule type="expression" dxfId="6718" priority="493">
      <formula>AG$9&gt;=20/24</formula>
    </cfRule>
    <cfRule type="expression" dxfId="6717" priority="494">
      <formula>AND(AG$9&gt;=14/24,AG$9&lt;20/24)</formula>
    </cfRule>
    <cfRule type="expression" dxfId="6716" priority="495">
      <formula>AND(AG$9&gt;=8/24,AG$9&lt;14/24)</formula>
    </cfRule>
    <cfRule type="expression" dxfId="6715" priority="496">
      <formula>AG$9&lt;8/24</formula>
    </cfRule>
  </conditionalFormatting>
  <conditionalFormatting sqref="AG52">
    <cfRule type="expression" dxfId="6714" priority="492">
      <formula>AG52&gt;$AG52</formula>
    </cfRule>
  </conditionalFormatting>
  <conditionalFormatting sqref="C107:AF107">
    <cfRule type="expression" dxfId="6713" priority="488">
      <formula>C$9&gt;=20/24</formula>
    </cfRule>
    <cfRule type="expression" dxfId="6712" priority="489">
      <formula>AND(C$9&gt;=14/24,C$9&lt;20/24)</formula>
    </cfRule>
    <cfRule type="expression" dxfId="6711" priority="490">
      <formula>AND(C$9&gt;=8/24,C$9&lt;14/24)</formula>
    </cfRule>
    <cfRule type="expression" dxfId="6710" priority="491">
      <formula>C$9&lt;8/24</formula>
    </cfRule>
  </conditionalFormatting>
  <conditionalFormatting sqref="AL40">
    <cfRule type="iconSet" priority="487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709" priority="486">
      <formula>$AH40=0</formula>
    </cfRule>
  </conditionalFormatting>
  <conditionalFormatting sqref="A90">
    <cfRule type="expression" dxfId="6708" priority="484">
      <formula>$AH90=0</formula>
    </cfRule>
  </conditionalFormatting>
  <conditionalFormatting sqref="A87">
    <cfRule type="expression" dxfId="6707" priority="485">
      <formula>$AH87=0</formula>
    </cfRule>
  </conditionalFormatting>
  <conditionalFormatting sqref="D110:AF110">
    <cfRule type="expression" dxfId="6706" priority="480">
      <formula>D$9&gt;=20/24</formula>
    </cfRule>
    <cfRule type="expression" dxfId="6705" priority="481">
      <formula>AND(D$9&gt;=14/24,D$9&lt;20/24)</formula>
    </cfRule>
    <cfRule type="expression" dxfId="6704" priority="482">
      <formula>AND(D$9&gt;=8/24,D$9&lt;14/24)</formula>
    </cfRule>
    <cfRule type="expression" dxfId="6703" priority="483">
      <formula>D$9&lt;8/24</formula>
    </cfRule>
  </conditionalFormatting>
  <conditionalFormatting sqref="A110">
    <cfRule type="expression" dxfId="6702" priority="479">
      <formula>$AH110=0</formula>
    </cfRule>
  </conditionalFormatting>
  <conditionalFormatting sqref="A21">
    <cfRule type="expression" dxfId="6701" priority="477">
      <formula>$AH21=0</formula>
    </cfRule>
  </conditionalFormatting>
  <conditionalFormatting sqref="AL21">
    <cfRule type="iconSet" priority="478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700" priority="475">
      <formula>$AH37=0</formula>
    </cfRule>
  </conditionalFormatting>
  <conditionalFormatting sqref="AL37">
    <cfRule type="iconSet" priority="476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6699" priority="471">
      <formula>Y$9&gt;=20/24</formula>
    </cfRule>
    <cfRule type="expression" dxfId="6698" priority="472">
      <formula>AND(Y$9&gt;=14/24,Y$9&lt;20/24)</formula>
    </cfRule>
    <cfRule type="expression" dxfId="6697" priority="473">
      <formula>AND(Y$9&gt;=8/24,Y$9&lt;14/24)</formula>
    </cfRule>
    <cfRule type="expression" dxfId="6696" priority="474">
      <formula>Y$9&lt;8/24</formula>
    </cfRule>
  </conditionalFormatting>
  <conditionalFormatting sqref="Y100:AC106">
    <cfRule type="expression" dxfId="6695" priority="467">
      <formula>Y$9&gt;=20/24</formula>
    </cfRule>
    <cfRule type="expression" dxfId="6694" priority="468">
      <formula>AND(Y$9&gt;=14/24,Y$9&lt;20/24)</formula>
    </cfRule>
    <cfRule type="expression" dxfId="6693" priority="469">
      <formula>AND(Y$9&gt;=8/24,Y$9&lt;14/24)</formula>
    </cfRule>
    <cfRule type="expression" dxfId="6692" priority="470">
      <formula>Y$9&lt;8/24</formula>
    </cfRule>
  </conditionalFormatting>
  <conditionalFormatting sqref="C109 C111:C116 Z34:AF43 Z17:AF32">
    <cfRule type="expression" dxfId="6691" priority="463">
      <formula>C$9&gt;=20/24</formula>
    </cfRule>
    <cfRule type="expression" dxfId="6690" priority="464">
      <formula>AND(C$9&gt;=14/24,C$9&lt;20/24)</formula>
    </cfRule>
    <cfRule type="expression" dxfId="6689" priority="465">
      <formula>AND(C$9&gt;=8/24,C$9&lt;14/24)</formula>
    </cfRule>
    <cfRule type="expression" dxfId="6688" priority="466">
      <formula>C$9&lt;8/24</formula>
    </cfRule>
  </conditionalFormatting>
  <conditionalFormatting sqref="C47:S47">
    <cfRule type="expression" dxfId="6687" priority="459">
      <formula>C$9&gt;=20/24</formula>
    </cfRule>
    <cfRule type="expression" dxfId="6686" priority="460">
      <formula>AND(C$9&gt;=14/24,C$9&lt;20/24)</formula>
    </cfRule>
    <cfRule type="expression" dxfId="6685" priority="461">
      <formula>AND(C$9&gt;=8/24,C$9&lt;14/24)</formula>
    </cfRule>
    <cfRule type="expression" dxfId="6684" priority="462">
      <formula>C$9&lt;8/24</formula>
    </cfRule>
  </conditionalFormatting>
  <conditionalFormatting sqref="C47:S47 Z34:AF43 Z17:AF32">
    <cfRule type="expression" dxfId="6683" priority="458">
      <formula>C17&gt;$AG17</formula>
    </cfRule>
  </conditionalFormatting>
  <conditionalFormatting sqref="C99:D99">
    <cfRule type="expression" dxfId="6682" priority="454">
      <formula>C$9&gt;=20/24</formula>
    </cfRule>
    <cfRule type="expression" dxfId="6681" priority="455">
      <formula>AND(C$9&gt;=14/24,C$9&lt;20/24)</formula>
    </cfRule>
    <cfRule type="expression" dxfId="6680" priority="456">
      <formula>AND(C$9&gt;=8/24,C$9&lt;14/24)</formula>
    </cfRule>
    <cfRule type="expression" dxfId="6679" priority="457">
      <formula>C$9&lt;8/24</formula>
    </cfRule>
  </conditionalFormatting>
  <conditionalFormatting sqref="C86 C100:D106 E67:Q69 C96:W96 E74:X76 C83:AF85 Y75:AF76">
    <cfRule type="expression" dxfId="6678" priority="450">
      <formula>C$9&gt;=20/24</formula>
    </cfRule>
    <cfRule type="expression" dxfId="6677" priority="451">
      <formula>AND(C$9&gt;=14/24,C$9&lt;20/24)</formula>
    </cfRule>
    <cfRule type="expression" dxfId="6676" priority="452">
      <formula>AND(C$9&gt;=8/24,C$9&lt;14/24)</formula>
    </cfRule>
    <cfRule type="expression" dxfId="6675" priority="453">
      <formula>C$9&lt;8/24</formula>
    </cfRule>
  </conditionalFormatting>
  <conditionalFormatting sqref="E56:M57 E67:Q69">
    <cfRule type="expression" dxfId="6674" priority="449">
      <formula>E56&gt;$AG56</formula>
    </cfRule>
  </conditionalFormatting>
  <conditionalFormatting sqref="E58:M58">
    <cfRule type="expression" dxfId="6673" priority="445">
      <formula>E$9&gt;=20/24</formula>
    </cfRule>
    <cfRule type="expression" dxfId="6672" priority="446">
      <formula>AND(E$9&gt;=14/24,E$9&lt;20/24)</formula>
    </cfRule>
    <cfRule type="expression" dxfId="6671" priority="447">
      <formula>AND(E$9&gt;=8/24,E$9&lt;14/24)</formula>
    </cfRule>
    <cfRule type="expression" dxfId="6670" priority="448">
      <formula>E$9&lt;8/24</formula>
    </cfRule>
  </conditionalFormatting>
  <conditionalFormatting sqref="E58:M58">
    <cfRule type="expression" dxfId="6669" priority="444">
      <formula>E58&gt;$AG58</formula>
    </cfRule>
  </conditionalFormatting>
  <conditionalFormatting sqref="C55:D55 C71:D71 D54">
    <cfRule type="expression" dxfId="6668" priority="368">
      <formula>C$9&gt;=20/24</formula>
    </cfRule>
    <cfRule type="expression" dxfId="6667" priority="369">
      <formula>AND(C$9&gt;=14/24,C$9&lt;20/24)</formula>
    </cfRule>
    <cfRule type="expression" dxfId="6666" priority="370">
      <formula>AND(C$9&gt;=8/24,C$9&lt;14/24)</formula>
    </cfRule>
    <cfRule type="expression" dxfId="6665" priority="371">
      <formula>C$9&lt;8/24</formula>
    </cfRule>
  </conditionalFormatting>
  <conditionalFormatting sqref="R46:AF46">
    <cfRule type="expression" dxfId="6664" priority="440">
      <formula>R$9&gt;=20/24</formula>
    </cfRule>
    <cfRule type="expression" dxfId="6663" priority="441">
      <formula>AND(R$9&gt;=14/24,R$9&lt;20/24)</formula>
    </cfRule>
    <cfRule type="expression" dxfId="6662" priority="442">
      <formula>AND(R$9&gt;=8/24,R$9&lt;14/24)</formula>
    </cfRule>
    <cfRule type="expression" dxfId="6661" priority="443">
      <formula>R$9&lt;8/24</formula>
    </cfRule>
  </conditionalFormatting>
  <conditionalFormatting sqref="R46:AF46">
    <cfRule type="expression" dxfId="6660" priority="439">
      <formula>R46&gt;$AG46</formula>
    </cfRule>
  </conditionalFormatting>
  <conditionalFormatting sqref="C87:AF87 C89:AF89 C98:AF98 C70:AF70">
    <cfRule type="expression" dxfId="6659" priority="435">
      <formula>C$9&gt;=20/24</formula>
    </cfRule>
    <cfRule type="expression" dxfId="6658" priority="436">
      <formula>AND(C$9&gt;=14/24,C$9&lt;20/24)</formula>
    </cfRule>
    <cfRule type="expression" dxfId="6657" priority="437">
      <formula>AND(C$9&gt;=8/24,C$9&lt;14/24)</formula>
    </cfRule>
    <cfRule type="expression" dxfId="6656" priority="438">
      <formula>C$9&lt;8/24</formula>
    </cfRule>
  </conditionalFormatting>
  <conditionalFormatting sqref="C70:AF70 C48:AF48 C65:AF66">
    <cfRule type="expression" dxfId="6655" priority="434">
      <formula>C48&gt;$AG48</formula>
    </cfRule>
  </conditionalFormatting>
  <conditionalFormatting sqref="C82:AF82">
    <cfRule type="expression" dxfId="6654" priority="430">
      <formula>C$9&gt;=20/24</formula>
    </cfRule>
    <cfRule type="expression" dxfId="6653" priority="431">
      <formula>AND(C$9&gt;=14/24,C$9&lt;20/24)</formula>
    </cfRule>
    <cfRule type="expression" dxfId="6652" priority="432">
      <formula>AND(C$9&gt;=8/24,C$9&lt;14/24)</formula>
    </cfRule>
    <cfRule type="expression" dxfId="6651" priority="433">
      <formula>C$9&lt;8/24</formula>
    </cfRule>
  </conditionalFormatting>
  <conditionalFormatting sqref="C91:W95">
    <cfRule type="expression" dxfId="6650" priority="426">
      <formula>C$9&gt;=20/24</formula>
    </cfRule>
    <cfRule type="expression" dxfId="6649" priority="427">
      <formula>AND(C$9&gt;=14/24,C$9&lt;20/24)</formula>
    </cfRule>
    <cfRule type="expression" dxfId="6648" priority="428">
      <formula>AND(C$9&gt;=8/24,C$9&lt;14/24)</formula>
    </cfRule>
    <cfRule type="expression" dxfId="6647" priority="429">
      <formula>C$9&lt;8/24</formula>
    </cfRule>
  </conditionalFormatting>
  <conditionalFormatting sqref="C52:AF52">
    <cfRule type="expression" dxfId="6646" priority="422">
      <formula>C$9&gt;=20/24</formula>
    </cfRule>
    <cfRule type="expression" dxfId="6645" priority="423">
      <formula>AND(C$9&gt;=14/24,C$9&lt;20/24)</formula>
    </cfRule>
    <cfRule type="expression" dxfId="6644" priority="424">
      <formula>AND(C$9&gt;=8/24,C$9&lt;14/24)</formula>
    </cfRule>
    <cfRule type="expression" dxfId="6643" priority="425">
      <formula>C$9&lt;8/24</formula>
    </cfRule>
  </conditionalFormatting>
  <conditionalFormatting sqref="C52:AF52">
    <cfRule type="expression" dxfId="6642" priority="421">
      <formula>C52&gt;$AG52</formula>
    </cfRule>
  </conditionalFormatting>
  <conditionalFormatting sqref="C49:D49">
    <cfRule type="expression" dxfId="6641" priority="336">
      <formula>C$9&gt;=20/24</formula>
    </cfRule>
    <cfRule type="expression" dxfId="6640" priority="337">
      <formula>AND(C$9&gt;=14/24,C$9&lt;20/24)</formula>
    </cfRule>
    <cfRule type="expression" dxfId="6639" priority="338">
      <formula>AND(C$9&gt;=8/24,C$9&lt;14/24)</formula>
    </cfRule>
    <cfRule type="expression" dxfId="6638" priority="339">
      <formula>C$9&lt;8/24</formula>
    </cfRule>
  </conditionalFormatting>
  <conditionalFormatting sqref="C110">
    <cfRule type="expression" dxfId="6637" priority="413">
      <formula>C$9&gt;=20/24</formula>
    </cfRule>
    <cfRule type="expression" dxfId="6636" priority="414">
      <formula>AND(C$9&gt;=14/24,C$9&lt;20/24)</formula>
    </cfRule>
    <cfRule type="expression" dxfId="6635" priority="415">
      <formula>AND(C$9&gt;=8/24,C$9&lt;14/24)</formula>
    </cfRule>
    <cfRule type="expression" dxfId="6634" priority="416">
      <formula>C$9&lt;8/24</formula>
    </cfRule>
  </conditionalFormatting>
  <conditionalFormatting sqref="E59:G59 F60:G60 H59:Q60 R59:Y61 Z59:AF64">
    <cfRule type="expression" dxfId="6633" priority="409">
      <formula>E$9&gt;=20/24</formula>
    </cfRule>
    <cfRule type="expression" dxfId="6632" priority="410">
      <formula>AND(E$9&gt;=14/24,E$9&lt;20/24)</formula>
    </cfRule>
    <cfRule type="expression" dxfId="6631" priority="411">
      <formula>AND(E$9&gt;=8/24,E$9&lt;14/24)</formula>
    </cfRule>
    <cfRule type="expression" dxfId="6630" priority="412">
      <formula>E$9&lt;8/24</formula>
    </cfRule>
  </conditionalFormatting>
  <conditionalFormatting sqref="E59:G59 F60:G60 H59:Q60 R59:Y61 Z59:AF64">
    <cfRule type="expression" dxfId="6629" priority="408">
      <formula>E59&gt;$AG59</formula>
    </cfRule>
  </conditionalFormatting>
  <conditionalFormatting sqref="Z45:AF45 I13:AF15">
    <cfRule type="expression" dxfId="6628" priority="407">
      <formula>I13&gt;$AG13</formula>
    </cfRule>
  </conditionalFormatting>
  <conditionalFormatting sqref="J12:AF12">
    <cfRule type="expression" dxfId="6627" priority="403">
      <formula>J$9&gt;=20/24</formula>
    </cfRule>
    <cfRule type="expression" dxfId="6626" priority="404">
      <formula>AND(J$9&gt;=14/24,J$9&lt;20/24)</formula>
    </cfRule>
    <cfRule type="expression" dxfId="6625" priority="405">
      <formula>AND(J$9&gt;=8/24,J$9&lt;14/24)</formula>
    </cfRule>
    <cfRule type="expression" dxfId="6624" priority="406">
      <formula>J$9&lt;8/24</formula>
    </cfRule>
  </conditionalFormatting>
  <conditionalFormatting sqref="J12:AF12">
    <cfRule type="expression" dxfId="6623" priority="402">
      <formula>J12&gt;$AG12</formula>
    </cfRule>
  </conditionalFormatting>
  <conditionalFormatting sqref="I13:AF15">
    <cfRule type="expression" dxfId="6622" priority="398">
      <formula>I$9&gt;=20/24</formula>
    </cfRule>
    <cfRule type="expression" dxfId="6621" priority="399">
      <formula>AND(I$9&gt;=14/24,I$9&lt;20/24)</formula>
    </cfRule>
    <cfRule type="expression" dxfId="6620" priority="400">
      <formula>AND(I$9&gt;=8/24,I$9&lt;14/24)</formula>
    </cfRule>
    <cfRule type="expression" dxfId="6619" priority="401">
      <formula>I$9&lt;8/24</formula>
    </cfRule>
  </conditionalFormatting>
  <conditionalFormatting sqref="Z45:AF45">
    <cfRule type="expression" dxfId="6618" priority="394">
      <formula>Z$9&gt;=20/24</formula>
    </cfRule>
    <cfRule type="expression" dxfId="6617" priority="395">
      <formula>AND(Z$9&gt;=14/24,Z$9&lt;20/24)</formula>
    </cfRule>
    <cfRule type="expression" dxfId="6616" priority="396">
      <formula>AND(Z$9&gt;=8/24,Z$9&lt;14/24)</formula>
    </cfRule>
    <cfRule type="expression" dxfId="6615" priority="397">
      <formula>Z$9&lt;8/24</formula>
    </cfRule>
  </conditionalFormatting>
  <conditionalFormatting sqref="E77:AF81">
    <cfRule type="expression" dxfId="6614" priority="390">
      <formula>E$9&gt;=20/24</formula>
    </cfRule>
    <cfRule type="expression" dxfId="6613" priority="391">
      <formula>AND(E$9&gt;=14/24,E$9&lt;20/24)</formula>
    </cfRule>
    <cfRule type="expression" dxfId="6612" priority="392">
      <formula>AND(E$9&gt;=8/24,E$9&lt;14/24)</formula>
    </cfRule>
    <cfRule type="expression" dxfId="6611" priority="393">
      <formula>E$9&lt;8/24</formula>
    </cfRule>
  </conditionalFormatting>
  <conditionalFormatting sqref="AL78:AN78 AL84:AN84 AN79:AN80">
    <cfRule type="expression" dxfId="6610" priority="386">
      <formula>AL$9&gt;=20/24</formula>
    </cfRule>
    <cfRule type="expression" dxfId="6609" priority="387">
      <formula>AND(AL$9&gt;=14/24,AL$9&lt;20/24)</formula>
    </cfRule>
    <cfRule type="expression" dxfId="6608" priority="388">
      <formula>AND(AL$9&gt;=8/24,AL$9&lt;14/24)</formula>
    </cfRule>
    <cfRule type="expression" dxfId="6607" priority="389">
      <formula>AL$9&lt;8/24</formula>
    </cfRule>
  </conditionalFormatting>
  <conditionalFormatting sqref="AN81:AN82">
    <cfRule type="expression" dxfId="6606" priority="382">
      <formula>AN$9&gt;=20/24</formula>
    </cfRule>
    <cfRule type="expression" dxfId="6605" priority="383">
      <formula>AND(AN$9&gt;=14/24,AN$9&lt;20/24)</formula>
    </cfRule>
    <cfRule type="expression" dxfId="6604" priority="384">
      <formula>AND(AN$9&gt;=8/24,AN$9&lt;14/24)</formula>
    </cfRule>
    <cfRule type="expression" dxfId="6603" priority="385">
      <formula>AN$9&lt;8/24</formula>
    </cfRule>
  </conditionalFormatting>
  <conditionalFormatting sqref="AL79:AM83">
    <cfRule type="expression" dxfId="6602" priority="604">
      <formula>AJ$9&gt;=20/24</formula>
    </cfRule>
    <cfRule type="expression" dxfId="6601" priority="605">
      <formula>AND(AJ$9&gt;=14/24,AJ$9&lt;20/24)</formula>
    </cfRule>
    <cfRule type="expression" dxfId="6600" priority="606">
      <formula>AND(AJ$9&gt;=8/24,AJ$9&lt;14/24)</formula>
    </cfRule>
    <cfRule type="expression" dxfId="6599" priority="607">
      <formula>AJ$9&lt;8/24</formula>
    </cfRule>
  </conditionalFormatting>
  <conditionalFormatting sqref="A117">
    <cfRule type="expression" dxfId="6598" priority="381">
      <formula>$AH117=0</formula>
    </cfRule>
  </conditionalFormatting>
  <conditionalFormatting sqref="C53:D53">
    <cfRule type="expression" dxfId="6597" priority="364">
      <formula>C$9&gt;=20/24</formula>
    </cfRule>
    <cfRule type="expression" dxfId="6596" priority="365">
      <formula>AND(C$9&gt;=14/24,C$9&lt;20/24)</formula>
    </cfRule>
    <cfRule type="expression" dxfId="6595" priority="366">
      <formula>AND(C$9&gt;=8/24,C$9&lt;14/24)</formula>
    </cfRule>
    <cfRule type="expression" dxfId="6594" priority="367">
      <formula>C$9&lt;8/24</formula>
    </cfRule>
  </conditionalFormatting>
  <conditionalFormatting sqref="C53:D53 C55:D55 D54">
    <cfRule type="expression" dxfId="6593" priority="363">
      <formula>C53&gt;$AG53</formula>
    </cfRule>
  </conditionalFormatting>
  <conditionalFormatting sqref="D67:D69 C72:D74">
    <cfRule type="expression" dxfId="6592" priority="359">
      <formula>C$9&gt;=20/24</formula>
    </cfRule>
    <cfRule type="expression" dxfId="6591" priority="360">
      <formula>AND(C$9&gt;=14/24,C$9&lt;20/24)</formula>
    </cfRule>
    <cfRule type="expression" dxfId="6590" priority="361">
      <formula>AND(C$9&gt;=8/24,C$9&lt;14/24)</formula>
    </cfRule>
    <cfRule type="expression" dxfId="6589" priority="362">
      <formula>C$9&lt;8/24</formula>
    </cfRule>
  </conditionalFormatting>
  <conditionalFormatting sqref="D67:D69">
    <cfRule type="expression" dxfId="6588" priority="358">
      <formula>D67&gt;$AG67</formula>
    </cfRule>
  </conditionalFormatting>
  <conditionalFormatting sqref="C88">
    <cfRule type="expression" dxfId="6587" priority="354">
      <formula>C$9&gt;=20/24</formula>
    </cfRule>
    <cfRule type="expression" dxfId="6586" priority="355">
      <formula>AND(C$9&gt;=14/24,C$9&lt;20/24)</formula>
    </cfRule>
    <cfRule type="expression" dxfId="6585" priority="356">
      <formula>AND(C$9&gt;=8/24,C$9&lt;14/24)</formula>
    </cfRule>
    <cfRule type="expression" dxfId="6584" priority="357">
      <formula>C$9&lt;8/24</formula>
    </cfRule>
  </conditionalFormatting>
  <conditionalFormatting sqref="C46:Q46">
    <cfRule type="expression" dxfId="6583" priority="350">
      <formula>C$9&gt;=20/24</formula>
    </cfRule>
    <cfRule type="expression" dxfId="6582" priority="351">
      <formula>AND(C$9&gt;=14/24,C$9&lt;20/24)</formula>
    </cfRule>
    <cfRule type="expression" dxfId="6581" priority="352">
      <formula>AND(C$9&gt;=8/24,C$9&lt;14/24)</formula>
    </cfRule>
    <cfRule type="expression" dxfId="6580" priority="353">
      <formula>C$9&lt;8/24</formula>
    </cfRule>
  </conditionalFormatting>
  <conditionalFormatting sqref="C46:Q46">
    <cfRule type="expression" dxfId="6579" priority="349">
      <formula>C46&gt;$AG46</formula>
    </cfRule>
  </conditionalFormatting>
  <conditionalFormatting sqref="C49:D49">
    <cfRule type="expression" dxfId="6578" priority="335">
      <formula>C49&gt;$AG49</formula>
    </cfRule>
  </conditionalFormatting>
  <conditionalFormatting sqref="C75:D76">
    <cfRule type="expression" dxfId="6577" priority="323">
      <formula>C$9&gt;=20/24</formula>
    </cfRule>
    <cfRule type="expression" dxfId="6576" priority="324">
      <formula>AND(C$9&gt;=14/24,C$9&lt;20/24)</formula>
    </cfRule>
    <cfRule type="expression" dxfId="6575" priority="325">
      <formula>AND(C$9&gt;=8/24,C$9&lt;14/24)</formula>
    </cfRule>
    <cfRule type="expression" dxfId="6574" priority="326">
      <formula>C$9&lt;8/24</formula>
    </cfRule>
  </conditionalFormatting>
  <conditionalFormatting sqref="A11">
    <cfRule type="expression" dxfId="6573" priority="295">
      <formula>$AH11=0</formula>
    </cfRule>
  </conditionalFormatting>
  <conditionalFormatting sqref="E11:AF11">
    <cfRule type="expression" dxfId="6572" priority="291">
      <formula>E$9&gt;=20/24</formula>
    </cfRule>
    <cfRule type="expression" dxfId="6571" priority="292">
      <formula>AND(E$9&gt;=14/24,E$9&lt;20/24)</formula>
    </cfRule>
    <cfRule type="expression" dxfId="6570" priority="293">
      <formula>AND(E$9&gt;=8/24,E$9&lt;14/24)</formula>
    </cfRule>
    <cfRule type="expression" dxfId="6569" priority="294">
      <formula>E$9&lt;8/24</formula>
    </cfRule>
  </conditionalFormatting>
  <conditionalFormatting sqref="E11:AF11">
    <cfRule type="expression" dxfId="6568" priority="290">
      <formula>E11&gt;$AG11</formula>
    </cfRule>
  </conditionalFormatting>
  <conditionalFormatting sqref="A16">
    <cfRule type="expression" dxfId="6567" priority="283">
      <formula>$AH16=0</formula>
    </cfRule>
  </conditionalFormatting>
  <conditionalFormatting sqref="AL16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6566" priority="279">
      <formula>Z$9&gt;=20/24</formula>
    </cfRule>
    <cfRule type="expression" dxfId="6565" priority="280">
      <formula>AND(Z$9&gt;=14/24,Z$9&lt;20/24)</formula>
    </cfRule>
    <cfRule type="expression" dxfId="6564" priority="281">
      <formula>AND(Z$9&gt;=8/24,Z$9&lt;14/24)</formula>
    </cfRule>
    <cfRule type="expression" dxfId="6563" priority="282">
      <formula>Z$9&lt;8/24</formula>
    </cfRule>
  </conditionalFormatting>
  <conditionalFormatting sqref="Z16:AF16">
    <cfRule type="expression" dxfId="6562" priority="278">
      <formula>Z16&gt;$AG16</formula>
    </cfRule>
  </conditionalFormatting>
  <conditionalFormatting sqref="A33">
    <cfRule type="expression" dxfId="6561" priority="271">
      <formula>$AH33=0</formula>
    </cfRule>
  </conditionalFormatting>
  <conditionalFormatting sqref="AL33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6560" priority="267">
      <formula>Z$9&gt;=20/24</formula>
    </cfRule>
    <cfRule type="expression" dxfId="6559" priority="268">
      <formula>AND(Z$9&gt;=14/24,Z$9&lt;20/24)</formula>
    </cfRule>
    <cfRule type="expression" dxfId="6558" priority="269">
      <formula>AND(Z$9&gt;=8/24,Z$9&lt;14/24)</formula>
    </cfRule>
    <cfRule type="expression" dxfId="6557" priority="270">
      <formula>Z$9&lt;8/24</formula>
    </cfRule>
  </conditionalFormatting>
  <conditionalFormatting sqref="Z33:AF33">
    <cfRule type="expression" dxfId="6556" priority="266">
      <formula>Z33&gt;$AG33</formula>
    </cfRule>
  </conditionalFormatting>
  <conditionalFormatting sqref="A44">
    <cfRule type="expression" dxfId="6555" priority="259">
      <formula>$AH44=0</formula>
    </cfRule>
  </conditionalFormatting>
  <conditionalFormatting sqref="AL44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6554" priority="258">
      <formula>Z44&gt;$AG44</formula>
    </cfRule>
  </conditionalFormatting>
  <conditionalFormatting sqref="Z44:AF44">
    <cfRule type="expression" dxfId="6553" priority="254">
      <formula>Z$9&gt;=20/24</formula>
    </cfRule>
    <cfRule type="expression" dxfId="6552" priority="255">
      <formula>AND(Z$9&gt;=14/24,Z$9&lt;20/24)</formula>
    </cfRule>
    <cfRule type="expression" dxfId="6551" priority="256">
      <formula>AND(Z$9&gt;=8/24,Z$9&lt;14/24)</formula>
    </cfRule>
    <cfRule type="expression" dxfId="6550" priority="257">
      <formula>Z$9&lt;8/24</formula>
    </cfRule>
  </conditionalFormatting>
  <conditionalFormatting sqref="D117:AF117">
    <cfRule type="expression" dxfId="6549" priority="245">
      <formula>D$9&gt;=20/24</formula>
    </cfRule>
    <cfRule type="expression" dxfId="6548" priority="246">
      <formula>AND(D$9&gt;=14/24,D$9&lt;20/24)</formula>
    </cfRule>
    <cfRule type="expression" dxfId="6547" priority="247">
      <formula>AND(D$9&gt;=8/24,D$9&lt;14/24)</formula>
    </cfRule>
    <cfRule type="expression" dxfId="6546" priority="248">
      <formula>D$9&lt;8/24</formula>
    </cfRule>
  </conditionalFormatting>
  <conditionalFormatting sqref="C117">
    <cfRule type="expression" dxfId="6545" priority="241">
      <formula>C$9&gt;=20/24</formula>
    </cfRule>
    <cfRule type="expression" dxfId="6544" priority="242">
      <formula>AND(C$9&gt;=14/24,C$9&lt;20/24)</formula>
    </cfRule>
    <cfRule type="expression" dxfId="6543" priority="243">
      <formula>AND(C$9&gt;=8/24,C$9&lt;14/24)</formula>
    </cfRule>
    <cfRule type="expression" dxfId="6542" priority="244">
      <formula>C$9&lt;8/24</formula>
    </cfRule>
  </conditionalFormatting>
  <conditionalFormatting sqref="B109 B111:B116">
    <cfRule type="expression" dxfId="6541" priority="115">
      <formula>B$9&gt;=20/24</formula>
    </cfRule>
    <cfRule type="expression" dxfId="6540" priority="116">
      <formula>AND(B$9&gt;=14/24,B$9&lt;20/24)</formula>
    </cfRule>
    <cfRule type="expression" dxfId="6539" priority="117">
      <formula>AND(B$9&gt;=8/24,B$9&lt;14/24)</formula>
    </cfRule>
    <cfRule type="expression" dxfId="6538" priority="118">
      <formula>B$9&lt;8/24</formula>
    </cfRule>
  </conditionalFormatting>
  <conditionalFormatting sqref="B99">
    <cfRule type="expression" dxfId="6537" priority="111">
      <formula>B$9&gt;=20/24</formula>
    </cfRule>
    <cfRule type="expression" dxfId="6536" priority="112">
      <formula>AND(B$9&gt;=14/24,B$9&lt;20/24)</formula>
    </cfRule>
    <cfRule type="expression" dxfId="6535" priority="113">
      <formula>AND(B$9&gt;=8/24,B$9&lt;14/24)</formula>
    </cfRule>
    <cfRule type="expression" dxfId="6534" priority="114">
      <formula>B$9&lt;8/24</formula>
    </cfRule>
  </conditionalFormatting>
  <conditionalFormatting sqref="B71 B54:B55 C54 B57:D57">
    <cfRule type="expression" dxfId="6533" priority="107">
      <formula>B$9&gt;=20/24</formula>
    </cfRule>
    <cfRule type="expression" dxfId="6532" priority="108">
      <formula>AND(B$9&gt;=14/24,B$9&lt;20/24)</formula>
    </cfRule>
    <cfRule type="expression" dxfId="6531" priority="109">
      <formula>AND(B$9&gt;=8/24,B$9&lt;14/24)</formula>
    </cfRule>
    <cfRule type="expression" dxfId="6530" priority="110">
      <formula>B$9&lt;8/24</formula>
    </cfRule>
  </conditionalFormatting>
  <conditionalFormatting sqref="B53">
    <cfRule type="expression" dxfId="6529" priority="103">
      <formula>B$9&gt;=20/24</formula>
    </cfRule>
    <cfRule type="expression" dxfId="6528" priority="104">
      <formula>AND(B$9&gt;=14/24,B$9&lt;20/24)</formula>
    </cfRule>
    <cfRule type="expression" dxfId="6527" priority="105">
      <formula>AND(B$9&gt;=8/24,B$9&lt;14/24)</formula>
    </cfRule>
    <cfRule type="expression" dxfId="6526" priority="106">
      <formula>B$9&lt;8/24</formula>
    </cfRule>
  </conditionalFormatting>
  <conditionalFormatting sqref="B53:B55 C54 B57:D57">
    <cfRule type="expression" dxfId="6525" priority="102">
      <formula>B53&gt;$AG53</formula>
    </cfRule>
  </conditionalFormatting>
  <conditionalFormatting sqref="B96 B47 B86 B100:B106 B72:B74 B67:C67">
    <cfRule type="expression" dxfId="6524" priority="98">
      <formula>B$9&gt;=20/24</formula>
    </cfRule>
    <cfRule type="expression" dxfId="6523" priority="99">
      <formula>AND(B$9&gt;=14/24,B$9&lt;20/24)</formula>
    </cfRule>
    <cfRule type="expression" dxfId="6522" priority="100">
      <formula>AND(B$9&gt;=8/24,B$9&lt;14/24)</formula>
    </cfRule>
    <cfRule type="expression" dxfId="6521" priority="101">
      <formula>B$9&lt;8/24</formula>
    </cfRule>
  </conditionalFormatting>
  <conditionalFormatting sqref="B47 B67:C67">
    <cfRule type="expression" dxfId="6520" priority="97">
      <formula>B47&gt;$AG47</formula>
    </cfRule>
  </conditionalFormatting>
  <conditionalFormatting sqref="B56:D56 B58:D58">
    <cfRule type="expression" dxfId="6519" priority="93">
      <formula>B$9&gt;=20/24</formula>
    </cfRule>
    <cfRule type="expression" dxfId="6518" priority="94">
      <formula>AND(B$9&gt;=14/24,B$9&lt;20/24)</formula>
    </cfRule>
    <cfRule type="expression" dxfId="6517" priority="95">
      <formula>AND(B$9&gt;=8/24,B$9&lt;14/24)</formula>
    </cfRule>
    <cfRule type="expression" dxfId="6516" priority="96">
      <formula>B$9&lt;8/24</formula>
    </cfRule>
  </conditionalFormatting>
  <conditionalFormatting sqref="B56:D56 B58:D58">
    <cfRule type="expression" dxfId="6515" priority="92">
      <formula>B56&gt;$AG56</formula>
    </cfRule>
  </conditionalFormatting>
  <conditionalFormatting sqref="B97 B88">
    <cfRule type="expression" dxfId="6514" priority="88">
      <formula>B$9&gt;=20/24</formula>
    </cfRule>
    <cfRule type="expression" dxfId="6513" priority="89">
      <formula>AND(B$9&gt;=14/24,B$9&lt;20/24)</formula>
    </cfRule>
    <cfRule type="expression" dxfId="6512" priority="90">
      <formula>AND(B$9&gt;=8/24,B$9&lt;14/24)</formula>
    </cfRule>
    <cfRule type="expression" dxfId="6511" priority="91">
      <formula>B$9&lt;8/24</formula>
    </cfRule>
  </conditionalFormatting>
  <conditionalFormatting sqref="B68:C69">
    <cfRule type="expression" dxfId="6510" priority="84">
      <formula>B$9&gt;=20/24</formula>
    </cfRule>
    <cfRule type="expression" dxfId="6509" priority="85">
      <formula>AND(B$9&gt;=14/24,B$9&lt;20/24)</formula>
    </cfRule>
    <cfRule type="expression" dxfId="6508" priority="86">
      <formula>AND(B$9&gt;=8/24,B$9&lt;14/24)</formula>
    </cfRule>
    <cfRule type="expression" dxfId="6507" priority="87">
      <formula>B$9&lt;8/24</formula>
    </cfRule>
  </conditionalFormatting>
  <conditionalFormatting sqref="B68:C69">
    <cfRule type="expression" dxfId="6506" priority="83">
      <formula>B68&gt;$AG68</formula>
    </cfRule>
  </conditionalFormatting>
  <conditionalFormatting sqref="B91:B95">
    <cfRule type="expression" dxfId="6505" priority="79">
      <formula>B$9&gt;=20/24</formula>
    </cfRule>
    <cfRule type="expression" dxfId="6504" priority="80">
      <formula>AND(B$9&gt;=14/24,B$9&lt;20/24)</formula>
    </cfRule>
    <cfRule type="expression" dxfId="6503" priority="81">
      <formula>AND(B$9&gt;=8/24,B$9&lt;14/24)</formula>
    </cfRule>
    <cfRule type="expression" dxfId="6502" priority="82">
      <formula>B$9&lt;8/24</formula>
    </cfRule>
  </conditionalFormatting>
  <conditionalFormatting sqref="B49:B51 C51:D51 C50:K50">
    <cfRule type="expression" dxfId="6501" priority="75">
      <formula>B$9&gt;=20/24</formula>
    </cfRule>
    <cfRule type="expression" dxfId="6500" priority="76">
      <formula>AND(B$9&gt;=14/24,B$9&lt;20/24)</formula>
    </cfRule>
    <cfRule type="expression" dxfId="6499" priority="77">
      <formula>AND(B$9&gt;=8/24,B$9&lt;14/24)</formula>
    </cfRule>
    <cfRule type="expression" dxfId="6498" priority="78">
      <formula>B$9&lt;8/24</formula>
    </cfRule>
  </conditionalFormatting>
  <conditionalFormatting sqref="B49:B51 C51:D51 C50:K50">
    <cfRule type="expression" dxfId="6497" priority="74">
      <formula>B49&gt;$AG49</formula>
    </cfRule>
  </conditionalFormatting>
  <conditionalFormatting sqref="B107">
    <cfRule type="expression" dxfId="6496" priority="70">
      <formula>B$9&gt;=20/24</formula>
    </cfRule>
    <cfRule type="expression" dxfId="6495" priority="71">
      <formula>AND(B$9&gt;=14/24,B$9&lt;20/24)</formula>
    </cfRule>
    <cfRule type="expression" dxfId="6494" priority="72">
      <formula>AND(B$9&gt;=8/24,B$9&lt;14/24)</formula>
    </cfRule>
    <cfRule type="expression" dxfId="6493" priority="73">
      <formula>B$9&lt;8/24</formula>
    </cfRule>
  </conditionalFormatting>
  <conditionalFormatting sqref="B110">
    <cfRule type="expression" dxfId="6492" priority="66">
      <formula>B$9&gt;=20/24</formula>
    </cfRule>
    <cfRule type="expression" dxfId="6491" priority="67">
      <formula>AND(B$9&gt;=14/24,B$9&lt;20/24)</formula>
    </cfRule>
    <cfRule type="expression" dxfId="6490" priority="68">
      <formula>AND(B$9&gt;=8/24,B$9&lt;14/24)</formula>
    </cfRule>
    <cfRule type="expression" dxfId="6489" priority="69">
      <formula>B$9&lt;8/24</formula>
    </cfRule>
  </conditionalFormatting>
  <conditionalFormatting sqref="B83:B85 B75:B76">
    <cfRule type="expression" dxfId="6488" priority="62">
      <formula>B$9&gt;=20/24</formula>
    </cfRule>
    <cfRule type="expression" dxfId="6487" priority="63">
      <formula>AND(B$9&gt;=14/24,B$9&lt;20/24)</formula>
    </cfRule>
    <cfRule type="expression" dxfId="6486" priority="64">
      <formula>AND(B$9&gt;=8/24,B$9&lt;14/24)</formula>
    </cfRule>
    <cfRule type="expression" dxfId="6485" priority="65">
      <formula>B$9&lt;8/24</formula>
    </cfRule>
  </conditionalFormatting>
  <conditionalFormatting sqref="B46">
    <cfRule type="expression" dxfId="6484" priority="58">
      <formula>B$9&gt;=20/24</formula>
    </cfRule>
    <cfRule type="expression" dxfId="6483" priority="59">
      <formula>AND(B$9&gt;=14/24,B$9&lt;20/24)</formula>
    </cfRule>
    <cfRule type="expression" dxfId="6482" priority="60">
      <formula>AND(B$9&gt;=8/24,B$9&lt;14/24)</formula>
    </cfRule>
    <cfRule type="expression" dxfId="6481" priority="61">
      <formula>B$9&lt;8/24</formula>
    </cfRule>
  </conditionalFormatting>
  <conditionalFormatting sqref="B46">
    <cfRule type="expression" dxfId="6480" priority="57">
      <formula>B46&gt;$AG46</formula>
    </cfRule>
  </conditionalFormatting>
  <conditionalFormatting sqref="B98 B87 B89 B70">
    <cfRule type="expression" dxfId="6479" priority="53">
      <formula>B$9&gt;=20/24</formula>
    </cfRule>
    <cfRule type="expression" dxfId="6478" priority="54">
      <formula>AND(B$9&gt;=14/24,B$9&lt;20/24)</formula>
    </cfRule>
    <cfRule type="expression" dxfId="6477" priority="55">
      <formula>AND(B$9&gt;=8/24,B$9&lt;14/24)</formula>
    </cfRule>
    <cfRule type="expression" dxfId="6476" priority="56">
      <formula>B$9&lt;8/24</formula>
    </cfRule>
  </conditionalFormatting>
  <conditionalFormatting sqref="B70 B65:B66 B48">
    <cfRule type="expression" dxfId="6475" priority="52">
      <formula>B48&gt;$AG48</formula>
    </cfRule>
  </conditionalFormatting>
  <conditionalFormatting sqref="B82">
    <cfRule type="expression" dxfId="6474" priority="48">
      <formula>B$9&gt;=20/24</formula>
    </cfRule>
    <cfRule type="expression" dxfId="6473" priority="49">
      <formula>AND(B$9&gt;=14/24,B$9&lt;20/24)</formula>
    </cfRule>
    <cfRule type="expression" dxfId="6472" priority="50">
      <formula>AND(B$9&gt;=8/24,B$9&lt;14/24)</formula>
    </cfRule>
    <cfRule type="expression" dxfId="6471" priority="51">
      <formula>B$9&lt;8/24</formula>
    </cfRule>
  </conditionalFormatting>
  <conditionalFormatting sqref="B52">
    <cfRule type="expression" dxfId="6470" priority="44">
      <formula>B$9&gt;=20/24</formula>
    </cfRule>
    <cfRule type="expression" dxfId="6469" priority="45">
      <formula>AND(B$9&gt;=14/24,B$9&lt;20/24)</formula>
    </cfRule>
    <cfRule type="expression" dxfId="6468" priority="46">
      <formula>AND(B$9&gt;=8/24,B$9&lt;14/24)</formula>
    </cfRule>
    <cfRule type="expression" dxfId="6467" priority="47">
      <formula>B$9&lt;8/24</formula>
    </cfRule>
  </conditionalFormatting>
  <conditionalFormatting sqref="B52">
    <cfRule type="expression" dxfId="6466" priority="43">
      <formula>B52&gt;$AG52</formula>
    </cfRule>
  </conditionalFormatting>
  <conditionalFormatting sqref="B59:D59 B60:E64 F61:Q64 R62:Y64">
    <cfRule type="expression" dxfId="6465" priority="35">
      <formula>B$9&gt;=20/24</formula>
    </cfRule>
    <cfRule type="expression" dxfId="6464" priority="36">
      <formula>AND(B$9&gt;=14/24,B$9&lt;20/24)</formula>
    </cfRule>
    <cfRule type="expression" dxfId="6463" priority="37">
      <formula>AND(B$9&gt;=8/24,B$9&lt;14/24)</formula>
    </cfRule>
    <cfRule type="expression" dxfId="6462" priority="38">
      <formula>B$9&lt;8/24</formula>
    </cfRule>
  </conditionalFormatting>
  <conditionalFormatting sqref="B59:D59 B60:E64 F61:Q64 R62:Y64">
    <cfRule type="expression" dxfId="6461" priority="34">
      <formula>B59&gt;$AG59</formula>
    </cfRule>
  </conditionalFormatting>
  <conditionalFormatting sqref="B77:D81">
    <cfRule type="expression" dxfId="6460" priority="30">
      <formula>B$9&gt;=20/24</formula>
    </cfRule>
    <cfRule type="expression" dxfId="6459" priority="31">
      <formula>AND(B$9&gt;=14/24,B$9&lt;20/24)</formula>
    </cfRule>
    <cfRule type="expression" dxfId="6458" priority="32">
      <formula>AND(B$9&gt;=8/24,B$9&lt;14/24)</formula>
    </cfRule>
    <cfRule type="expression" dxfId="6457" priority="33">
      <formula>B$9&lt;8/24</formula>
    </cfRule>
  </conditionalFormatting>
  <conditionalFormatting sqref="B13:H15 B12:I12 B17:Y32 B34:Y43 B45:Y45">
    <cfRule type="expression" dxfId="6456" priority="26">
      <formula>B$9&gt;=20/24</formula>
    </cfRule>
    <cfRule type="expression" dxfId="6455" priority="27">
      <formula>AND(B$9&gt;=14/24,B$9&lt;20/24)</formula>
    </cfRule>
    <cfRule type="expression" dxfId="6454" priority="28">
      <formula>AND(B$9&gt;=8/24,B$9&lt;14/24)</formula>
    </cfRule>
    <cfRule type="expression" dxfId="6453" priority="29">
      <formula>B$9&lt;8/24</formula>
    </cfRule>
  </conditionalFormatting>
  <conditionalFormatting sqref="B13:H15 B12:I12 B17:Y32 B34:Y43 B45:Y45">
    <cfRule type="expression" dxfId="6452" priority="25">
      <formula>B12&gt;$AG12</formula>
    </cfRule>
  </conditionalFormatting>
  <conditionalFormatting sqref="B11:D11">
    <cfRule type="expression" dxfId="6451" priority="21">
      <formula>B$9&gt;=20/24</formula>
    </cfRule>
    <cfRule type="expression" dxfId="6450" priority="22">
      <formula>AND(B$9&gt;=14/24,B$9&lt;20/24)</formula>
    </cfRule>
    <cfRule type="expression" dxfId="6449" priority="23">
      <formula>AND(B$9&gt;=8/24,B$9&lt;14/24)</formula>
    </cfRule>
    <cfRule type="expression" dxfId="6448" priority="24">
      <formula>B$9&lt;8/24</formula>
    </cfRule>
  </conditionalFormatting>
  <conditionalFormatting sqref="B11:D11">
    <cfRule type="expression" dxfId="6447" priority="20">
      <formula>B11&gt;$AG11</formula>
    </cfRule>
  </conditionalFormatting>
  <conditionalFormatting sqref="B16:Y16">
    <cfRule type="expression" dxfId="6446" priority="16">
      <formula>B$9&gt;=20/24</formula>
    </cfRule>
    <cfRule type="expression" dxfId="6445" priority="17">
      <formula>AND(B$9&gt;=14/24,B$9&lt;20/24)</formula>
    </cfRule>
    <cfRule type="expression" dxfId="6444" priority="18">
      <formula>AND(B$9&gt;=8/24,B$9&lt;14/24)</formula>
    </cfRule>
    <cfRule type="expression" dxfId="6443" priority="19">
      <formula>B$9&lt;8/24</formula>
    </cfRule>
  </conditionalFormatting>
  <conditionalFormatting sqref="B16:Y16">
    <cfRule type="expression" dxfId="6442" priority="15">
      <formula>B16&gt;$AG16</formula>
    </cfRule>
  </conditionalFormatting>
  <conditionalFormatting sqref="B33:Y33">
    <cfRule type="expression" dxfId="6441" priority="11">
      <formula>B$9&gt;=20/24</formula>
    </cfRule>
    <cfRule type="expression" dxfId="6440" priority="12">
      <formula>AND(B$9&gt;=14/24,B$9&lt;20/24)</formula>
    </cfRule>
    <cfRule type="expression" dxfId="6439" priority="13">
      <formula>AND(B$9&gt;=8/24,B$9&lt;14/24)</formula>
    </cfRule>
    <cfRule type="expression" dxfId="6438" priority="14">
      <formula>B$9&lt;8/24</formula>
    </cfRule>
  </conditionalFormatting>
  <conditionalFormatting sqref="B33:Y33">
    <cfRule type="expression" dxfId="6437" priority="10">
      <formula>B33&gt;$AG33</formula>
    </cfRule>
  </conditionalFormatting>
  <conditionalFormatting sqref="B44:Y44">
    <cfRule type="expression" dxfId="6436" priority="6">
      <formula>B$9&gt;=20/24</formula>
    </cfRule>
    <cfRule type="expression" dxfId="6435" priority="7">
      <formula>AND(B$9&gt;=14/24,B$9&lt;20/24)</formula>
    </cfRule>
    <cfRule type="expression" dxfId="6434" priority="8">
      <formula>AND(B$9&gt;=8/24,B$9&lt;14/24)</formula>
    </cfRule>
    <cfRule type="expression" dxfId="6433" priority="9">
      <formula>B$9&lt;8/24</formula>
    </cfRule>
  </conditionalFormatting>
  <conditionalFormatting sqref="B44:Y44">
    <cfRule type="expression" dxfId="6432" priority="5">
      <formula>B44&gt;$AG44</formula>
    </cfRule>
  </conditionalFormatting>
  <conditionalFormatting sqref="B117">
    <cfRule type="expression" dxfId="6431" priority="1">
      <formula>B$9&gt;=20/24</formula>
    </cfRule>
    <cfRule type="expression" dxfId="6430" priority="2">
      <formula>AND(B$9&gt;=14/24,B$9&lt;20/24)</formula>
    </cfRule>
    <cfRule type="expression" dxfId="6429" priority="3">
      <formula>AND(B$9&gt;=8/24,B$9&lt;14/24)</formula>
    </cfRule>
    <cfRule type="expression" dxfId="6428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17" id="{B74C9263-F1C9-4A10-9D16-F2689661202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8" id="{C3641EA4-6276-42BB-BED2-D6660087438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9" id="{25BE2486-8CFE-4776-90B1-CF5D5169489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20" id="{E3E85C24-DC66-4156-88D1-B65D7B63BD9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39" id="{CA9A065E-9686-4F3A-B612-41419914B28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" id="{ED46051A-D45C-44C4-8E62-8B191DCC83B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" id="{11DFEA4C-DE0B-47C2-AB67-EE050B4A2CB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2" id="{94920B82-4CE1-4289-BF56-EE29ED553EF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80" zoomScaleNormal="80" workbookViewId="0">
      <pane ySplit="10" topLeftCell="A61" activePane="bottomLeft" state="frozen"/>
      <selection activeCell="Z85" sqref="Z85"/>
      <selection pane="bottomLeft" activeCell="N97" sqref="N9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2079/12/16</v>
      </c>
      <c r="C4" s="196"/>
      <c r="D4" s="196"/>
      <c r="E4" s="197" t="str">
        <f ca="1">"2079/"&amp;"12/"&amp;INT(MID(CELL("filename",G6),FIND("]",CELL("filename",G6))+1,200))</f>
        <v>2079/12/16</v>
      </c>
      <c r="F4" s="197"/>
      <c r="G4" s="197"/>
      <c r="H4" s="197" t="str">
        <f ca="1">TEXT(E4,"dddd")</f>
        <v>Saturday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553</v>
      </c>
      <c r="C5" s="33">
        <f t="shared" si="0"/>
        <v>536.9</v>
      </c>
      <c r="D5" s="33">
        <f t="shared" si="0"/>
        <v>564.1</v>
      </c>
      <c r="E5" s="33">
        <f t="shared" si="0"/>
        <v>540.5</v>
      </c>
      <c r="F5" s="33">
        <f t="shared" si="0"/>
        <v>551.6</v>
      </c>
      <c r="G5" s="33">
        <f t="shared" si="0"/>
        <v>535.6</v>
      </c>
      <c r="H5" s="33">
        <f t="shared" si="0"/>
        <v>506.8</v>
      </c>
      <c r="I5" s="33">
        <f t="shared" si="0"/>
        <v>487.2</v>
      </c>
      <c r="J5" s="33">
        <f t="shared" si="0"/>
        <v>502.59999999999997</v>
      </c>
      <c r="K5" s="33">
        <f t="shared" si="0"/>
        <v>508.2</v>
      </c>
      <c r="L5" s="33">
        <f t="shared" si="0"/>
        <v>510.90000000000003</v>
      </c>
      <c r="M5" s="33">
        <f t="shared" si="0"/>
        <v>500.1</v>
      </c>
      <c r="N5" s="33">
        <f t="shared" si="0"/>
        <v>469.8</v>
      </c>
      <c r="O5" s="33">
        <f t="shared" si="0"/>
        <v>505.4</v>
      </c>
      <c r="P5" s="33">
        <f t="shared" si="0"/>
        <v>518.29999999999995</v>
      </c>
      <c r="Q5" s="33">
        <f t="shared" si="0"/>
        <v>450.5</v>
      </c>
      <c r="R5" s="33">
        <f t="shared" si="0"/>
        <v>546.20000000000005</v>
      </c>
      <c r="S5" s="33">
        <f t="shared" si="0"/>
        <v>528.20000000000005</v>
      </c>
      <c r="T5" s="33">
        <f t="shared" si="0"/>
        <v>537.5</v>
      </c>
      <c r="U5" s="33">
        <f t="shared" si="0"/>
        <v>497</v>
      </c>
      <c r="V5" s="33">
        <f t="shared" si="0"/>
        <v>482.5</v>
      </c>
      <c r="W5" s="33">
        <f t="shared" si="0"/>
        <v>532</v>
      </c>
      <c r="X5" s="33">
        <f t="shared" si="0"/>
        <v>491.8</v>
      </c>
      <c r="Y5" s="33">
        <f t="shared" si="0"/>
        <v>538.4</v>
      </c>
      <c r="Z5" s="33">
        <f t="shared" si="0"/>
        <v>523.4</v>
      </c>
      <c r="AA5" s="33">
        <f t="shared" si="0"/>
        <v>523.79999999999995</v>
      </c>
      <c r="AB5" s="33">
        <f t="shared" si="0"/>
        <v>523.70000000000005</v>
      </c>
      <c r="AC5" s="33">
        <f t="shared" si="0"/>
        <v>533</v>
      </c>
      <c r="AD5" s="33">
        <f t="shared" si="0"/>
        <v>452</v>
      </c>
      <c r="AE5" s="33">
        <f t="shared" si="0"/>
        <v>483</v>
      </c>
      <c r="AF5" s="33">
        <f>B82</f>
        <v>503.5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1432MW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Load=1010</v>
      </c>
      <c r="B7" s="38">
        <f t="shared" ref="B7:AF7" si="1">B89</f>
        <v>1138.2400000000002</v>
      </c>
      <c r="C7" s="38">
        <f t="shared" si="1"/>
        <v>1032.8400000000001</v>
      </c>
      <c r="D7" s="38">
        <f t="shared" si="1"/>
        <v>1016.74</v>
      </c>
      <c r="E7" s="38">
        <f t="shared" si="1"/>
        <v>1033.94</v>
      </c>
      <c r="F7" s="38">
        <f t="shared" si="1"/>
        <v>1010.34</v>
      </c>
      <c r="G7" s="38">
        <f t="shared" si="1"/>
        <v>1021.44</v>
      </c>
      <c r="H7" s="38">
        <f t="shared" si="1"/>
        <v>1086.94</v>
      </c>
      <c r="I7" s="38">
        <f t="shared" si="1"/>
        <v>1136.69</v>
      </c>
      <c r="J7" s="38">
        <f t="shared" si="1"/>
        <v>1300.04</v>
      </c>
      <c r="K7" s="38">
        <f t="shared" si="1"/>
        <v>1307.6399999999999</v>
      </c>
      <c r="L7" s="38">
        <f t="shared" si="1"/>
        <v>1431.94</v>
      </c>
      <c r="M7" s="38">
        <f t="shared" si="1"/>
        <v>1389.44</v>
      </c>
      <c r="N7" s="38">
        <f>N89</f>
        <v>1358.64</v>
      </c>
      <c r="O7" s="38">
        <f t="shared" si="1"/>
        <v>1320.14</v>
      </c>
      <c r="P7" s="38">
        <f t="shared" si="1"/>
        <v>1263.24</v>
      </c>
      <c r="Q7" s="38">
        <f t="shared" si="1"/>
        <v>1309.6399999999999</v>
      </c>
      <c r="R7" s="38">
        <f t="shared" si="1"/>
        <v>1296.3400000000001</v>
      </c>
      <c r="S7" s="38">
        <f t="shared" si="1"/>
        <v>1394.14</v>
      </c>
      <c r="T7" s="38">
        <f t="shared" si="1"/>
        <v>1377.3400000000001</v>
      </c>
      <c r="U7" s="38">
        <f t="shared" si="1"/>
        <v>1414.8400000000001</v>
      </c>
      <c r="V7" s="38">
        <f t="shared" si="1"/>
        <v>1348.2400000000002</v>
      </c>
      <c r="W7" s="38">
        <f t="shared" si="1"/>
        <v>1455.3400000000001</v>
      </c>
      <c r="X7" s="38">
        <f t="shared" si="1"/>
        <v>1461.74</v>
      </c>
      <c r="Y7" s="38">
        <f t="shared" si="1"/>
        <v>1509.04</v>
      </c>
      <c r="Z7" s="38">
        <f t="shared" si="1"/>
        <v>1578.24</v>
      </c>
      <c r="AA7" s="38">
        <f t="shared" si="1"/>
        <v>1553.8400000000001</v>
      </c>
      <c r="AB7" s="38">
        <f t="shared" si="1"/>
        <v>1458.6399999999999</v>
      </c>
      <c r="AC7" s="38">
        <f t="shared" si="1"/>
        <v>1377.54</v>
      </c>
      <c r="AD7" s="38">
        <f t="shared" si="1"/>
        <v>1329.6399999999999</v>
      </c>
      <c r="AE7" s="38">
        <f t="shared" si="1"/>
        <v>1179.04</v>
      </c>
      <c r="AF7" s="38">
        <f t="shared" si="1"/>
        <v>1167.44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25</v>
      </c>
      <c r="C11" s="50">
        <v>25</v>
      </c>
      <c r="D11" s="50">
        <v>25</v>
      </c>
      <c r="E11" s="50">
        <v>25</v>
      </c>
      <c r="F11" s="50">
        <v>25</v>
      </c>
      <c r="G11" s="50">
        <v>25</v>
      </c>
      <c r="H11" s="50">
        <v>25</v>
      </c>
      <c r="I11" s="50">
        <v>25</v>
      </c>
      <c r="J11" s="50">
        <v>25</v>
      </c>
      <c r="K11" s="50">
        <v>25</v>
      </c>
      <c r="L11" s="50">
        <v>25</v>
      </c>
      <c r="M11" s="50">
        <v>25</v>
      </c>
      <c r="N11" s="50">
        <v>25</v>
      </c>
      <c r="O11" s="50">
        <v>25</v>
      </c>
      <c r="P11" s="50">
        <v>25</v>
      </c>
      <c r="Q11" s="50">
        <v>25</v>
      </c>
      <c r="R11" s="50">
        <v>25</v>
      </c>
      <c r="S11" s="50">
        <v>25</v>
      </c>
      <c r="T11" s="50">
        <v>25</v>
      </c>
      <c r="U11" s="50">
        <v>25</v>
      </c>
      <c r="V11" s="50">
        <v>25</v>
      </c>
      <c r="W11" s="50">
        <v>25</v>
      </c>
      <c r="X11" s="50">
        <v>25</v>
      </c>
      <c r="Y11" s="50">
        <v>25</v>
      </c>
      <c r="Z11" s="50">
        <v>25</v>
      </c>
      <c r="AA11" s="50">
        <v>25</v>
      </c>
      <c r="AB11" s="50">
        <v>25</v>
      </c>
      <c r="AC11" s="50">
        <v>25</v>
      </c>
      <c r="AD11" s="50">
        <v>25</v>
      </c>
      <c r="AE11" s="50">
        <v>25</v>
      </c>
      <c r="AF11" s="50">
        <v>25</v>
      </c>
      <c r="AG11" s="51">
        <v>86</v>
      </c>
      <c r="AH11" s="52">
        <f t="shared" ref="AH11:AH74" si="2">MAX(B11:AF11)</f>
        <v>25</v>
      </c>
      <c r="AI11" s="53">
        <f t="shared" ref="AI11:AI74" si="3">MIN(B11:AF11)</f>
        <v>25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</v>
      </c>
      <c r="C12" s="50">
        <v>14</v>
      </c>
      <c r="D12" s="50">
        <v>14</v>
      </c>
      <c r="E12" s="50">
        <v>14</v>
      </c>
      <c r="F12" s="50">
        <v>14</v>
      </c>
      <c r="G12" s="50">
        <v>14</v>
      </c>
      <c r="H12" s="50">
        <v>14</v>
      </c>
      <c r="I12" s="50">
        <v>14</v>
      </c>
      <c r="J12" s="50">
        <v>14</v>
      </c>
      <c r="K12" s="50">
        <v>14</v>
      </c>
      <c r="L12" s="50">
        <v>14</v>
      </c>
      <c r="M12" s="50">
        <v>14</v>
      </c>
      <c r="N12" s="50">
        <v>14</v>
      </c>
      <c r="O12" s="50">
        <v>14</v>
      </c>
      <c r="P12" s="50">
        <v>14</v>
      </c>
      <c r="Q12" s="50">
        <v>14</v>
      </c>
      <c r="R12" s="50">
        <v>14</v>
      </c>
      <c r="S12" s="50">
        <v>14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14</v>
      </c>
      <c r="AA12" s="50">
        <v>14</v>
      </c>
      <c r="AB12" s="50">
        <v>14</v>
      </c>
      <c r="AC12" s="50">
        <v>14</v>
      </c>
      <c r="AD12" s="50">
        <v>14</v>
      </c>
      <c r="AE12" s="50">
        <v>14</v>
      </c>
      <c r="AF12" s="50">
        <v>14</v>
      </c>
      <c r="AG12" s="51">
        <v>52.4</v>
      </c>
      <c r="AH12" s="52">
        <f t="shared" si="2"/>
        <v>14</v>
      </c>
      <c r="AI12" s="53">
        <f t="shared" si="3"/>
        <v>14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</v>
      </c>
      <c r="C13" s="50">
        <v>28</v>
      </c>
      <c r="D13" s="50">
        <v>28</v>
      </c>
      <c r="E13" s="50">
        <v>28</v>
      </c>
      <c r="F13" s="50">
        <v>28</v>
      </c>
      <c r="G13" s="50">
        <v>28</v>
      </c>
      <c r="H13" s="50">
        <v>28</v>
      </c>
      <c r="I13" s="50">
        <v>28</v>
      </c>
      <c r="J13" s="50">
        <v>28</v>
      </c>
      <c r="K13" s="50">
        <v>28</v>
      </c>
      <c r="L13" s="50">
        <v>28</v>
      </c>
      <c r="M13" s="50">
        <v>28</v>
      </c>
      <c r="N13" s="50">
        <v>28</v>
      </c>
      <c r="O13" s="50">
        <v>28</v>
      </c>
      <c r="P13" s="50">
        <v>28</v>
      </c>
      <c r="Q13" s="50">
        <v>28</v>
      </c>
      <c r="R13" s="50">
        <v>28</v>
      </c>
      <c r="S13" s="50">
        <v>28</v>
      </c>
      <c r="T13" s="50">
        <v>28</v>
      </c>
      <c r="U13" s="50">
        <v>28</v>
      </c>
      <c r="V13" s="50">
        <v>28</v>
      </c>
      <c r="W13" s="50">
        <v>28</v>
      </c>
      <c r="X13" s="50">
        <v>28</v>
      </c>
      <c r="Y13" s="50">
        <v>28</v>
      </c>
      <c r="Z13" s="50">
        <v>28</v>
      </c>
      <c r="AA13" s="50">
        <v>28</v>
      </c>
      <c r="AB13" s="50">
        <v>28</v>
      </c>
      <c r="AC13" s="50">
        <v>28</v>
      </c>
      <c r="AD13" s="50">
        <v>28</v>
      </c>
      <c r="AE13" s="50">
        <v>28</v>
      </c>
      <c r="AF13" s="50">
        <v>28</v>
      </c>
      <c r="AG13" s="55">
        <v>50</v>
      </c>
      <c r="AH13" s="52">
        <f t="shared" si="2"/>
        <v>28</v>
      </c>
      <c r="AI13" s="53">
        <f t="shared" si="3"/>
        <v>28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13.5</v>
      </c>
      <c r="C14" s="50">
        <v>13.5</v>
      </c>
      <c r="D14" s="50">
        <v>13.5</v>
      </c>
      <c r="E14" s="50">
        <v>13.5</v>
      </c>
      <c r="F14" s="50">
        <v>13.5</v>
      </c>
      <c r="G14" s="50">
        <v>13.5</v>
      </c>
      <c r="H14" s="50">
        <v>13.5</v>
      </c>
      <c r="I14" s="50">
        <v>13.5</v>
      </c>
      <c r="J14" s="50">
        <v>13.5</v>
      </c>
      <c r="K14" s="50">
        <v>13.5</v>
      </c>
      <c r="L14" s="50">
        <v>13.5</v>
      </c>
      <c r="M14" s="50">
        <v>13.5</v>
      </c>
      <c r="N14" s="50">
        <v>13.5</v>
      </c>
      <c r="O14" s="50">
        <v>13.5</v>
      </c>
      <c r="P14" s="50">
        <v>13.5</v>
      </c>
      <c r="Q14" s="50">
        <v>13.5</v>
      </c>
      <c r="R14" s="50">
        <v>13.5</v>
      </c>
      <c r="S14" s="50">
        <v>13.5</v>
      </c>
      <c r="T14" s="50">
        <v>13.5</v>
      </c>
      <c r="U14" s="50">
        <v>13.5</v>
      </c>
      <c r="V14" s="50">
        <v>13.5</v>
      </c>
      <c r="W14" s="50">
        <v>13.5</v>
      </c>
      <c r="X14" s="50">
        <v>13.5</v>
      </c>
      <c r="Y14" s="50">
        <v>13.5</v>
      </c>
      <c r="Z14" s="50">
        <v>13.5</v>
      </c>
      <c r="AA14" s="50">
        <v>13.5</v>
      </c>
      <c r="AB14" s="50">
        <v>13.5</v>
      </c>
      <c r="AC14" s="50">
        <v>13.5</v>
      </c>
      <c r="AD14" s="50">
        <v>13.5</v>
      </c>
      <c r="AE14" s="50">
        <v>13.5</v>
      </c>
      <c r="AF14" s="50">
        <v>13.5</v>
      </c>
      <c r="AG14" s="55">
        <v>45</v>
      </c>
      <c r="AH14" s="52">
        <f t="shared" si="2"/>
        <v>13.5</v>
      </c>
      <c r="AI14" s="53">
        <f t="shared" si="3"/>
        <v>13.5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8.3000000000000007</v>
      </c>
      <c r="C18" s="50">
        <v>8.3000000000000007</v>
      </c>
      <c r="D18" s="50">
        <v>8.3000000000000007</v>
      </c>
      <c r="E18" s="50">
        <v>8.3000000000000007</v>
      </c>
      <c r="F18" s="50">
        <v>8.3000000000000007</v>
      </c>
      <c r="G18" s="50">
        <v>8.3000000000000007</v>
      </c>
      <c r="H18" s="50">
        <v>8.3000000000000007</v>
      </c>
      <c r="I18" s="50">
        <v>8.3000000000000007</v>
      </c>
      <c r="J18" s="50">
        <v>8.3000000000000007</v>
      </c>
      <c r="K18" s="50">
        <v>8.3000000000000007</v>
      </c>
      <c r="L18" s="50">
        <v>8.3000000000000007</v>
      </c>
      <c r="M18" s="50">
        <v>8.3000000000000007</v>
      </c>
      <c r="N18" s="50">
        <v>8.3000000000000007</v>
      </c>
      <c r="O18" s="50">
        <v>8.3000000000000007</v>
      </c>
      <c r="P18" s="50">
        <v>8.3000000000000007</v>
      </c>
      <c r="Q18" s="50">
        <v>8.3000000000000007</v>
      </c>
      <c r="R18" s="50">
        <v>8.3000000000000007</v>
      </c>
      <c r="S18" s="50">
        <v>8.3000000000000007</v>
      </c>
      <c r="T18" s="50">
        <v>8.3000000000000007</v>
      </c>
      <c r="U18" s="50">
        <v>8.3000000000000007</v>
      </c>
      <c r="V18" s="50">
        <v>8.3000000000000007</v>
      </c>
      <c r="W18" s="50">
        <v>8.3000000000000007</v>
      </c>
      <c r="X18" s="50">
        <v>8.3000000000000007</v>
      </c>
      <c r="Y18" s="50">
        <v>8.3000000000000007</v>
      </c>
      <c r="Z18" s="50">
        <v>8.3000000000000007</v>
      </c>
      <c r="AA18" s="50">
        <v>8.3000000000000007</v>
      </c>
      <c r="AB18" s="50">
        <v>8.3000000000000007</v>
      </c>
      <c r="AC18" s="50">
        <v>8.3000000000000007</v>
      </c>
      <c r="AD18" s="50">
        <v>8.3000000000000007</v>
      </c>
      <c r="AE18" s="50">
        <v>8.3000000000000007</v>
      </c>
      <c r="AF18" s="50">
        <v>8.3000000000000007</v>
      </c>
      <c r="AG18" s="56">
        <v>30</v>
      </c>
      <c r="AH18" s="52">
        <f t="shared" si="2"/>
        <v>8.3000000000000007</v>
      </c>
      <c r="AI18" s="53">
        <f t="shared" si="3"/>
        <v>8.3000000000000007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6.4</v>
      </c>
      <c r="C19" s="50">
        <v>6.4</v>
      </c>
      <c r="D19" s="50">
        <v>6.4</v>
      </c>
      <c r="E19" s="50">
        <v>6.4</v>
      </c>
      <c r="F19" s="50">
        <v>6.4</v>
      </c>
      <c r="G19" s="50">
        <v>6.4</v>
      </c>
      <c r="H19" s="50">
        <v>6.4</v>
      </c>
      <c r="I19" s="50">
        <v>6.4</v>
      </c>
      <c r="J19" s="50">
        <v>6.4</v>
      </c>
      <c r="K19" s="50">
        <v>6.4</v>
      </c>
      <c r="L19" s="50">
        <v>6.4</v>
      </c>
      <c r="M19" s="50">
        <v>6.4</v>
      </c>
      <c r="N19" s="50">
        <v>6.4</v>
      </c>
      <c r="O19" s="50">
        <v>6.4</v>
      </c>
      <c r="P19" s="50">
        <v>6.4</v>
      </c>
      <c r="Q19" s="50">
        <v>6.4</v>
      </c>
      <c r="R19" s="50">
        <v>6.4</v>
      </c>
      <c r="S19" s="50">
        <v>6.4</v>
      </c>
      <c r="T19" s="50">
        <v>6.4</v>
      </c>
      <c r="U19" s="50">
        <v>6.4</v>
      </c>
      <c r="V19" s="50">
        <v>6.4</v>
      </c>
      <c r="W19" s="50">
        <v>6.4</v>
      </c>
      <c r="X19" s="50">
        <v>6.4</v>
      </c>
      <c r="Y19" s="50">
        <v>6.4</v>
      </c>
      <c r="Z19" s="50">
        <v>6.4</v>
      </c>
      <c r="AA19" s="50">
        <v>6.4</v>
      </c>
      <c r="AB19" s="50">
        <v>6.4</v>
      </c>
      <c r="AC19" s="50">
        <v>6.4</v>
      </c>
      <c r="AD19" s="50">
        <v>6.4</v>
      </c>
      <c r="AE19" s="50">
        <v>6.4</v>
      </c>
      <c r="AF19" s="50">
        <v>6.4</v>
      </c>
      <c r="AG19" s="55">
        <v>24.2</v>
      </c>
      <c r="AH19" s="52">
        <f t="shared" si="2"/>
        <v>6.4</v>
      </c>
      <c r="AI19" s="53">
        <f t="shared" si="3"/>
        <v>6.4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12</v>
      </c>
      <c r="N20" s="50">
        <v>12</v>
      </c>
      <c r="O20" s="50">
        <v>12</v>
      </c>
      <c r="P20" s="50">
        <v>12</v>
      </c>
      <c r="Q20" s="50">
        <v>12</v>
      </c>
      <c r="R20" s="50">
        <v>12</v>
      </c>
      <c r="S20" s="50">
        <v>12</v>
      </c>
      <c r="T20" s="50">
        <v>12</v>
      </c>
      <c r="U20" s="50">
        <v>12</v>
      </c>
      <c r="V20" s="50">
        <v>12</v>
      </c>
      <c r="W20" s="50">
        <v>12</v>
      </c>
      <c r="X20" s="50">
        <v>12</v>
      </c>
      <c r="Y20" s="50">
        <v>12</v>
      </c>
      <c r="Z20" s="50">
        <v>12</v>
      </c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12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6.4</v>
      </c>
      <c r="C22" s="50">
        <v>6.4</v>
      </c>
      <c r="D22" s="50">
        <v>6.4</v>
      </c>
      <c r="E22" s="50">
        <v>6.4</v>
      </c>
      <c r="F22" s="50">
        <v>6.4</v>
      </c>
      <c r="G22" s="50">
        <v>6.4</v>
      </c>
      <c r="H22" s="50">
        <v>6.4</v>
      </c>
      <c r="I22" s="50">
        <v>6.4</v>
      </c>
      <c r="J22" s="50">
        <v>6.4</v>
      </c>
      <c r="K22" s="50">
        <v>6.4</v>
      </c>
      <c r="L22" s="50">
        <v>6.4</v>
      </c>
      <c r="M22" s="50">
        <v>6.4</v>
      </c>
      <c r="N22" s="50">
        <v>6.4</v>
      </c>
      <c r="O22" s="50">
        <v>6.4</v>
      </c>
      <c r="P22" s="50">
        <v>6.4</v>
      </c>
      <c r="Q22" s="50">
        <v>6.4</v>
      </c>
      <c r="R22" s="50">
        <v>6.4</v>
      </c>
      <c r="S22" s="50">
        <v>6.4</v>
      </c>
      <c r="T22" s="50">
        <v>6.4</v>
      </c>
      <c r="U22" s="50">
        <v>6.4</v>
      </c>
      <c r="V22" s="50">
        <v>6.4</v>
      </c>
      <c r="W22" s="50">
        <v>6.4</v>
      </c>
      <c r="X22" s="50">
        <v>6.4</v>
      </c>
      <c r="Y22" s="50">
        <v>6.4</v>
      </c>
      <c r="Z22" s="50">
        <v>6.4</v>
      </c>
      <c r="AA22" s="50">
        <v>6.4</v>
      </c>
      <c r="AB22" s="50">
        <v>6.4</v>
      </c>
      <c r="AC22" s="50">
        <v>6.4</v>
      </c>
      <c r="AD22" s="50">
        <v>6.4</v>
      </c>
      <c r="AE22" s="50">
        <v>6.4</v>
      </c>
      <c r="AF22" s="50">
        <v>6.4</v>
      </c>
      <c r="AG22" s="55">
        <v>25</v>
      </c>
      <c r="AH22" s="52">
        <f t="shared" si="2"/>
        <v>6.4</v>
      </c>
      <c r="AI22" s="53">
        <f t="shared" si="3"/>
        <v>6.4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</v>
      </c>
      <c r="C26" s="50">
        <v>6</v>
      </c>
      <c r="D26" s="50">
        <v>6</v>
      </c>
      <c r="E26" s="50">
        <v>6</v>
      </c>
      <c r="F26" s="50">
        <v>6</v>
      </c>
      <c r="G26" s="50">
        <v>6</v>
      </c>
      <c r="H26" s="50">
        <v>6</v>
      </c>
      <c r="I26" s="50">
        <v>6</v>
      </c>
      <c r="J26" s="50">
        <v>6</v>
      </c>
      <c r="K26" s="50">
        <v>6</v>
      </c>
      <c r="L26" s="50">
        <v>6</v>
      </c>
      <c r="M26" s="50">
        <v>6</v>
      </c>
      <c r="N26" s="50">
        <v>6</v>
      </c>
      <c r="O26" s="50">
        <v>6</v>
      </c>
      <c r="P26" s="50">
        <v>6</v>
      </c>
      <c r="Q26" s="50">
        <v>6</v>
      </c>
      <c r="R26" s="50">
        <v>6</v>
      </c>
      <c r="S26" s="50">
        <v>6</v>
      </c>
      <c r="T26" s="50">
        <v>6</v>
      </c>
      <c r="U26" s="50">
        <v>6</v>
      </c>
      <c r="V26" s="50">
        <v>6</v>
      </c>
      <c r="W26" s="50">
        <v>6</v>
      </c>
      <c r="X26" s="50">
        <v>6</v>
      </c>
      <c r="Y26" s="50">
        <v>6</v>
      </c>
      <c r="Z26" s="50">
        <v>6</v>
      </c>
      <c r="AA26" s="50">
        <v>6</v>
      </c>
      <c r="AB26" s="50">
        <v>6</v>
      </c>
      <c r="AC26" s="50">
        <v>6</v>
      </c>
      <c r="AD26" s="50">
        <v>6</v>
      </c>
      <c r="AE26" s="50">
        <v>6</v>
      </c>
      <c r="AF26" s="50">
        <v>6</v>
      </c>
      <c r="AG26" s="55">
        <v>23.5</v>
      </c>
      <c r="AH26" s="52">
        <f t="shared" si="2"/>
        <v>6</v>
      </c>
      <c r="AI26" s="53">
        <f t="shared" si="3"/>
        <v>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7.5</v>
      </c>
      <c r="C30" s="50">
        <v>7.5</v>
      </c>
      <c r="D30" s="50">
        <v>7.5</v>
      </c>
      <c r="E30" s="50">
        <v>7.5</v>
      </c>
      <c r="F30" s="50">
        <v>7.5</v>
      </c>
      <c r="G30" s="50">
        <v>7.5</v>
      </c>
      <c r="H30" s="50">
        <v>7.5</v>
      </c>
      <c r="I30" s="50">
        <v>7.5</v>
      </c>
      <c r="J30" s="50">
        <v>7.5</v>
      </c>
      <c r="K30" s="50">
        <v>7.5</v>
      </c>
      <c r="L30" s="50">
        <v>7.5</v>
      </c>
      <c r="M30" s="50">
        <v>7.5</v>
      </c>
      <c r="N30" s="50">
        <v>7.5</v>
      </c>
      <c r="O30" s="50">
        <v>7.5</v>
      </c>
      <c r="P30" s="50">
        <v>7.5</v>
      </c>
      <c r="Q30" s="50">
        <v>7.5</v>
      </c>
      <c r="R30" s="50">
        <v>7.5</v>
      </c>
      <c r="S30" s="50">
        <v>7.5</v>
      </c>
      <c r="T30" s="50">
        <v>7.5</v>
      </c>
      <c r="U30" s="50">
        <v>7.5</v>
      </c>
      <c r="V30" s="50">
        <v>7.5</v>
      </c>
      <c r="W30" s="50">
        <v>7.5</v>
      </c>
      <c r="X30" s="50">
        <v>7.5</v>
      </c>
      <c r="Y30" s="50">
        <v>7.5</v>
      </c>
      <c r="Z30" s="50">
        <v>7.5</v>
      </c>
      <c r="AA30" s="50">
        <v>7.5</v>
      </c>
      <c r="AB30" s="50">
        <v>7.5</v>
      </c>
      <c r="AC30" s="50">
        <v>7.5</v>
      </c>
      <c r="AD30" s="50">
        <v>7.5</v>
      </c>
      <c r="AE30" s="50">
        <v>7.5</v>
      </c>
      <c r="AF30" s="50">
        <v>7.5</v>
      </c>
      <c r="AG30" s="55">
        <v>22</v>
      </c>
      <c r="AH30" s="52">
        <f t="shared" si="2"/>
        <v>7.5</v>
      </c>
      <c r="AI30" s="53">
        <f t="shared" si="3"/>
        <v>7.5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10</v>
      </c>
      <c r="C38" s="50">
        <v>10</v>
      </c>
      <c r="D38" s="50">
        <v>10</v>
      </c>
      <c r="E38" s="50">
        <v>10</v>
      </c>
      <c r="F38" s="50">
        <v>10</v>
      </c>
      <c r="G38" s="50">
        <v>10</v>
      </c>
      <c r="H38" s="50">
        <v>10</v>
      </c>
      <c r="I38" s="50">
        <v>10</v>
      </c>
      <c r="J38" s="50">
        <v>10</v>
      </c>
      <c r="K38" s="50">
        <v>10</v>
      </c>
      <c r="L38" s="50">
        <v>10</v>
      </c>
      <c r="M38" s="50">
        <v>10</v>
      </c>
      <c r="N38" s="50">
        <v>10</v>
      </c>
      <c r="O38" s="50">
        <v>10</v>
      </c>
      <c r="P38" s="50">
        <v>10</v>
      </c>
      <c r="Q38" s="50">
        <v>10</v>
      </c>
      <c r="R38" s="50">
        <v>10</v>
      </c>
      <c r="S38" s="50">
        <v>10</v>
      </c>
      <c r="T38" s="50">
        <v>10</v>
      </c>
      <c r="U38" s="50">
        <v>10</v>
      </c>
      <c r="V38" s="50">
        <v>10</v>
      </c>
      <c r="W38" s="50">
        <v>10</v>
      </c>
      <c r="X38" s="50">
        <v>10</v>
      </c>
      <c r="Y38" s="50">
        <v>10</v>
      </c>
      <c r="Z38" s="50">
        <v>10</v>
      </c>
      <c r="AA38" s="50">
        <v>10</v>
      </c>
      <c r="AB38" s="50">
        <v>10</v>
      </c>
      <c r="AC38" s="50">
        <v>10</v>
      </c>
      <c r="AD38" s="50">
        <v>10</v>
      </c>
      <c r="AE38" s="50">
        <v>10</v>
      </c>
      <c r="AF38" s="50">
        <v>10</v>
      </c>
      <c r="AG38" s="55">
        <v>12</v>
      </c>
      <c r="AH38" s="52">
        <f t="shared" si="2"/>
        <v>10</v>
      </c>
      <c r="AI38" s="53">
        <f t="shared" si="3"/>
        <v>10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2.2999999999999998</v>
      </c>
      <c r="C41" s="50">
        <v>2.2999999999999998</v>
      </c>
      <c r="D41" s="50">
        <v>2.2999999999999998</v>
      </c>
      <c r="E41" s="50">
        <v>2.2999999999999998</v>
      </c>
      <c r="F41" s="50">
        <v>2.2999999999999998</v>
      </c>
      <c r="G41" s="50">
        <v>2.2999999999999998</v>
      </c>
      <c r="H41" s="50">
        <v>2.2999999999999998</v>
      </c>
      <c r="I41" s="50">
        <v>2.2999999999999998</v>
      </c>
      <c r="J41" s="50">
        <v>2.2999999999999998</v>
      </c>
      <c r="K41" s="50">
        <v>2.2999999999999998</v>
      </c>
      <c r="L41" s="50">
        <v>2.2999999999999998</v>
      </c>
      <c r="M41" s="50">
        <v>2.2999999999999998</v>
      </c>
      <c r="N41" s="50">
        <v>2.2999999999999998</v>
      </c>
      <c r="O41" s="50">
        <v>2.2999999999999998</v>
      </c>
      <c r="P41" s="50">
        <v>2.2999999999999998</v>
      </c>
      <c r="Q41" s="50">
        <v>2.2999999999999998</v>
      </c>
      <c r="R41" s="50">
        <v>2.2999999999999998</v>
      </c>
      <c r="S41" s="50">
        <v>2.2999999999999998</v>
      </c>
      <c r="T41" s="50">
        <v>2.2999999999999998</v>
      </c>
      <c r="U41" s="50">
        <v>2.2999999999999998</v>
      </c>
      <c r="V41" s="50">
        <v>2.2999999999999998</v>
      </c>
      <c r="W41" s="50">
        <v>2.2999999999999998</v>
      </c>
      <c r="X41" s="50">
        <v>2.2999999999999998</v>
      </c>
      <c r="Y41" s="50">
        <v>2.2999999999999998</v>
      </c>
      <c r="Z41" s="50">
        <v>2.2999999999999998</v>
      </c>
      <c r="AA41" s="50">
        <v>2.2999999999999998</v>
      </c>
      <c r="AB41" s="50">
        <v>2.2999999999999998</v>
      </c>
      <c r="AC41" s="50">
        <v>2.2999999999999998</v>
      </c>
      <c r="AD41" s="50">
        <v>2.2999999999999998</v>
      </c>
      <c r="AE41" s="50">
        <v>2.2999999999999998</v>
      </c>
      <c r="AF41" s="50">
        <v>2.2999999999999998</v>
      </c>
      <c r="AG41" s="56">
        <v>11.88</v>
      </c>
      <c r="AH41" s="52">
        <f t="shared" si="2"/>
        <v>2.2999999999999998</v>
      </c>
      <c r="AI41" s="53">
        <f t="shared" si="3"/>
        <v>2.2999999999999998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0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1</v>
      </c>
      <c r="O45" s="50">
        <v>1</v>
      </c>
      <c r="P45" s="50">
        <v>1</v>
      </c>
      <c r="Q45" s="50">
        <v>1</v>
      </c>
      <c r="R45" s="50">
        <v>1</v>
      </c>
      <c r="S45" s="50">
        <v>1</v>
      </c>
      <c r="T45" s="50">
        <v>1</v>
      </c>
      <c r="U45" s="50">
        <v>1</v>
      </c>
      <c r="V45" s="50">
        <v>1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1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346.90000000000003</v>
      </c>
      <c r="C48" s="67">
        <f t="shared" si="4"/>
        <v>346.90000000000003</v>
      </c>
      <c r="D48" s="67">
        <f t="shared" si="4"/>
        <v>346.90000000000003</v>
      </c>
      <c r="E48" s="67">
        <f t="shared" si="4"/>
        <v>346.90000000000003</v>
      </c>
      <c r="F48" s="67">
        <f t="shared" si="4"/>
        <v>346.90000000000003</v>
      </c>
      <c r="G48" s="67">
        <f t="shared" si="4"/>
        <v>346.90000000000003</v>
      </c>
      <c r="H48" s="67">
        <f t="shared" si="4"/>
        <v>346.90000000000003</v>
      </c>
      <c r="I48" s="67">
        <f t="shared" si="4"/>
        <v>346.90000000000003</v>
      </c>
      <c r="J48" s="67">
        <f t="shared" si="4"/>
        <v>346.90000000000003</v>
      </c>
      <c r="K48" s="67">
        <f t="shared" si="4"/>
        <v>346.90000000000003</v>
      </c>
      <c r="L48" s="67">
        <f t="shared" si="4"/>
        <v>346.90000000000003</v>
      </c>
      <c r="M48" s="67">
        <f t="shared" si="4"/>
        <v>347.90000000000003</v>
      </c>
      <c r="N48" s="67">
        <f t="shared" si="4"/>
        <v>347.90000000000003</v>
      </c>
      <c r="O48" s="67">
        <f t="shared" si="4"/>
        <v>347.90000000000003</v>
      </c>
      <c r="P48" s="67">
        <f t="shared" si="4"/>
        <v>347.90000000000003</v>
      </c>
      <c r="Q48" s="67">
        <f t="shared" si="4"/>
        <v>347.90000000000003</v>
      </c>
      <c r="R48" s="67">
        <f t="shared" si="4"/>
        <v>343.90000000000003</v>
      </c>
      <c r="S48" s="67">
        <f t="shared" si="4"/>
        <v>343.90000000000003</v>
      </c>
      <c r="T48" s="67">
        <f t="shared" si="4"/>
        <v>343.90000000000003</v>
      </c>
      <c r="U48" s="67">
        <f t="shared" si="4"/>
        <v>343.90000000000003</v>
      </c>
      <c r="V48" s="67">
        <f t="shared" si="4"/>
        <v>343.90000000000003</v>
      </c>
      <c r="W48" s="67">
        <f t="shared" si="4"/>
        <v>342.90000000000003</v>
      </c>
      <c r="X48" s="67">
        <f t="shared" si="4"/>
        <v>346.90000000000003</v>
      </c>
      <c r="Y48" s="67">
        <f t="shared" si="4"/>
        <v>346.90000000000003</v>
      </c>
      <c r="Z48" s="67">
        <f t="shared" si="4"/>
        <v>346.90000000000003</v>
      </c>
      <c r="AA48" s="67">
        <f t="shared" si="4"/>
        <v>346.90000000000003</v>
      </c>
      <c r="AB48" s="67">
        <f t="shared" ref="AB48" si="5">SUM(AB12:AB46)</f>
        <v>346.90000000000003</v>
      </c>
      <c r="AC48" s="67">
        <f t="shared" si="4"/>
        <v>346.90000000000003</v>
      </c>
      <c r="AD48" s="67">
        <f t="shared" si="4"/>
        <v>346.90000000000003</v>
      </c>
      <c r="AE48" s="67">
        <f t="shared" si="4"/>
        <v>346.90000000000003</v>
      </c>
      <c r="AF48" s="67">
        <f t="shared" si="4"/>
        <v>346.90000000000003</v>
      </c>
      <c r="AG48" s="68">
        <f t="shared" si="4"/>
        <v>875.68</v>
      </c>
      <c r="AH48" s="52">
        <f t="shared" si="2"/>
        <v>347.90000000000003</v>
      </c>
      <c r="AI48" s="53">
        <f t="shared" si="3"/>
        <v>342.90000000000003</v>
      </c>
      <c r="AK48" s="54"/>
    </row>
    <row r="49" spans="1:41" x14ac:dyDescent="0.25">
      <c r="A49" s="69" t="s">
        <v>53</v>
      </c>
      <c r="B49" s="50">
        <v>40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15</v>
      </c>
      <c r="I49" s="50">
        <v>40</v>
      </c>
      <c r="J49" s="50">
        <v>88</v>
      </c>
      <c r="K49" s="50">
        <v>64.3</v>
      </c>
      <c r="L49" s="50">
        <v>82</v>
      </c>
      <c r="M49" s="70">
        <v>70</v>
      </c>
      <c r="N49" s="70">
        <v>50</v>
      </c>
      <c r="O49" s="50">
        <v>50</v>
      </c>
      <c r="P49" s="50">
        <v>60</v>
      </c>
      <c r="Q49" s="50">
        <v>60</v>
      </c>
      <c r="R49" s="50">
        <v>120</v>
      </c>
      <c r="S49" s="50">
        <v>100</v>
      </c>
      <c r="T49" s="50">
        <v>100</v>
      </c>
      <c r="U49" s="50">
        <v>115</v>
      </c>
      <c r="V49" s="50">
        <v>110</v>
      </c>
      <c r="W49" s="50">
        <v>70</v>
      </c>
      <c r="X49" s="50">
        <v>50</v>
      </c>
      <c r="Y49" s="50">
        <v>100</v>
      </c>
      <c r="Z49" s="50">
        <v>90</v>
      </c>
      <c r="AA49" s="50">
        <v>120</v>
      </c>
      <c r="AB49" s="50">
        <v>80</v>
      </c>
      <c r="AC49" s="50">
        <v>80</v>
      </c>
      <c r="AD49" s="50">
        <v>80</v>
      </c>
      <c r="AE49" s="50">
        <v>80</v>
      </c>
      <c r="AF49" s="50">
        <v>50</v>
      </c>
      <c r="AG49" s="56">
        <v>456</v>
      </c>
      <c r="AH49" s="52">
        <f t="shared" si="2"/>
        <v>120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9.4</v>
      </c>
      <c r="C51" s="74">
        <v>9.4</v>
      </c>
      <c r="D51" s="74">
        <v>9.4</v>
      </c>
      <c r="E51" s="74">
        <v>9.4</v>
      </c>
      <c r="F51" s="74">
        <v>9.4</v>
      </c>
      <c r="G51" s="74">
        <v>9.4</v>
      </c>
      <c r="H51" s="74">
        <v>9.4</v>
      </c>
      <c r="I51" s="74">
        <v>9.4</v>
      </c>
      <c r="J51" s="74">
        <v>9.4</v>
      </c>
      <c r="K51" s="74">
        <v>9.4</v>
      </c>
      <c r="L51" s="74">
        <v>9.4</v>
      </c>
      <c r="M51" s="74">
        <v>9.4</v>
      </c>
      <c r="N51" s="74">
        <v>9.4</v>
      </c>
      <c r="O51" s="74">
        <v>9.4</v>
      </c>
      <c r="P51" s="74">
        <v>9.4</v>
      </c>
      <c r="Q51" s="74">
        <v>9.4</v>
      </c>
      <c r="R51" s="74">
        <v>9.5</v>
      </c>
      <c r="S51" s="74">
        <v>9.5</v>
      </c>
      <c r="T51" s="74">
        <v>9.5</v>
      </c>
      <c r="U51" s="74">
        <v>10.199999999999999</v>
      </c>
      <c r="V51" s="74">
        <v>10.199999999999999</v>
      </c>
      <c r="W51" s="74">
        <v>10.199999999999999</v>
      </c>
      <c r="X51" s="74">
        <v>10.199999999999999</v>
      </c>
      <c r="Y51" s="74">
        <v>10.199999999999999</v>
      </c>
      <c r="Z51" s="74">
        <v>10.199999999999999</v>
      </c>
      <c r="AA51" s="74">
        <v>10.199999999999999</v>
      </c>
      <c r="AB51" s="74">
        <v>10.199999999999999</v>
      </c>
      <c r="AC51" s="74">
        <v>10.199999999999999</v>
      </c>
      <c r="AD51" s="74">
        <v>10.199999999999999</v>
      </c>
      <c r="AE51" s="74">
        <v>10.199999999999999</v>
      </c>
      <c r="AF51" s="74">
        <v>10.199999999999999</v>
      </c>
      <c r="AG51" s="75">
        <v>22.1</v>
      </c>
      <c r="AH51" s="52">
        <f t="shared" si="2"/>
        <v>10.199999999999999</v>
      </c>
      <c r="AI51" s="53">
        <f t="shared" si="3"/>
        <v>9.4</v>
      </c>
      <c r="AK51" s="54"/>
    </row>
    <row r="52" spans="1:41" ht="15.75" thickBot="1" x14ac:dyDescent="0.3">
      <c r="A52" s="76" t="s">
        <v>56</v>
      </c>
      <c r="B52" s="67">
        <f t="shared" ref="B52:AG52" si="6">SUM(B49:B51)</f>
        <v>74.400000000000006</v>
      </c>
      <c r="C52" s="67">
        <f t="shared" si="6"/>
        <v>34.4</v>
      </c>
      <c r="D52" s="67">
        <f t="shared" si="6"/>
        <v>34.4</v>
      </c>
      <c r="E52" s="67">
        <f t="shared" si="6"/>
        <v>34.4</v>
      </c>
      <c r="F52" s="67">
        <f t="shared" si="6"/>
        <v>34.4</v>
      </c>
      <c r="G52" s="67">
        <f t="shared" si="6"/>
        <v>34.4</v>
      </c>
      <c r="H52" s="67">
        <f t="shared" si="6"/>
        <v>49.4</v>
      </c>
      <c r="I52" s="67">
        <f t="shared" si="6"/>
        <v>74.400000000000006</v>
      </c>
      <c r="J52" s="67">
        <f t="shared" si="6"/>
        <v>122.4</v>
      </c>
      <c r="K52" s="67">
        <f t="shared" si="6"/>
        <v>98.7</v>
      </c>
      <c r="L52" s="67">
        <f t="shared" si="6"/>
        <v>116.4</v>
      </c>
      <c r="M52" s="67">
        <f t="shared" si="6"/>
        <v>104.4</v>
      </c>
      <c r="N52" s="67">
        <f t="shared" si="6"/>
        <v>84.4</v>
      </c>
      <c r="O52" s="67">
        <f t="shared" si="6"/>
        <v>84.4</v>
      </c>
      <c r="P52" s="67">
        <f t="shared" si="6"/>
        <v>94.4</v>
      </c>
      <c r="Q52" s="67">
        <f t="shared" si="6"/>
        <v>94.4</v>
      </c>
      <c r="R52" s="67">
        <f t="shared" si="6"/>
        <v>154.5</v>
      </c>
      <c r="S52" s="67">
        <f t="shared" si="6"/>
        <v>134.5</v>
      </c>
      <c r="T52" s="67">
        <f t="shared" si="6"/>
        <v>134.5</v>
      </c>
      <c r="U52" s="67">
        <f t="shared" si="6"/>
        <v>150.19999999999999</v>
      </c>
      <c r="V52" s="67">
        <f t="shared" si="6"/>
        <v>145.19999999999999</v>
      </c>
      <c r="W52" s="67">
        <f t="shared" si="6"/>
        <v>105.2</v>
      </c>
      <c r="X52" s="67">
        <f t="shared" si="6"/>
        <v>85.2</v>
      </c>
      <c r="Y52" s="67">
        <f t="shared" si="6"/>
        <v>135.19999999999999</v>
      </c>
      <c r="Z52" s="67">
        <f t="shared" si="6"/>
        <v>125.2</v>
      </c>
      <c r="AA52" s="67">
        <f t="shared" si="6"/>
        <v>155.19999999999999</v>
      </c>
      <c r="AB52" s="67">
        <f t="shared" ref="AB52" si="7">SUM(AB49:AB51)</f>
        <v>115.2</v>
      </c>
      <c r="AC52" s="67">
        <f t="shared" si="6"/>
        <v>115.2</v>
      </c>
      <c r="AD52" s="67">
        <f t="shared" si="6"/>
        <v>115.2</v>
      </c>
      <c r="AE52" s="67">
        <f t="shared" si="6"/>
        <v>115.2</v>
      </c>
      <c r="AF52" s="67">
        <f t="shared" si="6"/>
        <v>85.2</v>
      </c>
      <c r="AG52" s="68">
        <f t="shared" si="6"/>
        <v>538.1</v>
      </c>
      <c r="AH52" s="52">
        <f t="shared" si="2"/>
        <v>155.19999999999999</v>
      </c>
      <c r="AI52" s="53">
        <f t="shared" si="3"/>
        <v>34.4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22.5</v>
      </c>
      <c r="I53" s="50">
        <v>45.4</v>
      </c>
      <c r="J53" s="50">
        <v>37</v>
      </c>
      <c r="K53" s="50">
        <v>48.3</v>
      </c>
      <c r="L53" s="50">
        <v>67</v>
      </c>
      <c r="M53" s="50">
        <v>62</v>
      </c>
      <c r="N53" s="50">
        <v>60</v>
      </c>
      <c r="O53" s="50">
        <v>66.7</v>
      </c>
      <c r="P53" s="50">
        <v>75</v>
      </c>
      <c r="Q53" s="50">
        <v>86.1</v>
      </c>
      <c r="R53" s="50">
        <v>86</v>
      </c>
      <c r="S53" s="50">
        <v>95</v>
      </c>
      <c r="T53" s="50">
        <v>108</v>
      </c>
      <c r="U53" s="50">
        <v>108.6</v>
      </c>
      <c r="V53" s="50">
        <v>105</v>
      </c>
      <c r="W53" s="50">
        <v>92.7</v>
      </c>
      <c r="X53" s="50">
        <v>92.7</v>
      </c>
      <c r="Y53" s="50">
        <v>92.4</v>
      </c>
      <c r="Z53" s="50">
        <v>111</v>
      </c>
      <c r="AA53" s="50">
        <v>102</v>
      </c>
      <c r="AB53" s="50">
        <v>60.7</v>
      </c>
      <c r="AC53" s="50">
        <v>60.7</v>
      </c>
      <c r="AD53" s="50">
        <v>60.7</v>
      </c>
      <c r="AE53" s="50">
        <v>60.7</v>
      </c>
      <c r="AF53" s="50">
        <v>30</v>
      </c>
      <c r="AG53" s="56">
        <v>144</v>
      </c>
      <c r="AH53" s="52">
        <f t="shared" si="2"/>
        <v>111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35</v>
      </c>
      <c r="C54" s="72">
        <v>35</v>
      </c>
      <c r="D54" s="72">
        <v>35</v>
      </c>
      <c r="E54" s="72">
        <v>25</v>
      </c>
      <c r="F54" s="72">
        <v>25</v>
      </c>
      <c r="G54" s="72">
        <v>25</v>
      </c>
      <c r="H54" s="72">
        <v>35</v>
      </c>
      <c r="I54" s="72">
        <v>49.2</v>
      </c>
      <c r="J54" s="72">
        <v>34.9</v>
      </c>
      <c r="K54" s="72">
        <v>34.799999999999997</v>
      </c>
      <c r="L54" s="72">
        <v>34.799999999999997</v>
      </c>
      <c r="M54" s="72">
        <v>21.8</v>
      </c>
      <c r="N54" s="72">
        <v>21.7</v>
      </c>
      <c r="O54" s="72">
        <v>21.9</v>
      </c>
      <c r="P54" s="72">
        <v>21.9</v>
      </c>
      <c r="Q54" s="72">
        <v>21.7</v>
      </c>
      <c r="R54" s="50">
        <v>21.9</v>
      </c>
      <c r="S54" s="50">
        <v>35</v>
      </c>
      <c r="T54" s="50">
        <v>35</v>
      </c>
      <c r="U54" s="50">
        <v>33.9</v>
      </c>
      <c r="V54" s="50">
        <v>33.9</v>
      </c>
      <c r="W54" s="50">
        <v>20</v>
      </c>
      <c r="X54" s="50">
        <v>20</v>
      </c>
      <c r="Y54" s="50">
        <v>20</v>
      </c>
      <c r="Z54" s="50">
        <v>25</v>
      </c>
      <c r="AA54" s="50">
        <v>25</v>
      </c>
      <c r="AB54" s="50">
        <v>24.9</v>
      </c>
      <c r="AC54" s="50">
        <v>24.9</v>
      </c>
      <c r="AD54" s="50">
        <v>24.9</v>
      </c>
      <c r="AE54" s="50">
        <v>24.9</v>
      </c>
      <c r="AF54" s="50">
        <v>30</v>
      </c>
      <c r="AG54" s="61">
        <v>70</v>
      </c>
      <c r="AH54" s="52">
        <f t="shared" si="2"/>
        <v>49.2</v>
      </c>
      <c r="AI54" s="53">
        <f t="shared" si="3"/>
        <v>20</v>
      </c>
      <c r="AK54" s="54"/>
    </row>
    <row r="55" spans="1:41" x14ac:dyDescent="0.25">
      <c r="A55" s="60" t="s">
        <v>59</v>
      </c>
      <c r="B55" s="72">
        <v>16.7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23.2</v>
      </c>
      <c r="I55" s="72">
        <v>34.6</v>
      </c>
      <c r="J55" s="72">
        <v>47.3</v>
      </c>
      <c r="K55" s="72">
        <v>47</v>
      </c>
      <c r="L55" s="72">
        <v>47</v>
      </c>
      <c r="M55" s="72">
        <v>32.9</v>
      </c>
      <c r="N55" s="72">
        <v>32.6</v>
      </c>
      <c r="O55" s="72">
        <v>45.5</v>
      </c>
      <c r="P55" s="72">
        <v>45.5</v>
      </c>
      <c r="Q55" s="72">
        <v>46.2</v>
      </c>
      <c r="R55" s="50">
        <v>46.2</v>
      </c>
      <c r="S55" s="50">
        <v>46.2</v>
      </c>
      <c r="T55" s="50">
        <v>34.4</v>
      </c>
      <c r="U55" s="50">
        <v>49.2</v>
      </c>
      <c r="V55" s="50">
        <v>36.700000000000003</v>
      </c>
      <c r="W55" s="50">
        <v>35.5</v>
      </c>
      <c r="X55" s="50">
        <v>35.5</v>
      </c>
      <c r="Y55" s="50">
        <v>47</v>
      </c>
      <c r="Z55" s="50">
        <v>56</v>
      </c>
      <c r="AA55" s="50">
        <v>56</v>
      </c>
      <c r="AB55" s="50">
        <v>55.6</v>
      </c>
      <c r="AC55" s="50">
        <v>55.6</v>
      </c>
      <c r="AD55" s="50">
        <v>55.6</v>
      </c>
      <c r="AE55" s="50">
        <v>45</v>
      </c>
      <c r="AF55" s="50">
        <v>35</v>
      </c>
      <c r="AG55" s="61">
        <v>69</v>
      </c>
      <c r="AH55" s="52">
        <f t="shared" si="2"/>
        <v>56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35</v>
      </c>
      <c r="C56" s="72">
        <v>35</v>
      </c>
      <c r="D56" s="72">
        <v>35</v>
      </c>
      <c r="E56" s="72">
        <v>35</v>
      </c>
      <c r="F56" s="72">
        <v>35</v>
      </c>
      <c r="G56" s="72">
        <v>35</v>
      </c>
      <c r="H56" s="63">
        <v>35.799999999999997</v>
      </c>
      <c r="I56" s="63">
        <v>35.85</v>
      </c>
      <c r="J56" s="63">
        <v>35.799999999999997</v>
      </c>
      <c r="K56" s="63">
        <v>35.799999999999997</v>
      </c>
      <c r="L56" s="63">
        <v>35.799999999999997</v>
      </c>
      <c r="M56" s="72">
        <v>35.799999999999997</v>
      </c>
      <c r="N56" s="72">
        <v>35.799999999999997</v>
      </c>
      <c r="O56" s="72">
        <v>35.799999999999997</v>
      </c>
      <c r="P56" s="72">
        <v>35.799999999999997</v>
      </c>
      <c r="Q56" s="72">
        <v>35.799999999999997</v>
      </c>
      <c r="R56" s="72">
        <v>35.799999999999997</v>
      </c>
      <c r="S56" s="72">
        <v>35.799999999999997</v>
      </c>
      <c r="T56" s="72">
        <v>35.799999999999997</v>
      </c>
      <c r="U56" s="50">
        <v>34</v>
      </c>
      <c r="V56" s="50">
        <v>34</v>
      </c>
      <c r="W56" s="50">
        <v>34</v>
      </c>
      <c r="X56" s="50">
        <v>34</v>
      </c>
      <c r="Y56" s="50">
        <v>34</v>
      </c>
      <c r="Z56" s="50">
        <v>34</v>
      </c>
      <c r="AA56" s="50">
        <v>34</v>
      </c>
      <c r="AB56" s="50">
        <v>35</v>
      </c>
      <c r="AC56" s="50">
        <v>35</v>
      </c>
      <c r="AD56" s="50">
        <v>35</v>
      </c>
      <c r="AE56" s="50">
        <v>35</v>
      </c>
      <c r="AF56" s="50">
        <v>35</v>
      </c>
      <c r="AG56" s="61">
        <v>60</v>
      </c>
      <c r="AH56" s="52">
        <f t="shared" si="2"/>
        <v>35.85</v>
      </c>
      <c r="AI56" s="53">
        <f t="shared" si="3"/>
        <v>34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63">
        <v>10</v>
      </c>
      <c r="I57" s="63">
        <v>15</v>
      </c>
      <c r="J57" s="63">
        <v>10</v>
      </c>
      <c r="K57" s="63">
        <v>10</v>
      </c>
      <c r="L57" s="63">
        <v>10</v>
      </c>
      <c r="M57" s="63">
        <v>9.5</v>
      </c>
      <c r="N57" s="72">
        <v>15</v>
      </c>
      <c r="O57" s="72">
        <v>15</v>
      </c>
      <c r="P57" s="72">
        <v>15</v>
      </c>
      <c r="Q57" s="72">
        <v>15</v>
      </c>
      <c r="R57" s="72">
        <v>15</v>
      </c>
      <c r="S57" s="72">
        <v>15</v>
      </c>
      <c r="T57" s="72">
        <v>15</v>
      </c>
      <c r="U57" s="50">
        <v>15</v>
      </c>
      <c r="V57" s="50">
        <v>10</v>
      </c>
      <c r="W57" s="50">
        <v>10</v>
      </c>
      <c r="X57" s="50">
        <v>10</v>
      </c>
      <c r="Y57" s="50">
        <v>10</v>
      </c>
      <c r="Z57" s="50">
        <v>10</v>
      </c>
      <c r="AA57" s="50">
        <v>10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61">
        <v>30</v>
      </c>
      <c r="AH57" s="52">
        <f t="shared" si="2"/>
        <v>15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4</v>
      </c>
      <c r="N58" s="72">
        <v>6</v>
      </c>
      <c r="O58" s="72">
        <v>8</v>
      </c>
      <c r="P58" s="72">
        <v>8</v>
      </c>
      <c r="Q58" s="72">
        <v>10</v>
      </c>
      <c r="R58" s="72">
        <v>10</v>
      </c>
      <c r="S58" s="72">
        <v>10</v>
      </c>
      <c r="T58" s="72">
        <v>10</v>
      </c>
      <c r="U58" s="72">
        <v>10</v>
      </c>
      <c r="V58" s="72">
        <v>10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10</v>
      </c>
      <c r="C59" s="72">
        <v>10</v>
      </c>
      <c r="D59" s="72">
        <v>10</v>
      </c>
      <c r="E59" s="72">
        <v>10</v>
      </c>
      <c r="F59" s="72">
        <v>10</v>
      </c>
      <c r="G59" s="72">
        <v>10</v>
      </c>
      <c r="H59" s="72">
        <v>10</v>
      </c>
      <c r="I59" s="72">
        <v>10</v>
      </c>
      <c r="J59" s="72">
        <v>10</v>
      </c>
      <c r="K59" s="72">
        <v>15</v>
      </c>
      <c r="L59" s="72">
        <v>17</v>
      </c>
      <c r="M59" s="72">
        <v>12</v>
      </c>
      <c r="N59" s="72">
        <v>14</v>
      </c>
      <c r="O59" s="72">
        <v>14</v>
      </c>
      <c r="P59" s="72">
        <v>14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14</v>
      </c>
      <c r="AA59" s="72">
        <v>14</v>
      </c>
      <c r="AB59" s="72">
        <v>14</v>
      </c>
      <c r="AC59" s="72">
        <v>14</v>
      </c>
      <c r="AD59" s="72">
        <v>14</v>
      </c>
      <c r="AE59" s="72">
        <v>14</v>
      </c>
      <c r="AF59" s="72">
        <v>14</v>
      </c>
      <c r="AG59" s="61">
        <v>24</v>
      </c>
      <c r="AH59" s="52">
        <f t="shared" si="2"/>
        <v>17</v>
      </c>
      <c r="AI59" s="53">
        <f t="shared" si="3"/>
        <v>10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7.6</v>
      </c>
      <c r="C61" s="72">
        <v>7.6</v>
      </c>
      <c r="D61" s="72">
        <v>7.6</v>
      </c>
      <c r="E61" s="72">
        <v>7.6</v>
      </c>
      <c r="F61" s="72">
        <v>7.6</v>
      </c>
      <c r="G61" s="72">
        <v>7.6</v>
      </c>
      <c r="H61" s="72">
        <v>7.6</v>
      </c>
      <c r="I61" s="72">
        <v>7.6</v>
      </c>
      <c r="J61" s="72">
        <v>7.6</v>
      </c>
      <c r="K61" s="72">
        <v>7.6</v>
      </c>
      <c r="L61" s="72">
        <v>7.6</v>
      </c>
      <c r="M61" s="72">
        <v>7.7</v>
      </c>
      <c r="N61" s="72">
        <v>9.8000000000000007</v>
      </c>
      <c r="O61" s="72">
        <v>9.8000000000000007</v>
      </c>
      <c r="P61" s="72">
        <v>9.8000000000000007</v>
      </c>
      <c r="Q61" s="72">
        <v>9.8000000000000007</v>
      </c>
      <c r="R61" s="72">
        <v>9.8000000000000007</v>
      </c>
      <c r="S61" s="72">
        <v>9.8000000000000007</v>
      </c>
      <c r="T61" s="72">
        <v>9.8000000000000007</v>
      </c>
      <c r="U61" s="72">
        <v>9.8000000000000007</v>
      </c>
      <c r="V61" s="72">
        <v>9.8000000000000007</v>
      </c>
      <c r="W61" s="72">
        <v>9.8000000000000007</v>
      </c>
      <c r="X61" s="72">
        <v>9.8000000000000007</v>
      </c>
      <c r="Y61" s="72">
        <v>9.8000000000000007</v>
      </c>
      <c r="Z61" s="72">
        <v>9.8000000000000007</v>
      </c>
      <c r="AA61" s="72">
        <v>9.8000000000000007</v>
      </c>
      <c r="AB61" s="72">
        <v>9.8000000000000007</v>
      </c>
      <c r="AC61" s="72">
        <v>9.8000000000000007</v>
      </c>
      <c r="AD61" s="72">
        <v>9.8000000000000007</v>
      </c>
      <c r="AE61" s="72">
        <v>9.8000000000000007</v>
      </c>
      <c r="AF61" s="72">
        <v>9.8000000000000007</v>
      </c>
      <c r="AG61" s="61">
        <v>14.1</v>
      </c>
      <c r="AH61" s="52">
        <f t="shared" si="2"/>
        <v>9.8000000000000007</v>
      </c>
      <c r="AI61" s="53">
        <f t="shared" si="3"/>
        <v>7.6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3.4</v>
      </c>
      <c r="C62" s="72">
        <v>3.4</v>
      </c>
      <c r="D62" s="72">
        <v>3.4</v>
      </c>
      <c r="E62" s="72">
        <v>3.4</v>
      </c>
      <c r="F62" s="72">
        <v>3.4</v>
      </c>
      <c r="G62" s="72">
        <v>3.4</v>
      </c>
      <c r="H62" s="72">
        <v>3.4</v>
      </c>
      <c r="I62" s="72">
        <v>3.4</v>
      </c>
      <c r="J62" s="72">
        <v>3.4</v>
      </c>
      <c r="K62" s="72">
        <v>3.4</v>
      </c>
      <c r="L62" s="72">
        <v>3.4</v>
      </c>
      <c r="M62" s="72">
        <v>3.1</v>
      </c>
      <c r="N62" s="72">
        <v>3</v>
      </c>
      <c r="O62" s="72">
        <v>3</v>
      </c>
      <c r="P62" s="72">
        <v>3</v>
      </c>
      <c r="Q62" s="72">
        <v>3</v>
      </c>
      <c r="R62" s="72">
        <v>3</v>
      </c>
      <c r="S62" s="72">
        <v>3</v>
      </c>
      <c r="T62" s="72">
        <v>3</v>
      </c>
      <c r="U62" s="72">
        <v>3</v>
      </c>
      <c r="V62" s="72">
        <v>3</v>
      </c>
      <c r="W62" s="72">
        <v>3</v>
      </c>
      <c r="X62" s="72">
        <v>3</v>
      </c>
      <c r="Y62" s="72">
        <v>3</v>
      </c>
      <c r="Z62" s="72">
        <v>3</v>
      </c>
      <c r="AA62" s="72">
        <v>3</v>
      </c>
      <c r="AB62" s="72">
        <v>3</v>
      </c>
      <c r="AC62" s="72">
        <v>3</v>
      </c>
      <c r="AD62" s="72">
        <v>3</v>
      </c>
      <c r="AE62" s="72">
        <v>3</v>
      </c>
      <c r="AF62" s="72">
        <v>3</v>
      </c>
      <c r="AG62" s="61">
        <v>14</v>
      </c>
      <c r="AH62" s="52">
        <f t="shared" si="2"/>
        <v>3.4</v>
      </c>
      <c r="AI62" s="53">
        <f t="shared" si="3"/>
        <v>3</v>
      </c>
      <c r="AK62" s="54"/>
    </row>
    <row r="63" spans="1:41" x14ac:dyDescent="0.25">
      <c r="A63" s="60" t="s">
        <v>67</v>
      </c>
      <c r="B63" s="72">
        <v>2.4</v>
      </c>
      <c r="C63" s="72">
        <v>2.4</v>
      </c>
      <c r="D63" s="72">
        <v>2.4</v>
      </c>
      <c r="E63" s="72">
        <v>2.4</v>
      </c>
      <c r="F63" s="72">
        <v>2.4</v>
      </c>
      <c r="G63" s="72">
        <v>2.4</v>
      </c>
      <c r="H63" s="72">
        <v>2.4</v>
      </c>
      <c r="I63" s="72">
        <v>2.4</v>
      </c>
      <c r="J63" s="72">
        <v>2.4</v>
      </c>
      <c r="K63" s="72">
        <v>2.4</v>
      </c>
      <c r="L63" s="72">
        <v>2.4</v>
      </c>
      <c r="M63" s="72">
        <v>2.4</v>
      </c>
      <c r="N63" s="72">
        <v>2.4</v>
      </c>
      <c r="O63" s="72">
        <v>2.4</v>
      </c>
      <c r="P63" s="72">
        <v>2.4</v>
      </c>
      <c r="Q63" s="72">
        <v>2.4</v>
      </c>
      <c r="R63" s="72">
        <v>2.4</v>
      </c>
      <c r="S63" s="72">
        <v>2.4</v>
      </c>
      <c r="T63" s="72">
        <v>2.4</v>
      </c>
      <c r="U63" s="72">
        <v>2.4</v>
      </c>
      <c r="V63" s="72">
        <v>2.4</v>
      </c>
      <c r="W63" s="72">
        <v>2.4</v>
      </c>
      <c r="X63" s="72">
        <v>2.4</v>
      </c>
      <c r="Y63" s="72">
        <v>2.4</v>
      </c>
      <c r="Z63" s="72">
        <v>2.4</v>
      </c>
      <c r="AA63" s="72">
        <v>2.4</v>
      </c>
      <c r="AB63" s="72">
        <v>2.4</v>
      </c>
      <c r="AC63" s="72">
        <v>2.4</v>
      </c>
      <c r="AD63" s="72">
        <v>2.4</v>
      </c>
      <c r="AE63" s="72">
        <v>2.4</v>
      </c>
      <c r="AF63" s="72">
        <v>2.4</v>
      </c>
      <c r="AG63" s="61">
        <v>10.050000000000001</v>
      </c>
      <c r="AH63" s="52">
        <f t="shared" si="2"/>
        <v>2.4</v>
      </c>
      <c r="AI63" s="53">
        <f t="shared" si="3"/>
        <v>2.4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1.6</v>
      </c>
      <c r="AE64" s="72">
        <v>1.6</v>
      </c>
      <c r="AF64" s="72">
        <v>1.6</v>
      </c>
      <c r="AG64" s="61">
        <v>6.2</v>
      </c>
      <c r="AH64" s="52">
        <f t="shared" si="2"/>
        <v>1.6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8">SUM(B53:B65)</f>
        <v>115.24000000000001</v>
      </c>
      <c r="C66" s="67">
        <f t="shared" si="8"/>
        <v>98.54</v>
      </c>
      <c r="D66" s="67">
        <f t="shared" si="8"/>
        <v>98.54</v>
      </c>
      <c r="E66" s="67">
        <f t="shared" si="8"/>
        <v>88.54</v>
      </c>
      <c r="F66" s="67">
        <f t="shared" si="8"/>
        <v>88.54</v>
      </c>
      <c r="G66" s="67">
        <f t="shared" si="8"/>
        <v>88.54</v>
      </c>
      <c r="H66" s="67">
        <f t="shared" si="8"/>
        <v>155.04</v>
      </c>
      <c r="I66" s="67">
        <f t="shared" si="8"/>
        <v>208.58999999999997</v>
      </c>
      <c r="J66" s="67">
        <f t="shared" si="8"/>
        <v>193.54</v>
      </c>
      <c r="K66" s="67">
        <f t="shared" si="8"/>
        <v>209.43999999999997</v>
      </c>
      <c r="L66" s="67">
        <f t="shared" si="8"/>
        <v>230.14000000000001</v>
      </c>
      <c r="M66" s="67">
        <f t="shared" si="8"/>
        <v>196.33999999999997</v>
      </c>
      <c r="N66" s="67">
        <f t="shared" si="8"/>
        <v>205.44000000000003</v>
      </c>
      <c r="O66" s="67">
        <f t="shared" si="8"/>
        <v>227.23999999999998</v>
      </c>
      <c r="P66" s="67">
        <f t="shared" si="8"/>
        <v>235.54</v>
      </c>
      <c r="Q66" s="67">
        <f t="shared" si="8"/>
        <v>249.14000000000001</v>
      </c>
      <c r="R66" s="67">
        <f t="shared" si="8"/>
        <v>249.24000000000004</v>
      </c>
      <c r="S66" s="67">
        <f t="shared" si="8"/>
        <v>271.34000000000003</v>
      </c>
      <c r="T66" s="67">
        <f t="shared" si="8"/>
        <v>272.54000000000002</v>
      </c>
      <c r="U66" s="67">
        <f t="shared" si="8"/>
        <v>285.04000000000002</v>
      </c>
      <c r="V66" s="67">
        <f t="shared" si="8"/>
        <v>263.94000000000005</v>
      </c>
      <c r="W66" s="67">
        <f t="shared" si="8"/>
        <v>226.54</v>
      </c>
      <c r="X66" s="67">
        <f t="shared" si="8"/>
        <v>226.54</v>
      </c>
      <c r="Y66" s="67">
        <f t="shared" si="8"/>
        <v>237.74</v>
      </c>
      <c r="Z66" s="67">
        <f t="shared" si="8"/>
        <v>270.34000000000003</v>
      </c>
      <c r="AA66" s="67">
        <f t="shared" si="8"/>
        <v>261.34000000000003</v>
      </c>
      <c r="AB66" s="67">
        <f t="shared" ref="AB66" si="9">SUM(AB53:AB65)</f>
        <v>210.54</v>
      </c>
      <c r="AC66" s="67">
        <f t="shared" si="8"/>
        <v>210.54</v>
      </c>
      <c r="AD66" s="67">
        <f t="shared" si="8"/>
        <v>210.54</v>
      </c>
      <c r="AE66" s="67">
        <f t="shared" si="8"/>
        <v>199.94</v>
      </c>
      <c r="AF66" s="67">
        <f t="shared" si="8"/>
        <v>164.34</v>
      </c>
      <c r="AG66" s="68">
        <f t="shared" si="8"/>
        <v>489.91</v>
      </c>
      <c r="AH66" s="52">
        <f t="shared" si="2"/>
        <v>285.04000000000002</v>
      </c>
      <c r="AI66" s="53">
        <f t="shared" si="3"/>
        <v>88.54</v>
      </c>
      <c r="AK66" s="54"/>
    </row>
    <row r="67" spans="1:40" x14ac:dyDescent="0.25">
      <c r="A67" s="49" t="s">
        <v>71</v>
      </c>
      <c r="B67" s="50">
        <v>60</v>
      </c>
      <c r="C67" s="50">
        <v>60</v>
      </c>
      <c r="D67" s="50">
        <v>60</v>
      </c>
      <c r="E67" s="50">
        <v>40</v>
      </c>
      <c r="F67" s="50">
        <v>45</v>
      </c>
      <c r="G67" s="50">
        <v>60</v>
      </c>
      <c r="H67" s="50">
        <v>60</v>
      </c>
      <c r="I67" s="50">
        <v>60</v>
      </c>
      <c r="J67" s="50">
        <v>40</v>
      </c>
      <c r="K67" s="50">
        <v>50</v>
      </c>
      <c r="L67" s="50">
        <v>50</v>
      </c>
      <c r="M67" s="50">
        <v>50.5</v>
      </c>
      <c r="N67" s="50">
        <v>45.1</v>
      </c>
      <c r="O67" s="50">
        <v>45.1</v>
      </c>
      <c r="P67" s="50">
        <v>50</v>
      </c>
      <c r="Q67" s="50">
        <v>59.8</v>
      </c>
      <c r="R67" s="50">
        <v>59.8</v>
      </c>
      <c r="S67" s="50">
        <v>59.8</v>
      </c>
      <c r="T67" s="50">
        <v>59.8</v>
      </c>
      <c r="U67" s="50">
        <v>59.8</v>
      </c>
      <c r="V67" s="50">
        <v>59.8</v>
      </c>
      <c r="W67" s="50">
        <v>59.8</v>
      </c>
      <c r="X67" s="50">
        <v>45</v>
      </c>
      <c r="Y67" s="50">
        <v>60</v>
      </c>
      <c r="Z67" s="50">
        <v>60</v>
      </c>
      <c r="AA67" s="50">
        <v>45</v>
      </c>
      <c r="AB67" s="50">
        <v>40</v>
      </c>
      <c r="AC67" s="50">
        <v>40</v>
      </c>
      <c r="AD67" s="50">
        <v>35</v>
      </c>
      <c r="AE67" s="50">
        <v>40</v>
      </c>
      <c r="AF67" s="50">
        <v>55</v>
      </c>
      <c r="AG67" s="56">
        <v>60</v>
      </c>
      <c r="AH67" s="52">
        <f t="shared" si="2"/>
        <v>60</v>
      </c>
      <c r="AI67" s="53">
        <f t="shared" si="3"/>
        <v>35</v>
      </c>
      <c r="AK67" s="54"/>
    </row>
    <row r="68" spans="1:40" x14ac:dyDescent="0.25">
      <c r="A68" s="60" t="s">
        <v>72</v>
      </c>
      <c r="B68" s="72">
        <v>28</v>
      </c>
      <c r="C68" s="72">
        <v>28</v>
      </c>
      <c r="D68" s="72">
        <v>28</v>
      </c>
      <c r="E68" s="72">
        <v>15.4</v>
      </c>
      <c r="F68" s="72">
        <v>21.9</v>
      </c>
      <c r="G68" s="72">
        <v>26.6</v>
      </c>
      <c r="H68" s="72">
        <v>26.6</v>
      </c>
      <c r="I68" s="72">
        <v>26.6</v>
      </c>
      <c r="J68" s="72">
        <v>24</v>
      </c>
      <c r="K68" s="72">
        <v>22</v>
      </c>
      <c r="L68" s="72">
        <v>22.3</v>
      </c>
      <c r="M68" s="72">
        <v>21.5</v>
      </c>
      <c r="N68" s="72">
        <v>18.8</v>
      </c>
      <c r="O68" s="72">
        <v>18.8</v>
      </c>
      <c r="P68" s="72">
        <v>22</v>
      </c>
      <c r="Q68" s="72">
        <v>29.4</v>
      </c>
      <c r="R68" s="50">
        <v>28.1</v>
      </c>
      <c r="S68" s="50">
        <v>28.1</v>
      </c>
      <c r="T68" s="50">
        <v>28.1</v>
      </c>
      <c r="U68" s="50">
        <v>28.1</v>
      </c>
      <c r="V68" s="50">
        <v>28.1</v>
      </c>
      <c r="W68" s="50">
        <v>28.1</v>
      </c>
      <c r="X68" s="50">
        <v>19.100000000000001</v>
      </c>
      <c r="Y68" s="50">
        <v>27.4</v>
      </c>
      <c r="Z68" s="50">
        <v>27.4</v>
      </c>
      <c r="AA68" s="50">
        <v>16.100000000000001</v>
      </c>
      <c r="AB68" s="50">
        <v>15.5</v>
      </c>
      <c r="AC68" s="50">
        <v>15.5</v>
      </c>
      <c r="AD68" s="50">
        <v>14</v>
      </c>
      <c r="AE68" s="72">
        <v>18</v>
      </c>
      <c r="AF68" s="50">
        <v>24</v>
      </c>
      <c r="AG68" s="61">
        <v>32</v>
      </c>
      <c r="AH68" s="52">
        <f t="shared" si="2"/>
        <v>29.4</v>
      </c>
      <c r="AI68" s="53">
        <f t="shared" si="3"/>
        <v>14</v>
      </c>
      <c r="AK68" s="54"/>
    </row>
    <row r="69" spans="1:40" ht="15.75" thickBot="1" x14ac:dyDescent="0.3">
      <c r="A69" s="78" t="s">
        <v>73</v>
      </c>
      <c r="B69" s="74">
        <v>10.199999999999999</v>
      </c>
      <c r="C69" s="74">
        <v>10.199999999999999</v>
      </c>
      <c r="D69" s="74">
        <v>10.199999999999999</v>
      </c>
      <c r="E69" s="74">
        <v>5.6</v>
      </c>
      <c r="F69" s="74">
        <v>8</v>
      </c>
      <c r="G69" s="74">
        <v>9.6999999999999993</v>
      </c>
      <c r="H69" s="74">
        <v>9.6999999999999993</v>
      </c>
      <c r="I69" s="74">
        <v>9.6999999999999993</v>
      </c>
      <c r="J69" s="74">
        <v>8.9</v>
      </c>
      <c r="K69" s="74">
        <v>8</v>
      </c>
      <c r="L69" s="74">
        <v>8</v>
      </c>
      <c r="M69" s="74">
        <v>7.9</v>
      </c>
      <c r="N69" s="74">
        <v>6.9</v>
      </c>
      <c r="O69" s="74">
        <v>6.9</v>
      </c>
      <c r="P69" s="74">
        <v>8</v>
      </c>
      <c r="Q69" s="74">
        <v>10.7</v>
      </c>
      <c r="R69" s="50">
        <v>10.3</v>
      </c>
      <c r="S69" s="50">
        <v>10.3</v>
      </c>
      <c r="T69" s="50">
        <v>10.3</v>
      </c>
      <c r="U69" s="50">
        <v>10.3</v>
      </c>
      <c r="V69" s="50">
        <v>10.3</v>
      </c>
      <c r="W69" s="50">
        <v>10.3</v>
      </c>
      <c r="X69" s="50">
        <v>7</v>
      </c>
      <c r="Y69" s="50">
        <v>10</v>
      </c>
      <c r="Z69" s="50">
        <v>10</v>
      </c>
      <c r="AA69" s="50">
        <v>5.9</v>
      </c>
      <c r="AB69" s="50">
        <v>5.7</v>
      </c>
      <c r="AC69" s="50">
        <v>5.7</v>
      </c>
      <c r="AD69" s="50">
        <v>5</v>
      </c>
      <c r="AE69" s="74">
        <v>7</v>
      </c>
      <c r="AF69" s="50">
        <v>9</v>
      </c>
      <c r="AG69" s="75">
        <v>14</v>
      </c>
      <c r="AH69" s="52">
        <f t="shared" si="2"/>
        <v>10.7</v>
      </c>
      <c r="AI69" s="53">
        <f t="shared" si="3"/>
        <v>5</v>
      </c>
      <c r="AK69" s="54"/>
    </row>
    <row r="70" spans="1:40" ht="15.75" thickBot="1" x14ac:dyDescent="0.3">
      <c r="A70" s="81" t="s">
        <v>74</v>
      </c>
      <c r="B70" s="67">
        <f t="shared" ref="B70" si="10">B67+B68+B69</f>
        <v>98.2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80.3</v>
      </c>
      <c r="M70" s="67">
        <f t="shared" ref="M70:AF70" si="11">M67+M68+M69</f>
        <v>79.900000000000006</v>
      </c>
      <c r="N70" s="67">
        <f t="shared" si="11"/>
        <v>70.800000000000011</v>
      </c>
      <c r="O70" s="67">
        <f t="shared" si="11"/>
        <v>70.800000000000011</v>
      </c>
      <c r="P70" s="67">
        <f t="shared" si="11"/>
        <v>80</v>
      </c>
      <c r="Q70" s="67">
        <f t="shared" si="11"/>
        <v>99.899999999999991</v>
      </c>
      <c r="R70" s="67">
        <f t="shared" si="11"/>
        <v>98.2</v>
      </c>
      <c r="S70" s="67">
        <f t="shared" si="11"/>
        <v>98.2</v>
      </c>
      <c r="T70" s="67">
        <f t="shared" si="11"/>
        <v>98.2</v>
      </c>
      <c r="U70" s="67">
        <f t="shared" si="11"/>
        <v>98.2</v>
      </c>
      <c r="V70" s="67">
        <f t="shared" si="11"/>
        <v>98.2</v>
      </c>
      <c r="W70" s="67">
        <f t="shared" si="11"/>
        <v>98.2</v>
      </c>
      <c r="X70" s="67">
        <f t="shared" si="11"/>
        <v>71.099999999999994</v>
      </c>
      <c r="Y70" s="67">
        <f t="shared" si="11"/>
        <v>97.4</v>
      </c>
      <c r="Z70" s="67">
        <f t="shared" si="11"/>
        <v>97.4</v>
      </c>
      <c r="AA70" s="67">
        <f t="shared" si="11"/>
        <v>67</v>
      </c>
      <c r="AB70" s="67">
        <f t="shared" ref="AB70" si="12">AB67+AB68+AB69</f>
        <v>61.2</v>
      </c>
      <c r="AC70" s="67">
        <f t="shared" si="11"/>
        <v>61.2</v>
      </c>
      <c r="AD70" s="67">
        <f t="shared" si="11"/>
        <v>54</v>
      </c>
      <c r="AE70" s="67">
        <f t="shared" si="11"/>
        <v>65</v>
      </c>
      <c r="AF70" s="67">
        <f t="shared" si="11"/>
        <v>88</v>
      </c>
      <c r="AG70" s="68">
        <f>SUM(AG67:AG69)</f>
        <v>106</v>
      </c>
      <c r="AH70" s="52">
        <f t="shared" si="2"/>
        <v>99.899999999999991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66.5</v>
      </c>
      <c r="C71" s="50">
        <v>68</v>
      </c>
      <c r="D71" s="50">
        <v>66.5</v>
      </c>
      <c r="E71" s="50">
        <v>65.3</v>
      </c>
      <c r="F71" s="50">
        <v>71</v>
      </c>
      <c r="G71" s="50">
        <v>74</v>
      </c>
      <c r="H71" s="50">
        <v>67</v>
      </c>
      <c r="I71" s="50">
        <v>73.900000000000006</v>
      </c>
      <c r="J71" s="50">
        <v>62</v>
      </c>
      <c r="K71" s="50">
        <v>64</v>
      </c>
      <c r="L71" s="50">
        <v>67</v>
      </c>
      <c r="M71" s="50">
        <v>72</v>
      </c>
      <c r="N71" s="50">
        <v>68.400000000000006</v>
      </c>
      <c r="O71" s="50">
        <v>63.8</v>
      </c>
      <c r="P71" s="50">
        <v>72</v>
      </c>
      <c r="Q71" s="50">
        <v>67.599999999999994</v>
      </c>
      <c r="R71" s="50">
        <v>69.599999999999994</v>
      </c>
      <c r="S71" s="50">
        <v>75.599999999999994</v>
      </c>
      <c r="T71" s="50">
        <v>75.599999999999994</v>
      </c>
      <c r="U71" s="50">
        <v>75</v>
      </c>
      <c r="V71" s="50">
        <v>67</v>
      </c>
      <c r="W71" s="50">
        <v>61.5</v>
      </c>
      <c r="X71" s="50">
        <v>62</v>
      </c>
      <c r="Y71" s="50">
        <v>62</v>
      </c>
      <c r="Z71" s="50">
        <v>66.7</v>
      </c>
      <c r="AA71" s="50">
        <v>65.099999999999994</v>
      </c>
      <c r="AB71" s="50">
        <v>64.3</v>
      </c>
      <c r="AC71" s="50">
        <v>62</v>
      </c>
      <c r="AD71" s="50">
        <v>62</v>
      </c>
      <c r="AE71" s="50">
        <v>58</v>
      </c>
      <c r="AF71" s="50">
        <v>70</v>
      </c>
      <c r="AG71" s="56"/>
      <c r="AH71" s="52">
        <f t="shared" si="2"/>
        <v>75.599999999999994</v>
      </c>
      <c r="AI71" s="53">
        <f t="shared" si="3"/>
        <v>58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343</v>
      </c>
      <c r="C73" s="72">
        <v>391</v>
      </c>
      <c r="D73" s="72">
        <v>377</v>
      </c>
      <c r="E73" s="72">
        <v>410</v>
      </c>
      <c r="F73" s="72">
        <v>382</v>
      </c>
      <c r="G73" s="72">
        <v>391.5</v>
      </c>
      <c r="H73" s="72">
        <v>381</v>
      </c>
      <c r="I73" s="72">
        <v>345</v>
      </c>
      <c r="J73" s="72">
        <v>335</v>
      </c>
      <c r="K73" s="72">
        <v>345</v>
      </c>
      <c r="L73" s="72">
        <v>343.7</v>
      </c>
      <c r="M73" s="72">
        <v>345</v>
      </c>
      <c r="N73" s="72">
        <v>333.1</v>
      </c>
      <c r="O73" s="72">
        <v>304.8</v>
      </c>
      <c r="P73" s="72">
        <v>333</v>
      </c>
      <c r="Q73" s="72">
        <v>353.2</v>
      </c>
      <c r="R73" s="72">
        <v>344</v>
      </c>
      <c r="S73" s="72">
        <v>379</v>
      </c>
      <c r="T73" s="72">
        <v>361</v>
      </c>
      <c r="U73" s="72">
        <v>373</v>
      </c>
      <c r="V73" s="72">
        <v>341</v>
      </c>
      <c r="W73" s="72">
        <v>332</v>
      </c>
      <c r="X73" s="72">
        <v>382</v>
      </c>
      <c r="Y73" s="72">
        <v>341</v>
      </c>
      <c r="Z73" s="72">
        <v>341</v>
      </c>
      <c r="AA73" s="72">
        <v>332</v>
      </c>
      <c r="AB73" s="72">
        <v>332.8</v>
      </c>
      <c r="AC73" s="72">
        <v>329</v>
      </c>
      <c r="AD73" s="72">
        <v>324</v>
      </c>
      <c r="AE73" s="72">
        <v>308</v>
      </c>
      <c r="AF73" s="72">
        <v>325</v>
      </c>
      <c r="AG73" s="82"/>
      <c r="AH73" s="52">
        <f t="shared" si="2"/>
        <v>410</v>
      </c>
      <c r="AI73" s="53">
        <f t="shared" si="3"/>
        <v>304.8</v>
      </c>
      <c r="AK73" s="54"/>
    </row>
    <row r="74" spans="1:40" x14ac:dyDescent="0.25">
      <c r="A74" s="60" t="s">
        <v>78</v>
      </c>
      <c r="B74" s="72">
        <v>59</v>
      </c>
      <c r="C74" s="72">
        <v>59</v>
      </c>
      <c r="D74" s="72">
        <v>59</v>
      </c>
      <c r="E74" s="83">
        <v>53.8</v>
      </c>
      <c r="F74" s="83">
        <v>53</v>
      </c>
      <c r="G74" s="83">
        <v>52.4</v>
      </c>
      <c r="H74" s="83">
        <v>54.6</v>
      </c>
      <c r="I74" s="83">
        <v>55.6</v>
      </c>
      <c r="J74" s="83">
        <v>57.7</v>
      </c>
      <c r="K74" s="83">
        <v>60.7</v>
      </c>
      <c r="L74" s="83">
        <v>61.8</v>
      </c>
      <c r="M74" s="83">
        <v>58.8</v>
      </c>
      <c r="N74" s="83">
        <v>64.5</v>
      </c>
      <c r="O74" s="83">
        <v>64.400000000000006</v>
      </c>
      <c r="P74" s="83">
        <v>64.400000000000006</v>
      </c>
      <c r="Q74" s="83">
        <v>61</v>
      </c>
      <c r="R74" s="83">
        <v>0</v>
      </c>
      <c r="S74" s="83">
        <v>61.4</v>
      </c>
      <c r="T74" s="83">
        <v>61.4</v>
      </c>
      <c r="U74" s="83">
        <v>63</v>
      </c>
      <c r="V74" s="83">
        <v>61</v>
      </c>
      <c r="W74" s="83">
        <v>61</v>
      </c>
      <c r="X74" s="83">
        <v>61</v>
      </c>
      <c r="Y74" s="83">
        <v>62.7</v>
      </c>
      <c r="Z74" s="83">
        <v>62.7</v>
      </c>
      <c r="AA74" s="83">
        <v>62.7</v>
      </c>
      <c r="AB74" s="83">
        <v>67.7</v>
      </c>
      <c r="AC74" s="83">
        <v>67.7</v>
      </c>
      <c r="AD74" s="72">
        <v>65</v>
      </c>
      <c r="AE74" s="72">
        <v>60</v>
      </c>
      <c r="AF74" s="72">
        <v>60</v>
      </c>
      <c r="AG74" s="82"/>
      <c r="AH74" s="52">
        <f t="shared" si="2"/>
        <v>67.7</v>
      </c>
      <c r="AI74" s="53">
        <f t="shared" si="3"/>
        <v>0</v>
      </c>
      <c r="AK74" s="54"/>
    </row>
    <row r="75" spans="1:40" x14ac:dyDescent="0.25">
      <c r="A75" s="60" t="s">
        <v>79</v>
      </c>
      <c r="B75" s="50">
        <v>29</v>
      </c>
      <c r="C75" s="50">
        <v>29</v>
      </c>
      <c r="D75" s="50">
        <v>28.4</v>
      </c>
      <c r="E75" s="50">
        <v>29</v>
      </c>
      <c r="F75" s="50">
        <v>28.5</v>
      </c>
      <c r="G75" s="50">
        <v>27.7</v>
      </c>
      <c r="H75" s="50">
        <v>27</v>
      </c>
      <c r="I75" s="50">
        <v>26.3</v>
      </c>
      <c r="J75" s="50">
        <v>26.5</v>
      </c>
      <c r="K75" s="50">
        <v>26.9</v>
      </c>
      <c r="L75" s="50">
        <v>29.7</v>
      </c>
      <c r="M75" s="50">
        <v>29.1</v>
      </c>
      <c r="N75" s="50">
        <v>34.1</v>
      </c>
      <c r="O75" s="50">
        <v>36.799999999999997</v>
      </c>
      <c r="P75" s="50">
        <v>36</v>
      </c>
      <c r="Q75" s="50">
        <v>36.5</v>
      </c>
      <c r="R75" s="50">
        <v>36.9</v>
      </c>
      <c r="S75" s="50">
        <v>30.2</v>
      </c>
      <c r="T75" s="50">
        <v>30.2</v>
      </c>
      <c r="U75" s="50">
        <v>26.5</v>
      </c>
      <c r="V75" s="50">
        <v>28</v>
      </c>
      <c r="W75" s="50">
        <v>28</v>
      </c>
      <c r="X75" s="50">
        <v>27</v>
      </c>
      <c r="Y75" s="50">
        <v>26.1</v>
      </c>
      <c r="Z75" s="50">
        <v>68</v>
      </c>
      <c r="AA75" s="50">
        <v>63.6</v>
      </c>
      <c r="AB75" s="50">
        <v>59</v>
      </c>
      <c r="AC75" s="50">
        <v>65</v>
      </c>
      <c r="AD75" s="50">
        <v>82</v>
      </c>
      <c r="AE75" s="50">
        <v>26</v>
      </c>
      <c r="AF75" s="50">
        <v>28</v>
      </c>
      <c r="AG75" s="82"/>
      <c r="AH75" s="52">
        <f t="shared" ref="AH75:AH117" si="13">MAX(B75:AF75)</f>
        <v>82</v>
      </c>
      <c r="AI75" s="53">
        <f t="shared" ref="AI75:AI117" si="14">MIN(B75:AF75)</f>
        <v>26</v>
      </c>
      <c r="AK75" s="54"/>
    </row>
    <row r="76" spans="1:40" x14ac:dyDescent="0.25">
      <c r="A76" s="60" t="s">
        <v>80</v>
      </c>
      <c r="B76" s="84">
        <v>6</v>
      </c>
      <c r="C76" s="84">
        <v>6</v>
      </c>
      <c r="D76" s="84">
        <v>6</v>
      </c>
      <c r="E76" s="84">
        <v>6</v>
      </c>
      <c r="F76" s="84">
        <v>6</v>
      </c>
      <c r="G76" s="84">
        <v>6</v>
      </c>
      <c r="H76" s="84">
        <v>6</v>
      </c>
      <c r="I76" s="84">
        <v>6</v>
      </c>
      <c r="J76" s="84">
        <v>6</v>
      </c>
      <c r="K76" s="84">
        <v>6</v>
      </c>
      <c r="L76" s="84">
        <v>6</v>
      </c>
      <c r="M76" s="84">
        <v>6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3"/>
        <v>6</v>
      </c>
      <c r="AI76" s="53">
        <f t="shared" si="14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3"/>
        <v>0</v>
      </c>
      <c r="AI77" s="53">
        <f t="shared" si="14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3"/>
        <v>0</v>
      </c>
      <c r="AI78" s="53">
        <f t="shared" si="14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3"/>
        <v>0</v>
      </c>
      <c r="AI79" s="53">
        <f t="shared" si="14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3"/>
        <v>0</v>
      </c>
      <c r="AI80" s="53">
        <f t="shared" si="14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3"/>
        <v>0</v>
      </c>
      <c r="AI81" s="53">
        <f t="shared" si="14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5">SUMIF(B71:B81,"&gt;0")</f>
        <v>503.5</v>
      </c>
      <c r="C82" s="67">
        <f t="shared" si="15"/>
        <v>553</v>
      </c>
      <c r="D82" s="67">
        <f t="shared" si="15"/>
        <v>536.9</v>
      </c>
      <c r="E82" s="67">
        <f t="shared" si="15"/>
        <v>564.1</v>
      </c>
      <c r="F82" s="67">
        <f t="shared" si="15"/>
        <v>540.5</v>
      </c>
      <c r="G82" s="67">
        <f t="shared" si="15"/>
        <v>551.6</v>
      </c>
      <c r="H82" s="67">
        <f t="shared" si="15"/>
        <v>535.6</v>
      </c>
      <c r="I82" s="67">
        <f t="shared" si="15"/>
        <v>506.8</v>
      </c>
      <c r="J82" s="67">
        <f t="shared" si="15"/>
        <v>487.2</v>
      </c>
      <c r="K82" s="67">
        <f t="shared" si="15"/>
        <v>502.59999999999997</v>
      </c>
      <c r="L82" s="67">
        <f t="shared" si="15"/>
        <v>508.2</v>
      </c>
      <c r="M82" s="67">
        <f t="shared" si="15"/>
        <v>510.90000000000003</v>
      </c>
      <c r="N82" s="67">
        <f t="shared" si="15"/>
        <v>500.1</v>
      </c>
      <c r="O82" s="67">
        <f t="shared" si="15"/>
        <v>469.8</v>
      </c>
      <c r="P82" s="67">
        <f t="shared" si="15"/>
        <v>505.4</v>
      </c>
      <c r="Q82" s="67">
        <f t="shared" si="15"/>
        <v>518.29999999999995</v>
      </c>
      <c r="R82" s="67">
        <f t="shared" si="15"/>
        <v>450.5</v>
      </c>
      <c r="S82" s="67">
        <f t="shared" si="15"/>
        <v>546.20000000000005</v>
      </c>
      <c r="T82" s="67">
        <f t="shared" si="15"/>
        <v>528.20000000000005</v>
      </c>
      <c r="U82" s="67">
        <f t="shared" si="15"/>
        <v>537.5</v>
      </c>
      <c r="V82" s="67">
        <f t="shared" si="15"/>
        <v>497</v>
      </c>
      <c r="W82" s="67">
        <f t="shared" si="15"/>
        <v>482.5</v>
      </c>
      <c r="X82" s="67">
        <f t="shared" si="15"/>
        <v>532</v>
      </c>
      <c r="Y82" s="67">
        <f t="shared" si="15"/>
        <v>491.8</v>
      </c>
      <c r="Z82" s="67">
        <f t="shared" si="15"/>
        <v>538.4</v>
      </c>
      <c r="AA82" s="67">
        <f t="shared" si="15"/>
        <v>523.4</v>
      </c>
      <c r="AB82" s="67">
        <f t="shared" ref="AB82" si="16">SUMIF(AB71:AB81,"&gt;0")</f>
        <v>523.79999999999995</v>
      </c>
      <c r="AC82" s="67">
        <f t="shared" si="15"/>
        <v>523.70000000000005</v>
      </c>
      <c r="AD82" s="67">
        <f t="shared" si="15"/>
        <v>533</v>
      </c>
      <c r="AE82" s="67">
        <f t="shared" si="15"/>
        <v>452</v>
      </c>
      <c r="AF82" s="67">
        <f t="shared" si="15"/>
        <v>483</v>
      </c>
      <c r="AG82" s="95">
        <f>SUM(AG71:AG81)</f>
        <v>0</v>
      </c>
      <c r="AH82" s="52">
        <f t="shared" si="13"/>
        <v>564.1</v>
      </c>
      <c r="AI82" s="53">
        <f t="shared" si="14"/>
        <v>450.5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3"/>
        <v>0</v>
      </c>
      <c r="AI83" s="53">
        <f t="shared" si="14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3"/>
        <v>0</v>
      </c>
      <c r="AI84" s="53">
        <f t="shared" si="14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3"/>
        <v>0</v>
      </c>
      <c r="AI85" s="53">
        <f t="shared" si="14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3"/>
        <v>0</v>
      </c>
      <c r="AI86" s="53">
        <f t="shared" si="14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7">B48+B52+B70+B66+B82+B86</f>
        <v>1138.2400000000002</v>
      </c>
      <c r="C87" s="102">
        <f t="shared" si="17"/>
        <v>1032.8400000000001</v>
      </c>
      <c r="D87" s="102">
        <f t="shared" si="17"/>
        <v>1016.74</v>
      </c>
      <c r="E87" s="102">
        <f t="shared" si="17"/>
        <v>1033.94</v>
      </c>
      <c r="F87" s="102">
        <f t="shared" si="17"/>
        <v>1010.34</v>
      </c>
      <c r="G87" s="102">
        <f t="shared" si="17"/>
        <v>1021.44</v>
      </c>
      <c r="H87" s="102">
        <f t="shared" si="17"/>
        <v>1086.94</v>
      </c>
      <c r="I87" s="102">
        <f t="shared" si="17"/>
        <v>1136.69</v>
      </c>
      <c r="J87" s="102">
        <f t="shared" si="17"/>
        <v>1150.04</v>
      </c>
      <c r="K87" s="102">
        <f t="shared" si="17"/>
        <v>1157.6399999999999</v>
      </c>
      <c r="L87" s="102">
        <f t="shared" si="17"/>
        <v>1281.94</v>
      </c>
      <c r="M87" s="102">
        <f t="shared" si="17"/>
        <v>1239.44</v>
      </c>
      <c r="N87" s="102">
        <f t="shared" si="17"/>
        <v>1208.6400000000001</v>
      </c>
      <c r="O87" s="102">
        <f t="shared" si="17"/>
        <v>1200.1400000000001</v>
      </c>
      <c r="P87" s="102">
        <f t="shared" si="17"/>
        <v>1263.24</v>
      </c>
      <c r="Q87" s="102">
        <f t="shared" si="17"/>
        <v>1309.6399999999999</v>
      </c>
      <c r="R87" s="102">
        <f t="shared" si="17"/>
        <v>1296.3400000000001</v>
      </c>
      <c r="S87" s="102">
        <f t="shared" si="17"/>
        <v>1394.14</v>
      </c>
      <c r="T87" s="102">
        <f t="shared" si="17"/>
        <v>1377.3400000000001</v>
      </c>
      <c r="U87" s="102">
        <f t="shared" si="17"/>
        <v>1414.8400000000001</v>
      </c>
      <c r="V87" s="102">
        <f t="shared" si="17"/>
        <v>1348.2400000000002</v>
      </c>
      <c r="W87" s="102">
        <f t="shared" si="17"/>
        <v>1255.3400000000001</v>
      </c>
      <c r="X87" s="102">
        <f t="shared" si="17"/>
        <v>1261.74</v>
      </c>
      <c r="Y87" s="102">
        <f t="shared" si="17"/>
        <v>1309.04</v>
      </c>
      <c r="Z87" s="102">
        <f t="shared" si="17"/>
        <v>1378.24</v>
      </c>
      <c r="AA87" s="102">
        <f t="shared" si="17"/>
        <v>1353.8400000000001</v>
      </c>
      <c r="AB87" s="102">
        <f t="shared" ref="AB87" si="18">AB48+AB52+AB70+AB66+AB82+AB86</f>
        <v>1257.6399999999999</v>
      </c>
      <c r="AC87" s="102">
        <f t="shared" si="17"/>
        <v>1257.54</v>
      </c>
      <c r="AD87" s="102">
        <f t="shared" si="17"/>
        <v>1259.6399999999999</v>
      </c>
      <c r="AE87" s="102">
        <f t="shared" si="17"/>
        <v>1179.04</v>
      </c>
      <c r="AF87" s="102">
        <f t="shared" si="17"/>
        <v>1167.44</v>
      </c>
      <c r="AG87" s="68">
        <f t="shared" si="17"/>
        <v>2065.09</v>
      </c>
      <c r="AH87" s="52">
        <f>MAX(B87:AF87)</f>
        <v>1414.8400000000001</v>
      </c>
      <c r="AI87" s="53">
        <f>MIN(B87:AF87)</f>
        <v>1010.34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>
        <v>150</v>
      </c>
      <c r="K88" s="104">
        <v>150</v>
      </c>
      <c r="L88" s="104">
        <v>150</v>
      </c>
      <c r="M88" s="104">
        <v>150</v>
      </c>
      <c r="N88" s="104">
        <v>150</v>
      </c>
      <c r="O88" s="104">
        <v>120</v>
      </c>
      <c r="P88" s="104"/>
      <c r="Q88" s="104"/>
      <c r="R88" s="104"/>
      <c r="S88" s="104"/>
      <c r="T88" s="104"/>
      <c r="U88" s="104"/>
      <c r="V88" s="104"/>
      <c r="W88" s="104">
        <v>200</v>
      </c>
      <c r="X88" s="104">
        <v>200</v>
      </c>
      <c r="Y88" s="104">
        <v>200</v>
      </c>
      <c r="Z88" s="104">
        <v>200</v>
      </c>
      <c r="AA88" s="104">
        <v>200</v>
      </c>
      <c r="AB88" s="104">
        <v>201</v>
      </c>
      <c r="AC88" s="104">
        <v>120</v>
      </c>
      <c r="AD88" s="104">
        <v>70</v>
      </c>
      <c r="AE88" s="104">
        <v>0</v>
      </c>
      <c r="AF88" s="104"/>
      <c r="AG88" s="95"/>
      <c r="AH88" s="52">
        <f t="shared" si="13"/>
        <v>201</v>
      </c>
      <c r="AI88" s="53">
        <f t="shared" si="14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9">B87+B88</f>
        <v>1138.2400000000002</v>
      </c>
      <c r="C89" s="102">
        <f t="shared" si="19"/>
        <v>1032.8400000000001</v>
      </c>
      <c r="D89" s="102">
        <f t="shared" si="19"/>
        <v>1016.74</v>
      </c>
      <c r="E89" s="102">
        <f t="shared" si="19"/>
        <v>1033.94</v>
      </c>
      <c r="F89" s="102">
        <f t="shared" si="19"/>
        <v>1010.34</v>
      </c>
      <c r="G89" s="102">
        <f t="shared" si="19"/>
        <v>1021.44</v>
      </c>
      <c r="H89" s="102">
        <f t="shared" si="19"/>
        <v>1086.94</v>
      </c>
      <c r="I89" s="102">
        <f t="shared" si="19"/>
        <v>1136.69</v>
      </c>
      <c r="J89" s="102">
        <f t="shared" si="19"/>
        <v>1300.04</v>
      </c>
      <c r="K89" s="102">
        <f t="shared" si="19"/>
        <v>1307.6399999999999</v>
      </c>
      <c r="L89" s="102">
        <f t="shared" si="19"/>
        <v>1431.94</v>
      </c>
      <c r="M89" s="102">
        <f t="shared" si="19"/>
        <v>1389.44</v>
      </c>
      <c r="N89" s="102">
        <f t="shared" si="19"/>
        <v>1358.64</v>
      </c>
      <c r="O89" s="102">
        <f t="shared" si="19"/>
        <v>1320.14</v>
      </c>
      <c r="P89" s="102">
        <f t="shared" si="19"/>
        <v>1263.24</v>
      </c>
      <c r="Q89" s="102">
        <f t="shared" si="19"/>
        <v>1309.6399999999999</v>
      </c>
      <c r="R89" s="102">
        <f t="shared" si="19"/>
        <v>1296.3400000000001</v>
      </c>
      <c r="S89" s="102">
        <f t="shared" si="19"/>
        <v>1394.14</v>
      </c>
      <c r="T89" s="102">
        <f t="shared" si="19"/>
        <v>1377.3400000000001</v>
      </c>
      <c r="U89" s="102">
        <f t="shared" si="19"/>
        <v>1414.8400000000001</v>
      </c>
      <c r="V89" s="102">
        <f t="shared" si="19"/>
        <v>1348.2400000000002</v>
      </c>
      <c r="W89" s="102">
        <f t="shared" si="19"/>
        <v>1455.3400000000001</v>
      </c>
      <c r="X89" s="102">
        <f t="shared" si="19"/>
        <v>1461.74</v>
      </c>
      <c r="Y89" s="102">
        <f t="shared" si="19"/>
        <v>1509.04</v>
      </c>
      <c r="Z89" s="102">
        <f t="shared" si="19"/>
        <v>1578.24</v>
      </c>
      <c r="AA89" s="102">
        <f t="shared" si="19"/>
        <v>1553.8400000000001</v>
      </c>
      <c r="AB89" s="102">
        <f t="shared" ref="AB89" si="20">AB87+AB88</f>
        <v>1458.6399999999999</v>
      </c>
      <c r="AC89" s="102">
        <f t="shared" si="19"/>
        <v>1377.54</v>
      </c>
      <c r="AD89" s="102">
        <f t="shared" si="19"/>
        <v>1329.6399999999999</v>
      </c>
      <c r="AE89" s="102">
        <f t="shared" si="19"/>
        <v>1179.04</v>
      </c>
      <c r="AF89" s="102">
        <f t="shared" si="19"/>
        <v>1167.44</v>
      </c>
      <c r="AG89" s="95">
        <f>AG86+AG82+AG70+AG66+AG48+AG88</f>
        <v>1526.99</v>
      </c>
      <c r="AH89" s="52">
        <f t="shared" si="13"/>
        <v>1578.24</v>
      </c>
      <c r="AI89" s="53">
        <f t="shared" si="14"/>
        <v>1010.34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21">B89-B97</f>
        <v>1138.2400000000002</v>
      </c>
      <c r="C90" s="102">
        <f t="shared" si="21"/>
        <v>1032.8400000000001</v>
      </c>
      <c r="D90" s="102">
        <f t="shared" si="21"/>
        <v>1016.74</v>
      </c>
      <c r="E90" s="102">
        <f t="shared" si="21"/>
        <v>1033.94</v>
      </c>
      <c r="F90" s="102">
        <f t="shared" si="21"/>
        <v>1010.34</v>
      </c>
      <c r="G90" s="102">
        <f t="shared" si="21"/>
        <v>1021.44</v>
      </c>
      <c r="H90" s="102">
        <f t="shared" si="21"/>
        <v>1086.94</v>
      </c>
      <c r="I90" s="102">
        <f t="shared" si="21"/>
        <v>1136.69</v>
      </c>
      <c r="J90" s="102">
        <f t="shared" si="21"/>
        <v>1300.04</v>
      </c>
      <c r="K90" s="102">
        <f t="shared" si="21"/>
        <v>1307.6399999999999</v>
      </c>
      <c r="L90" s="102">
        <f t="shared" si="21"/>
        <v>1431.94</v>
      </c>
      <c r="M90" s="102">
        <f t="shared" si="21"/>
        <v>1389.44</v>
      </c>
      <c r="N90" s="102">
        <f t="shared" si="21"/>
        <v>1358.64</v>
      </c>
      <c r="O90" s="102">
        <f t="shared" si="21"/>
        <v>1320.14</v>
      </c>
      <c r="P90" s="102">
        <f t="shared" si="21"/>
        <v>1263.24</v>
      </c>
      <c r="Q90" s="102">
        <f t="shared" si="21"/>
        <v>1309.6399999999999</v>
      </c>
      <c r="R90" s="102">
        <f t="shared" si="21"/>
        <v>1296.3400000000001</v>
      </c>
      <c r="S90" s="102">
        <f t="shared" si="21"/>
        <v>1394.14</v>
      </c>
      <c r="T90" s="102">
        <f t="shared" si="21"/>
        <v>1377.3400000000001</v>
      </c>
      <c r="U90" s="102">
        <f t="shared" si="21"/>
        <v>1414.8400000000001</v>
      </c>
      <c r="V90" s="102">
        <f t="shared" si="21"/>
        <v>1348.2400000000002</v>
      </c>
      <c r="W90" s="102">
        <f t="shared" si="21"/>
        <v>1455.3400000000001</v>
      </c>
      <c r="X90" s="102">
        <f t="shared" si="21"/>
        <v>1461.74</v>
      </c>
      <c r="Y90" s="102">
        <f t="shared" si="21"/>
        <v>1509.04</v>
      </c>
      <c r="Z90" s="102">
        <f t="shared" si="21"/>
        <v>1578.24</v>
      </c>
      <c r="AA90" s="102">
        <f t="shared" si="21"/>
        <v>1553.8400000000001</v>
      </c>
      <c r="AB90" s="102">
        <f t="shared" ref="AB90" si="22">AB89-AB97</f>
        <v>1458.6399999999999</v>
      </c>
      <c r="AC90" s="102">
        <f t="shared" si="21"/>
        <v>1377.54</v>
      </c>
      <c r="AD90" s="102">
        <f t="shared" si="21"/>
        <v>1329.6399999999999</v>
      </c>
      <c r="AE90" s="102">
        <f t="shared" si="21"/>
        <v>1179.04</v>
      </c>
      <c r="AF90" s="102">
        <f t="shared" si="21"/>
        <v>1167.44</v>
      </c>
      <c r="AG90" s="95"/>
      <c r="AH90" s="52">
        <f t="shared" si="13"/>
        <v>1578.24</v>
      </c>
      <c r="AI90" s="53">
        <f t="shared" si="14"/>
        <v>1010.34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3"/>
        <v>0</v>
      </c>
      <c r="AI91" s="53">
        <f t="shared" si="14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3"/>
        <v>0</v>
      </c>
      <c r="AI92" s="53">
        <f t="shared" si="14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3"/>
        <v>0</v>
      </c>
      <c r="AI93" s="53">
        <f t="shared" si="14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3"/>
        <v>0</v>
      </c>
      <c r="AI94" s="53">
        <f t="shared" si="14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3"/>
        <v>0</v>
      </c>
      <c r="AI95" s="53">
        <f t="shared" si="14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3"/>
        <v>0</v>
      </c>
      <c r="AI96" s="53">
        <f t="shared" si="14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3"/>
        <v>0</v>
      </c>
      <c r="AI97" s="53">
        <f t="shared" si="14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3">B82-B97</f>
        <v>503.5</v>
      </c>
      <c r="C98" s="67">
        <f t="shared" si="23"/>
        <v>553</v>
      </c>
      <c r="D98" s="67">
        <f t="shared" si="23"/>
        <v>536.9</v>
      </c>
      <c r="E98" s="67">
        <f t="shared" si="23"/>
        <v>564.1</v>
      </c>
      <c r="F98" s="67">
        <f t="shared" si="23"/>
        <v>540.5</v>
      </c>
      <c r="G98" s="67">
        <f t="shared" si="23"/>
        <v>551.6</v>
      </c>
      <c r="H98" s="67">
        <f t="shared" si="23"/>
        <v>535.6</v>
      </c>
      <c r="I98" s="67">
        <f t="shared" si="23"/>
        <v>506.8</v>
      </c>
      <c r="J98" s="67">
        <f t="shared" si="23"/>
        <v>487.2</v>
      </c>
      <c r="K98" s="67">
        <f t="shared" si="23"/>
        <v>502.59999999999997</v>
      </c>
      <c r="L98" s="67">
        <f t="shared" si="23"/>
        <v>508.2</v>
      </c>
      <c r="M98" s="67">
        <f t="shared" si="23"/>
        <v>510.90000000000003</v>
      </c>
      <c r="N98" s="67">
        <f t="shared" si="23"/>
        <v>500.1</v>
      </c>
      <c r="O98" s="67">
        <f t="shared" si="23"/>
        <v>469.8</v>
      </c>
      <c r="P98" s="67">
        <f t="shared" si="23"/>
        <v>505.4</v>
      </c>
      <c r="Q98" s="67">
        <f t="shared" si="23"/>
        <v>518.29999999999995</v>
      </c>
      <c r="R98" s="67">
        <f t="shared" si="23"/>
        <v>450.5</v>
      </c>
      <c r="S98" s="67">
        <f t="shared" si="23"/>
        <v>546.20000000000005</v>
      </c>
      <c r="T98" s="67">
        <f t="shared" si="23"/>
        <v>528.20000000000005</v>
      </c>
      <c r="U98" s="67">
        <f t="shared" si="23"/>
        <v>537.5</v>
      </c>
      <c r="V98" s="67">
        <f t="shared" si="23"/>
        <v>497</v>
      </c>
      <c r="W98" s="67">
        <f t="shared" si="23"/>
        <v>482.5</v>
      </c>
      <c r="X98" s="67">
        <f t="shared" si="23"/>
        <v>532</v>
      </c>
      <c r="Y98" s="67">
        <f t="shared" si="23"/>
        <v>491.8</v>
      </c>
      <c r="Z98" s="67">
        <f t="shared" si="23"/>
        <v>538.4</v>
      </c>
      <c r="AA98" s="67">
        <f t="shared" si="23"/>
        <v>523.4</v>
      </c>
      <c r="AB98" s="67">
        <f t="shared" ref="AB98" si="24">AB82-AB97</f>
        <v>523.79999999999995</v>
      </c>
      <c r="AC98" s="67">
        <f t="shared" si="23"/>
        <v>523.70000000000005</v>
      </c>
      <c r="AD98" s="67">
        <f t="shared" si="23"/>
        <v>533</v>
      </c>
      <c r="AE98" s="67">
        <f t="shared" si="23"/>
        <v>452</v>
      </c>
      <c r="AF98" s="67">
        <f t="shared" si="23"/>
        <v>483</v>
      </c>
      <c r="AG98" s="95"/>
      <c r="AH98" s="52">
        <f t="shared" si="13"/>
        <v>564.1</v>
      </c>
      <c r="AI98" s="53">
        <f t="shared" si="14"/>
        <v>450.5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50.011000000000003</v>
      </c>
      <c r="C99" s="108">
        <v>50.07</v>
      </c>
      <c r="D99" s="108">
        <v>49.988999999999997</v>
      </c>
      <c r="E99" s="108">
        <v>49.976999999999997</v>
      </c>
      <c r="F99" s="108">
        <v>50</v>
      </c>
      <c r="G99" s="108">
        <v>49.981000000000002</v>
      </c>
      <c r="H99" s="108">
        <v>49.912999999999997</v>
      </c>
      <c r="I99" s="108">
        <v>49.957000000000001</v>
      </c>
      <c r="J99" s="108">
        <v>50.09</v>
      </c>
      <c r="K99" s="108">
        <v>50.073999999999998</v>
      </c>
      <c r="L99" s="108">
        <v>50.073999999999998</v>
      </c>
      <c r="M99" s="108">
        <v>49.89</v>
      </c>
      <c r="N99" s="108">
        <v>50.018000000000001</v>
      </c>
      <c r="O99" s="108">
        <v>49.8</v>
      </c>
      <c r="P99" s="108">
        <v>50</v>
      </c>
      <c r="Q99" s="108">
        <v>50.103000000000002</v>
      </c>
      <c r="R99" s="108">
        <v>50.07</v>
      </c>
      <c r="S99" s="108">
        <v>50.04</v>
      </c>
      <c r="T99" s="108">
        <v>50.078000000000003</v>
      </c>
      <c r="U99" s="108">
        <v>49.917999999999999</v>
      </c>
      <c r="V99" s="108">
        <v>50.094999999999999</v>
      </c>
      <c r="W99" s="108">
        <v>50.048000000000002</v>
      </c>
      <c r="X99" s="108">
        <v>50.051000000000002</v>
      </c>
      <c r="Y99" s="108">
        <v>49.965000000000003</v>
      </c>
      <c r="Z99" s="108">
        <v>50.018000000000001</v>
      </c>
      <c r="AA99" s="108">
        <v>50.042000000000002</v>
      </c>
      <c r="AB99" s="108">
        <v>49.95</v>
      </c>
      <c r="AC99" s="108">
        <v>50.04</v>
      </c>
      <c r="AD99" s="108">
        <v>49.92</v>
      </c>
      <c r="AE99" s="108">
        <v>50.02</v>
      </c>
      <c r="AF99" s="108">
        <v>50.02</v>
      </c>
      <c r="AG99" s="109"/>
      <c r="AH99" s="52">
        <f t="shared" si="13"/>
        <v>50.103000000000002</v>
      </c>
      <c r="AI99" s="53">
        <f t="shared" si="14"/>
        <v>49.8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130.1</v>
      </c>
      <c r="C100" s="72">
        <v>129.80000000000001</v>
      </c>
      <c r="D100" s="72">
        <v>129.69999999999999</v>
      </c>
      <c r="E100" s="72">
        <v>129.69999999999999</v>
      </c>
      <c r="F100" s="72">
        <v>129.69999999999999</v>
      </c>
      <c r="G100" s="72">
        <v>129.69999999999999</v>
      </c>
      <c r="H100" s="72">
        <v>129.69999999999999</v>
      </c>
      <c r="I100" s="72">
        <v>128</v>
      </c>
      <c r="J100" s="72">
        <v>129</v>
      </c>
      <c r="K100" s="72">
        <v>129</v>
      </c>
      <c r="L100" s="72">
        <v>129</v>
      </c>
      <c r="M100" s="72">
        <v>127.2</v>
      </c>
      <c r="N100" s="72">
        <v>127</v>
      </c>
      <c r="O100" s="72">
        <v>127.5</v>
      </c>
      <c r="P100" s="72">
        <v>127.5</v>
      </c>
      <c r="Q100" s="72">
        <v>126.5</v>
      </c>
      <c r="R100" s="72">
        <v>126.2</v>
      </c>
      <c r="S100" s="72">
        <v>125.5</v>
      </c>
      <c r="T100" s="72">
        <v>126.7</v>
      </c>
      <c r="U100" s="72">
        <v>126.4</v>
      </c>
      <c r="V100" s="72">
        <v>128.1</v>
      </c>
      <c r="W100" s="72">
        <v>130</v>
      </c>
      <c r="X100" s="72">
        <v>129.69999999999999</v>
      </c>
      <c r="Y100" s="72">
        <v>131.4</v>
      </c>
      <c r="Z100" s="72">
        <v>130.5</v>
      </c>
      <c r="AA100" s="72">
        <v>129.4</v>
      </c>
      <c r="AB100" s="72">
        <v>130.19999999999999</v>
      </c>
      <c r="AC100" s="72">
        <v>132</v>
      </c>
      <c r="AD100" s="72">
        <v>131</v>
      </c>
      <c r="AE100" s="72">
        <v>131</v>
      </c>
      <c r="AF100" s="72">
        <v>131</v>
      </c>
      <c r="AG100" s="111"/>
      <c r="AH100" s="52">
        <f t="shared" si="13"/>
        <v>132</v>
      </c>
      <c r="AI100" s="53">
        <f t="shared" si="14"/>
        <v>125.5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133.6</v>
      </c>
      <c r="C101" s="72">
        <v>133.5</v>
      </c>
      <c r="D101" s="72">
        <v>133.30000000000001</v>
      </c>
      <c r="E101" s="72">
        <v>133.30000000000001</v>
      </c>
      <c r="F101" s="72">
        <v>133.30000000000001</v>
      </c>
      <c r="G101" s="72">
        <v>133.30000000000001</v>
      </c>
      <c r="H101" s="72">
        <v>133.30000000000001</v>
      </c>
      <c r="I101" s="72">
        <v>131.9</v>
      </c>
      <c r="J101" s="72">
        <v>131.69999999999999</v>
      </c>
      <c r="K101" s="72">
        <v>131.69999999999999</v>
      </c>
      <c r="L101" s="72">
        <v>131.69999999999999</v>
      </c>
      <c r="M101" s="72">
        <v>129.1</v>
      </c>
      <c r="N101" s="72">
        <v>128.69999999999999</v>
      </c>
      <c r="O101" s="72">
        <v>130</v>
      </c>
      <c r="P101" s="72">
        <v>130</v>
      </c>
      <c r="Q101" s="72">
        <v>129.19999999999999</v>
      </c>
      <c r="R101" s="72">
        <v>128.80000000000001</v>
      </c>
      <c r="S101" s="72">
        <v>128.5</v>
      </c>
      <c r="T101" s="72">
        <v>129.30000000000001</v>
      </c>
      <c r="U101" s="72">
        <v>129.19999999999999</v>
      </c>
      <c r="V101" s="72">
        <v>130.30000000000001</v>
      </c>
      <c r="W101" s="72">
        <v>131.30000000000001</v>
      </c>
      <c r="X101" s="72">
        <v>131.4</v>
      </c>
      <c r="Y101" s="72">
        <v>133.19999999999999</v>
      </c>
      <c r="Z101" s="72">
        <v>131.80000000000001</v>
      </c>
      <c r="AA101" s="72">
        <v>131.30000000000001</v>
      </c>
      <c r="AB101" s="72">
        <v>132.30000000000001</v>
      </c>
      <c r="AC101" s="72">
        <v>134</v>
      </c>
      <c r="AD101" s="72">
        <v>133.80000000000001</v>
      </c>
      <c r="AE101" s="72">
        <v>134</v>
      </c>
      <c r="AF101" s="72">
        <v>134</v>
      </c>
      <c r="AG101" s="111"/>
      <c r="AH101" s="52">
        <f t="shared" si="13"/>
        <v>134</v>
      </c>
      <c r="AI101" s="53">
        <f t="shared" si="14"/>
        <v>128.5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130.6</v>
      </c>
      <c r="C102" s="72">
        <v>132.4</v>
      </c>
      <c r="D102" s="72">
        <v>130.69999999999999</v>
      </c>
      <c r="E102" s="72">
        <v>130.69999999999999</v>
      </c>
      <c r="F102" s="72">
        <v>130.69999999999999</v>
      </c>
      <c r="G102" s="72">
        <v>130.69999999999999</v>
      </c>
      <c r="H102" s="72">
        <v>130.69999999999999</v>
      </c>
      <c r="I102" s="72">
        <v>129.5</v>
      </c>
      <c r="J102" s="72">
        <v>126.5</v>
      </c>
      <c r="K102" s="72">
        <v>126.5</v>
      </c>
      <c r="L102" s="72">
        <v>126.5</v>
      </c>
      <c r="M102" s="72">
        <v>125.9</v>
      </c>
      <c r="N102" s="72">
        <v>129.80000000000001</v>
      </c>
      <c r="O102" s="72">
        <v>129.69999999999999</v>
      </c>
      <c r="P102" s="72">
        <v>129.69999999999999</v>
      </c>
      <c r="Q102" s="72">
        <v>126.5</v>
      </c>
      <c r="R102" s="72">
        <v>128.9</v>
      </c>
      <c r="S102" s="72">
        <v>126.5</v>
      </c>
      <c r="T102" s="72">
        <v>127.2</v>
      </c>
      <c r="U102" s="72">
        <v>127.4</v>
      </c>
      <c r="V102" s="72">
        <v>130.6</v>
      </c>
      <c r="W102" s="72">
        <v>131.9</v>
      </c>
      <c r="X102" s="72">
        <v>130.69999999999999</v>
      </c>
      <c r="Y102" s="72">
        <v>130.4</v>
      </c>
      <c r="Z102" s="72">
        <v>130</v>
      </c>
      <c r="AA102" s="72">
        <v>131.5</v>
      </c>
      <c r="AB102" s="72">
        <v>132.30000000000001</v>
      </c>
      <c r="AC102" s="72">
        <v>126</v>
      </c>
      <c r="AD102" s="72">
        <v>128</v>
      </c>
      <c r="AE102" s="72">
        <v>130</v>
      </c>
      <c r="AF102" s="72">
        <v>130</v>
      </c>
      <c r="AG102" s="111"/>
      <c r="AH102" s="52">
        <f t="shared" si="13"/>
        <v>132.4</v>
      </c>
      <c r="AI102" s="53">
        <f t="shared" si="14"/>
        <v>125.9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3"/>
        <v>0</v>
      </c>
      <c r="AI103" s="53">
        <f t="shared" si="14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</v>
      </c>
      <c r="C104" s="113">
        <v>130.5</v>
      </c>
      <c r="D104" s="113">
        <v>130.9</v>
      </c>
      <c r="E104" s="113">
        <v>130.9</v>
      </c>
      <c r="F104" s="113">
        <v>130.9</v>
      </c>
      <c r="G104" s="113">
        <v>130.9</v>
      </c>
      <c r="H104" s="113">
        <v>130.9</v>
      </c>
      <c r="I104" s="113">
        <v>134</v>
      </c>
      <c r="J104" s="113">
        <v>134.5</v>
      </c>
      <c r="K104" s="113">
        <v>134.5</v>
      </c>
      <c r="L104" s="113">
        <v>134.5</v>
      </c>
      <c r="M104" s="113">
        <v>132.4</v>
      </c>
      <c r="N104" s="113">
        <v>129.9</v>
      </c>
      <c r="O104" s="113">
        <v>134.30000000000001</v>
      </c>
      <c r="P104" s="113">
        <v>134.30000000000001</v>
      </c>
      <c r="Q104" s="113">
        <v>131.9</v>
      </c>
      <c r="R104" s="113">
        <v>131</v>
      </c>
      <c r="S104" s="113">
        <v>135</v>
      </c>
      <c r="T104" s="113">
        <v>134.30000000000001</v>
      </c>
      <c r="U104" s="113">
        <v>135</v>
      </c>
      <c r="V104" s="113">
        <v>134.4</v>
      </c>
      <c r="W104" s="113">
        <v>134.1</v>
      </c>
      <c r="X104" s="113">
        <v>134</v>
      </c>
      <c r="Y104" s="113">
        <v>134.69999999999999</v>
      </c>
      <c r="Z104" s="113">
        <v>134.5</v>
      </c>
      <c r="AA104" s="113">
        <v>133.30000000000001</v>
      </c>
      <c r="AB104" s="113">
        <v>134.5</v>
      </c>
      <c r="AC104" s="113">
        <v>134</v>
      </c>
      <c r="AD104" s="113">
        <v>132</v>
      </c>
      <c r="AE104" s="113">
        <v>134</v>
      </c>
      <c r="AF104" s="113">
        <v>134</v>
      </c>
      <c r="AG104" s="114"/>
      <c r="AH104" s="52">
        <f t="shared" si="13"/>
        <v>135</v>
      </c>
      <c r="AI104" s="53">
        <f t="shared" si="14"/>
        <v>129.9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135</v>
      </c>
      <c r="C105" s="72">
        <v>135.69999999999999</v>
      </c>
      <c r="D105" s="72">
        <v>133.4</v>
      </c>
      <c r="E105" s="72">
        <v>133.4</v>
      </c>
      <c r="F105" s="72">
        <v>133.4</v>
      </c>
      <c r="G105" s="72">
        <v>133.4</v>
      </c>
      <c r="H105" s="72">
        <v>133.4</v>
      </c>
      <c r="I105" s="72">
        <v>128.69999999999999</v>
      </c>
      <c r="J105" s="72">
        <v>132.5</v>
      </c>
      <c r="K105" s="72">
        <v>132.5</v>
      </c>
      <c r="L105" s="72">
        <v>132.5</v>
      </c>
      <c r="M105" s="72"/>
      <c r="N105" s="72">
        <v>127.2</v>
      </c>
      <c r="O105" s="72">
        <v>129.5</v>
      </c>
      <c r="P105" s="72">
        <v>129.5</v>
      </c>
      <c r="Q105" s="72">
        <v>130.5</v>
      </c>
      <c r="R105" s="72">
        <v>131.6</v>
      </c>
      <c r="S105" s="72">
        <v>130.30000000000001</v>
      </c>
      <c r="T105" s="72">
        <v>128.30000000000001</v>
      </c>
      <c r="U105" s="72">
        <v>127.1</v>
      </c>
      <c r="V105" s="72">
        <v>132.19999999999999</v>
      </c>
      <c r="W105" s="72">
        <v>131.80000000000001</v>
      </c>
      <c r="X105" s="72">
        <v>132.80000000000001</v>
      </c>
      <c r="Y105" s="72">
        <v>130.69999999999999</v>
      </c>
      <c r="Z105" s="72">
        <v>130.6</v>
      </c>
      <c r="AA105" s="72">
        <v>134.30000000000001</v>
      </c>
      <c r="AB105" s="72">
        <v>133.4</v>
      </c>
      <c r="AC105" s="72">
        <v>132</v>
      </c>
      <c r="AD105" s="72">
        <v>133</v>
      </c>
      <c r="AE105" s="72">
        <v>130</v>
      </c>
      <c r="AF105" s="72">
        <v>130</v>
      </c>
      <c r="AG105" s="111"/>
      <c r="AH105" s="52">
        <f t="shared" si="13"/>
        <v>135.69999999999999</v>
      </c>
      <c r="AI105" s="53">
        <f t="shared" si="14"/>
        <v>127.1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67</v>
      </c>
      <c r="C106" s="99">
        <v>67</v>
      </c>
      <c r="D106" s="99">
        <v>67</v>
      </c>
      <c r="E106" s="99">
        <v>67</v>
      </c>
      <c r="F106" s="99">
        <v>67</v>
      </c>
      <c r="G106" s="99">
        <v>67</v>
      </c>
      <c r="H106" s="99">
        <v>67</v>
      </c>
      <c r="I106" s="99">
        <v>66</v>
      </c>
      <c r="J106" s="99">
        <v>65.900000000000006</v>
      </c>
      <c r="K106" s="99">
        <v>65.900000000000006</v>
      </c>
      <c r="L106" s="99">
        <v>65.900000000000006</v>
      </c>
      <c r="M106" s="99">
        <v>64.599999999999994</v>
      </c>
      <c r="N106" s="99">
        <v>64.400000000000006</v>
      </c>
      <c r="O106" s="99">
        <v>65</v>
      </c>
      <c r="P106" s="99">
        <v>65</v>
      </c>
      <c r="Q106" s="99">
        <v>64.8</v>
      </c>
      <c r="R106" s="99">
        <v>64.7</v>
      </c>
      <c r="S106" s="99">
        <v>64.5</v>
      </c>
      <c r="T106" s="99">
        <v>64.900000000000006</v>
      </c>
      <c r="U106" s="99">
        <v>64.8</v>
      </c>
      <c r="V106" s="99">
        <v>65.400000000000006</v>
      </c>
      <c r="W106" s="99">
        <v>65.599999999999994</v>
      </c>
      <c r="X106" s="99">
        <v>66</v>
      </c>
      <c r="Y106" s="99">
        <v>66.8</v>
      </c>
      <c r="Z106" s="99">
        <v>65.8</v>
      </c>
      <c r="AA106" s="99">
        <v>65.8</v>
      </c>
      <c r="AB106" s="99">
        <v>66.400000000000006</v>
      </c>
      <c r="AC106" s="99">
        <v>67</v>
      </c>
      <c r="AD106" s="99">
        <v>67</v>
      </c>
      <c r="AE106" s="99">
        <v>67</v>
      </c>
      <c r="AF106" s="99">
        <v>67</v>
      </c>
      <c r="AG106" s="115"/>
      <c r="AH106" s="52">
        <f t="shared" si="13"/>
        <v>67</v>
      </c>
      <c r="AI106" s="53">
        <f t="shared" si="14"/>
        <v>64.400000000000006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3"/>
        <v>0</v>
      </c>
      <c r="AI107" s="53">
        <f t="shared" si="14"/>
        <v>0</v>
      </c>
    </row>
    <row r="108" spans="1:88" ht="15.75" thickBot="1" x14ac:dyDescent="0.3">
      <c r="A108" s="117" t="s">
        <v>112</v>
      </c>
      <c r="B108" s="118">
        <f t="shared" ref="B108:AF108" si="25">SUM(B18,B24,B27:B28,B56,B58:B59,B61,B63,B109:B113,B135,B141,B147,B156,B158,B170,B177,B180:B181,B188,B190,B192,B196:B198,B200:B202,B207,B213:B214,B216:B218,B226,B231)</f>
        <v>117.1</v>
      </c>
      <c r="C108" s="118">
        <f t="shared" si="25"/>
        <v>103.53999999999999</v>
      </c>
      <c r="D108" s="118">
        <f t="shared" si="25"/>
        <v>103.24000000000001</v>
      </c>
      <c r="E108" s="118">
        <f t="shared" si="25"/>
        <v>104.54</v>
      </c>
      <c r="F108" s="118">
        <f t="shared" si="25"/>
        <v>105.74000000000001</v>
      </c>
      <c r="G108" s="118">
        <f t="shared" si="25"/>
        <v>115.63999999999999</v>
      </c>
      <c r="H108" s="118">
        <f t="shared" si="25"/>
        <v>162.63999999999999</v>
      </c>
      <c r="I108" s="118">
        <f t="shared" si="25"/>
        <v>186.59</v>
      </c>
      <c r="J108" s="118">
        <f t="shared" si="25"/>
        <v>235.27999999999997</v>
      </c>
      <c r="K108" s="118">
        <f t="shared" si="25"/>
        <v>271.04000000000002</v>
      </c>
      <c r="L108" s="118">
        <f t="shared" si="25"/>
        <v>273.04000000000002</v>
      </c>
      <c r="M108" s="118">
        <f t="shared" si="25"/>
        <v>262.74</v>
      </c>
      <c r="N108" s="118">
        <f t="shared" si="25"/>
        <v>252.83999999999997</v>
      </c>
      <c r="O108" s="118">
        <f t="shared" si="25"/>
        <v>262.03999999999996</v>
      </c>
      <c r="P108" s="118">
        <v>42</v>
      </c>
      <c r="Q108" s="118">
        <f t="shared" si="25"/>
        <v>215.2</v>
      </c>
      <c r="R108" s="118">
        <f t="shared" si="25"/>
        <v>211.39999999999998</v>
      </c>
      <c r="S108" s="118">
        <f t="shared" si="25"/>
        <v>262.8</v>
      </c>
      <c r="T108" s="118">
        <f t="shared" si="25"/>
        <v>271.3</v>
      </c>
      <c r="U108" s="118">
        <f t="shared" si="25"/>
        <v>280.7</v>
      </c>
      <c r="V108" s="118">
        <f t="shared" si="25"/>
        <v>283</v>
      </c>
      <c r="W108" s="118">
        <f t="shared" si="25"/>
        <v>273.89999999999998</v>
      </c>
      <c r="X108" s="118">
        <f t="shared" si="25"/>
        <v>288.8</v>
      </c>
      <c r="Y108" s="118">
        <f t="shared" si="25"/>
        <v>319.29999999999995</v>
      </c>
      <c r="Z108" s="118">
        <f t="shared" si="25"/>
        <v>358.8</v>
      </c>
      <c r="AA108" s="118">
        <f t="shared" si="25"/>
        <v>337.2</v>
      </c>
      <c r="AB108" s="118">
        <f t="shared" ref="AB108" si="26">SUM(AB18,AB24,AB27:AB28,AB56,AB58:AB59,AB61,AB63,AB109:AB113,AB135,AB141,AB147,AB156,AB158,AB170,AB177,AB180:AB181,AB188,AB190,AB192,AB196:AB198,AB200:AB202,AB207,AB213:AB214,AB216:AB218,AB226,AB231)</f>
        <v>269.60000000000002</v>
      </c>
      <c r="AC108" s="118">
        <f t="shared" si="25"/>
        <v>264</v>
      </c>
      <c r="AD108" s="118">
        <f t="shared" si="25"/>
        <v>224.5</v>
      </c>
      <c r="AE108" s="118">
        <f t="shared" si="25"/>
        <v>185.5</v>
      </c>
      <c r="AF108" s="118">
        <f t="shared" si="25"/>
        <v>185.5</v>
      </c>
      <c r="AG108" s="119"/>
      <c r="AH108" s="52">
        <f t="shared" si="13"/>
        <v>358.8</v>
      </c>
      <c r="AI108" s="53">
        <f t="shared" si="14"/>
        <v>42</v>
      </c>
    </row>
    <row r="109" spans="1:88" x14ac:dyDescent="0.25">
      <c r="A109" s="107" t="s">
        <v>113</v>
      </c>
      <c r="B109" s="120">
        <v>-16.7</v>
      </c>
      <c r="C109" s="120">
        <v>-20.2</v>
      </c>
      <c r="D109" s="120">
        <v>-22.3</v>
      </c>
      <c r="E109" s="120">
        <v>-21</v>
      </c>
      <c r="F109" s="120">
        <v>-21</v>
      </c>
      <c r="G109" s="120">
        <v>-21.3</v>
      </c>
      <c r="H109" s="120">
        <v>-9.9</v>
      </c>
      <c r="I109" s="120">
        <v>1.5</v>
      </c>
      <c r="J109" s="120">
        <v>8.1999999999999993</v>
      </c>
      <c r="K109" s="120">
        <v>9.9</v>
      </c>
      <c r="L109" s="120">
        <v>9.9</v>
      </c>
      <c r="M109" s="120">
        <v>6.7</v>
      </c>
      <c r="N109" s="120">
        <v>4.0999999999999996</v>
      </c>
      <c r="O109" s="120">
        <v>13</v>
      </c>
      <c r="P109" s="120">
        <v>13</v>
      </c>
      <c r="Q109" s="120">
        <v>9.6999999999999993</v>
      </c>
      <c r="R109" s="120">
        <v>4.2</v>
      </c>
      <c r="S109" s="120">
        <v>10.4</v>
      </c>
      <c r="T109" s="120">
        <v>8.4</v>
      </c>
      <c r="U109" s="120">
        <v>12.6</v>
      </c>
      <c r="V109" s="120">
        <v>11.9</v>
      </c>
      <c r="W109" s="120">
        <v>8.4</v>
      </c>
      <c r="X109" s="120">
        <v>7.5</v>
      </c>
      <c r="Y109" s="120">
        <v>12.8</v>
      </c>
      <c r="Z109" s="120">
        <v>16.3</v>
      </c>
      <c r="AA109" s="120">
        <v>14.6</v>
      </c>
      <c r="AB109" s="120">
        <v>5.7</v>
      </c>
      <c r="AC109" s="120">
        <v>7</v>
      </c>
      <c r="AD109" s="120">
        <v>5</v>
      </c>
      <c r="AE109" s="120">
        <v>6.6</v>
      </c>
      <c r="AF109" s="120">
        <v>6.6</v>
      </c>
      <c r="AG109" s="121">
        <v>75</v>
      </c>
      <c r="AH109" s="52">
        <f t="shared" si="13"/>
        <v>16.3</v>
      </c>
      <c r="AI109" s="53">
        <f t="shared" si="14"/>
        <v>-22.3</v>
      </c>
    </row>
    <row r="110" spans="1:88" x14ac:dyDescent="0.25">
      <c r="A110" s="110" t="s">
        <v>114</v>
      </c>
      <c r="B110" s="122">
        <v>-18.600000000000001</v>
      </c>
      <c r="C110" s="122">
        <v>-25.5</v>
      </c>
      <c r="D110" s="122">
        <v>-25.9</v>
      </c>
      <c r="E110" s="122">
        <v>-26.7</v>
      </c>
      <c r="F110" s="122">
        <v>-26</v>
      </c>
      <c r="G110" s="122">
        <v>-25.1</v>
      </c>
      <c r="H110" s="122">
        <v>-9.6999999999999993</v>
      </c>
      <c r="I110" s="122">
        <v>3.5</v>
      </c>
      <c r="J110" s="122">
        <v>11.74</v>
      </c>
      <c r="K110" s="122">
        <v>8.5</v>
      </c>
      <c r="L110" s="122">
        <v>8.5</v>
      </c>
      <c r="M110" s="122">
        <v>3.8</v>
      </c>
      <c r="N110" s="122">
        <v>0</v>
      </c>
      <c r="O110" s="122">
        <v>11.1</v>
      </c>
      <c r="P110" s="122">
        <v>11.1</v>
      </c>
      <c r="Q110" s="122">
        <v>14.1</v>
      </c>
      <c r="R110" s="122">
        <v>4.5999999999999996</v>
      </c>
      <c r="S110" s="122">
        <v>15.1</v>
      </c>
      <c r="T110" s="122">
        <v>12.9</v>
      </c>
      <c r="U110" s="122">
        <v>18.2</v>
      </c>
      <c r="V110" s="122">
        <v>13.3</v>
      </c>
      <c r="W110" s="122">
        <v>7</v>
      </c>
      <c r="X110" s="122">
        <v>3.8</v>
      </c>
      <c r="Y110" s="122">
        <v>11.6</v>
      </c>
      <c r="Z110" s="122">
        <v>15</v>
      </c>
      <c r="AA110" s="122">
        <v>12.8</v>
      </c>
      <c r="AB110" s="122">
        <v>1</v>
      </c>
      <c r="AC110" s="122">
        <v>2.5</v>
      </c>
      <c r="AD110" s="122">
        <v>2</v>
      </c>
      <c r="AE110" s="122">
        <v>5.4</v>
      </c>
      <c r="AF110" s="122">
        <v>5.4</v>
      </c>
      <c r="AG110" s="121">
        <v>240</v>
      </c>
      <c r="AH110" s="52">
        <f t="shared" si="13"/>
        <v>18.2</v>
      </c>
      <c r="AI110" s="53">
        <f t="shared" si="14"/>
        <v>-26.7</v>
      </c>
    </row>
    <row r="111" spans="1:88" x14ac:dyDescent="0.25">
      <c r="A111" s="110" t="s">
        <v>115</v>
      </c>
      <c r="B111" s="122">
        <v>-31</v>
      </c>
      <c r="C111" s="122">
        <v>-30</v>
      </c>
      <c r="D111" s="122">
        <v>-28</v>
      </c>
      <c r="E111" s="122">
        <v>-29</v>
      </c>
      <c r="F111" s="122">
        <v>-28.5</v>
      </c>
      <c r="G111" s="122">
        <v>-14</v>
      </c>
      <c r="H111" s="122">
        <v>-16</v>
      </c>
      <c r="I111" s="122">
        <v>-15</v>
      </c>
      <c r="J111" s="122">
        <v>9.8000000000000007</v>
      </c>
      <c r="K111" s="122">
        <v>24</v>
      </c>
      <c r="L111" s="122">
        <v>24</v>
      </c>
      <c r="M111" s="122">
        <v>18</v>
      </c>
      <c r="N111" s="122">
        <v>15.5</v>
      </c>
      <c r="O111" s="122">
        <v>12.5</v>
      </c>
      <c r="P111" s="122">
        <v>12.5</v>
      </c>
      <c r="Q111" s="122">
        <v>-32</v>
      </c>
      <c r="R111" s="122">
        <v>-32</v>
      </c>
      <c r="S111" s="122">
        <v>2</v>
      </c>
      <c r="T111" s="122">
        <v>13</v>
      </c>
      <c r="U111" s="122">
        <v>11.2</v>
      </c>
      <c r="V111" s="122">
        <v>17</v>
      </c>
      <c r="W111" s="122">
        <v>35</v>
      </c>
      <c r="X111" s="122">
        <v>46</v>
      </c>
      <c r="Y111" s="122">
        <v>45</v>
      </c>
      <c r="Z111" s="122">
        <v>63</v>
      </c>
      <c r="AA111" s="122">
        <v>70</v>
      </c>
      <c r="AB111" s="122">
        <f>14.9+34.2</f>
        <v>49.1</v>
      </c>
      <c r="AC111" s="122">
        <v>45</v>
      </c>
      <c r="AD111" s="122">
        <v>25</v>
      </c>
      <c r="AE111" s="122">
        <v>5</v>
      </c>
      <c r="AF111" s="122">
        <v>5</v>
      </c>
      <c r="AG111" s="121">
        <v>240</v>
      </c>
      <c r="AH111" s="52">
        <f t="shared" si="13"/>
        <v>70</v>
      </c>
      <c r="AI111" s="53">
        <f t="shared" si="14"/>
        <v>-32</v>
      </c>
    </row>
    <row r="112" spans="1:88" x14ac:dyDescent="0.25">
      <c r="A112" s="110" t="s">
        <v>116</v>
      </c>
      <c r="B112" s="122">
        <v>33.299999999999997</v>
      </c>
      <c r="C112" s="122">
        <v>30.5</v>
      </c>
      <c r="D112" s="122">
        <v>29.8</v>
      </c>
      <c r="E112" s="122">
        <v>22.6</v>
      </c>
      <c r="F112" s="122">
        <v>22.6</v>
      </c>
      <c r="G112" s="122">
        <v>21</v>
      </c>
      <c r="H112" s="122">
        <v>35.9</v>
      </c>
      <c r="I112" s="122">
        <v>38.200000000000003</v>
      </c>
      <c r="J112" s="122">
        <v>32.700000000000003</v>
      </c>
      <c r="K112" s="122">
        <v>44.6</v>
      </c>
      <c r="L112" s="122">
        <v>44.6</v>
      </c>
      <c r="M112" s="122">
        <v>44.7</v>
      </c>
      <c r="N112" s="122">
        <v>42.2</v>
      </c>
      <c r="O112" s="122">
        <v>39.9</v>
      </c>
      <c r="P112" s="122">
        <v>39.9</v>
      </c>
      <c r="Q112" s="122">
        <v>37.799999999999997</v>
      </c>
      <c r="R112" s="122">
        <v>39.700000000000003</v>
      </c>
      <c r="S112" s="122">
        <v>40</v>
      </c>
      <c r="T112" s="122">
        <v>39.200000000000003</v>
      </c>
      <c r="U112" s="122">
        <v>39.4</v>
      </c>
      <c r="V112" s="122">
        <v>42</v>
      </c>
      <c r="W112" s="122">
        <v>48</v>
      </c>
      <c r="X112" s="122">
        <v>41</v>
      </c>
      <c r="Y112" s="122">
        <v>52.4</v>
      </c>
      <c r="Z112" s="122">
        <v>58</v>
      </c>
      <c r="AA112" s="122">
        <v>46.3</v>
      </c>
      <c r="AB112" s="122">
        <v>42</v>
      </c>
      <c r="AC112" s="122">
        <v>36</v>
      </c>
      <c r="AD112" s="122">
        <v>30</v>
      </c>
      <c r="AE112" s="122">
        <v>29</v>
      </c>
      <c r="AF112" s="122">
        <v>29</v>
      </c>
      <c r="AG112" s="121">
        <v>60</v>
      </c>
      <c r="AH112" s="52">
        <f t="shared" si="13"/>
        <v>58</v>
      </c>
      <c r="AI112" s="53">
        <f t="shared" si="14"/>
        <v>21</v>
      </c>
    </row>
    <row r="113" spans="1:37" x14ac:dyDescent="0.25">
      <c r="A113" s="123" t="s">
        <v>117</v>
      </c>
      <c r="B113" s="124">
        <v>71.8</v>
      </c>
      <c r="C113" s="124">
        <v>69.5</v>
      </c>
      <c r="D113" s="124">
        <v>70.400000000000006</v>
      </c>
      <c r="E113" s="124">
        <v>79.400000000000006</v>
      </c>
      <c r="F113" s="124">
        <v>79.400000000000006</v>
      </c>
      <c r="G113" s="124">
        <v>75.8</v>
      </c>
      <c r="H113" s="124">
        <v>82.3</v>
      </c>
      <c r="I113" s="124">
        <v>78.3</v>
      </c>
      <c r="J113" s="124">
        <v>92.8</v>
      </c>
      <c r="K113" s="124">
        <v>99</v>
      </c>
      <c r="L113" s="124">
        <v>99</v>
      </c>
      <c r="M113" s="124">
        <v>103.4</v>
      </c>
      <c r="N113" s="124">
        <v>98.8</v>
      </c>
      <c r="O113" s="124">
        <v>91.3</v>
      </c>
      <c r="P113" s="124">
        <v>91.3</v>
      </c>
      <c r="Q113" s="124">
        <v>90.3</v>
      </c>
      <c r="R113" s="124">
        <v>99.6</v>
      </c>
      <c r="S113" s="124">
        <v>100</v>
      </c>
      <c r="T113" s="124">
        <v>102.5</v>
      </c>
      <c r="U113" s="124">
        <v>105.8</v>
      </c>
      <c r="V113" s="124">
        <v>105.3</v>
      </c>
      <c r="W113" s="124">
        <v>92</v>
      </c>
      <c r="X113" s="124">
        <v>107</v>
      </c>
      <c r="Y113" s="124">
        <v>114</v>
      </c>
      <c r="Z113" s="124">
        <v>123</v>
      </c>
      <c r="AA113" s="124">
        <v>110</v>
      </c>
      <c r="AB113" s="124">
        <v>87.3</v>
      </c>
      <c r="AC113" s="124">
        <v>89</v>
      </c>
      <c r="AD113" s="124">
        <v>78</v>
      </c>
      <c r="AE113" s="124">
        <v>55</v>
      </c>
      <c r="AF113" s="124">
        <v>55</v>
      </c>
      <c r="AG113" s="125">
        <v>120</v>
      </c>
      <c r="AH113" s="52">
        <f t="shared" si="13"/>
        <v>123</v>
      </c>
      <c r="AI113" s="53">
        <f t="shared" si="14"/>
        <v>55</v>
      </c>
    </row>
    <row r="114" spans="1:37" x14ac:dyDescent="0.25">
      <c r="A114" s="123" t="s">
        <v>118</v>
      </c>
      <c r="B114" s="124">
        <v>83.6</v>
      </c>
      <c r="C114" s="124">
        <v>84.9</v>
      </c>
      <c r="D114" s="124">
        <v>83.9</v>
      </c>
      <c r="E114" s="124">
        <v>91</v>
      </c>
      <c r="F114" s="124">
        <v>91</v>
      </c>
      <c r="G114" s="124">
        <v>83.6</v>
      </c>
      <c r="H114" s="124">
        <v>87.6</v>
      </c>
      <c r="I114" s="124">
        <v>81.739999999999995</v>
      </c>
      <c r="J114" s="124">
        <v>82.8</v>
      </c>
      <c r="K114" s="124">
        <v>86.6</v>
      </c>
      <c r="L114" s="124">
        <v>86.6</v>
      </c>
      <c r="M114" s="124">
        <v>79.599999999999994</v>
      </c>
      <c r="N114" s="124">
        <v>77.2</v>
      </c>
      <c r="O114" s="124">
        <v>72.2</v>
      </c>
      <c r="P114" s="124">
        <v>72.2</v>
      </c>
      <c r="Q114" s="124">
        <v>82.7</v>
      </c>
      <c r="R114" s="124">
        <v>90.5</v>
      </c>
      <c r="S114" s="124">
        <v>92</v>
      </c>
      <c r="T114" s="124">
        <v>91</v>
      </c>
      <c r="U114" s="124">
        <v>96.5</v>
      </c>
      <c r="V114" s="124">
        <v>97</v>
      </c>
      <c r="W114" s="124">
        <v>78</v>
      </c>
      <c r="X114" s="124">
        <v>86</v>
      </c>
      <c r="Y114" s="124">
        <v>75</v>
      </c>
      <c r="Z114" s="124">
        <v>65.3</v>
      </c>
      <c r="AA114" s="124">
        <v>87</v>
      </c>
      <c r="AB114" s="124">
        <v>91.6</v>
      </c>
      <c r="AC114" s="124">
        <v>72</v>
      </c>
      <c r="AD114" s="124">
        <v>65</v>
      </c>
      <c r="AE114" s="124">
        <v>76</v>
      </c>
      <c r="AF114" s="124">
        <v>76</v>
      </c>
      <c r="AG114" s="125"/>
      <c r="AH114" s="52">
        <f t="shared" si="13"/>
        <v>97</v>
      </c>
      <c r="AI114" s="53">
        <f t="shared" si="14"/>
        <v>65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>
        <v>25.8</v>
      </c>
      <c r="O115" s="124">
        <v>26.8</v>
      </c>
      <c r="P115" s="124">
        <v>26.8</v>
      </c>
      <c r="Q115" s="124">
        <v>23.6</v>
      </c>
      <c r="R115" s="124"/>
      <c r="S115" s="124">
        <v>25</v>
      </c>
      <c r="T115" s="124"/>
      <c r="U115" s="124"/>
      <c r="V115" s="124">
        <v>19.3</v>
      </c>
      <c r="W115" s="124">
        <v>17</v>
      </c>
      <c r="X115" s="124"/>
      <c r="Y115" s="124">
        <v>14.3</v>
      </c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3"/>
        <v>26.8</v>
      </c>
      <c r="AI115" s="53">
        <f t="shared" si="14"/>
        <v>14.3</v>
      </c>
    </row>
    <row r="116" spans="1:37" x14ac:dyDescent="0.25">
      <c r="A116" s="127" t="s">
        <v>120</v>
      </c>
      <c r="B116" s="113">
        <v>-4.5999999999999996</v>
      </c>
      <c r="C116" s="113">
        <v>-3.4</v>
      </c>
      <c r="D116" s="113">
        <v>0</v>
      </c>
      <c r="E116" s="113">
        <v>1</v>
      </c>
      <c r="F116" s="113">
        <v>1</v>
      </c>
      <c r="G116" s="113">
        <v>-5</v>
      </c>
      <c r="H116" s="113">
        <v>-13.4</v>
      </c>
      <c r="I116" s="113">
        <v>-18</v>
      </c>
      <c r="J116" s="113">
        <v>-25.1</v>
      </c>
      <c r="K116" s="113">
        <v>-30.2</v>
      </c>
      <c r="L116" s="113">
        <v>-30.2</v>
      </c>
      <c r="M116" s="113">
        <v>-73.900000000000006</v>
      </c>
      <c r="N116" s="113">
        <v>-61.6</v>
      </c>
      <c r="O116" s="113">
        <v>-54.8</v>
      </c>
      <c r="P116" s="113">
        <v>-54.8</v>
      </c>
      <c r="Q116" s="113">
        <v>-53.5</v>
      </c>
      <c r="R116" s="113">
        <v>-46.6</v>
      </c>
      <c r="S116" s="113">
        <v>-48.3</v>
      </c>
      <c r="T116" s="113">
        <v>-31</v>
      </c>
      <c r="U116" s="113">
        <v>-25.4</v>
      </c>
      <c r="V116" s="113">
        <v>-56.5</v>
      </c>
      <c r="W116" s="113">
        <v>-72</v>
      </c>
      <c r="X116" s="113">
        <v>-76</v>
      </c>
      <c r="Y116" s="113">
        <v>-91</v>
      </c>
      <c r="Z116" s="113">
        <v>-85</v>
      </c>
      <c r="AA116" s="113">
        <v>-68.3</v>
      </c>
      <c r="AB116" s="113">
        <v>-50.3</v>
      </c>
      <c r="AC116" s="113">
        <v>47</v>
      </c>
      <c r="AD116" s="113">
        <v>40</v>
      </c>
      <c r="AE116" s="113">
        <v>28</v>
      </c>
      <c r="AF116" s="113">
        <v>28</v>
      </c>
      <c r="AG116" s="126"/>
      <c r="AH116" s="52">
        <f t="shared" si="13"/>
        <v>47</v>
      </c>
      <c r="AI116" s="53">
        <f t="shared" si="14"/>
        <v>-91</v>
      </c>
    </row>
    <row r="117" spans="1:37" ht="15.75" thickBot="1" x14ac:dyDescent="0.3">
      <c r="A117" s="127" t="s">
        <v>121</v>
      </c>
      <c r="B117" s="113">
        <v>85.7</v>
      </c>
      <c r="C117" s="113">
        <v>77.7</v>
      </c>
      <c r="D117" s="113">
        <v>78.3</v>
      </c>
      <c r="E117" s="113">
        <v>74.3</v>
      </c>
      <c r="F117" s="113">
        <v>74.3</v>
      </c>
      <c r="G117" s="113">
        <v>74.2</v>
      </c>
      <c r="H117" s="113">
        <v>80.2</v>
      </c>
      <c r="I117" s="113">
        <v>78.3</v>
      </c>
      <c r="J117" s="113">
        <v>79.900000000000006</v>
      </c>
      <c r="K117" s="113">
        <v>79.7</v>
      </c>
      <c r="L117" s="113">
        <v>79.7</v>
      </c>
      <c r="M117" s="113">
        <v>88.1</v>
      </c>
      <c r="N117" s="113">
        <v>81.5</v>
      </c>
      <c r="O117" s="113">
        <v>80.8</v>
      </c>
      <c r="P117" s="113">
        <v>80.8</v>
      </c>
      <c r="Q117" s="113">
        <v>100.1</v>
      </c>
      <c r="R117" s="113">
        <v>100.8</v>
      </c>
      <c r="S117" s="113">
        <v>110</v>
      </c>
      <c r="T117" s="113">
        <v>102</v>
      </c>
      <c r="U117" s="113">
        <v>108</v>
      </c>
      <c r="V117" s="113">
        <v>94</v>
      </c>
      <c r="W117" s="113">
        <v>74</v>
      </c>
      <c r="X117" s="113">
        <v>85</v>
      </c>
      <c r="Y117" s="113">
        <v>94</v>
      </c>
      <c r="Z117" s="113">
        <v>88</v>
      </c>
      <c r="AA117" s="113">
        <v>84</v>
      </c>
      <c r="AB117" s="113">
        <v>73.3</v>
      </c>
      <c r="AC117" s="113">
        <v>90</v>
      </c>
      <c r="AD117" s="113">
        <v>98</v>
      </c>
      <c r="AE117" s="113">
        <v>97</v>
      </c>
      <c r="AF117" s="113">
        <v>97</v>
      </c>
      <c r="AG117" s="126"/>
      <c r="AH117" s="52">
        <f t="shared" si="13"/>
        <v>110</v>
      </c>
      <c r="AI117" s="53">
        <f t="shared" si="14"/>
        <v>73.3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7">SUM(B119:B223)</f>
        <v>0</v>
      </c>
      <c r="C224" s="144">
        <f t="shared" si="27"/>
        <v>0</v>
      </c>
      <c r="D224" s="144">
        <f t="shared" si="27"/>
        <v>0</v>
      </c>
      <c r="E224" s="144">
        <f t="shared" si="27"/>
        <v>0</v>
      </c>
      <c r="F224" s="144">
        <f t="shared" si="27"/>
        <v>0</v>
      </c>
      <c r="G224" s="144">
        <f t="shared" si="27"/>
        <v>0</v>
      </c>
      <c r="H224" s="144">
        <f t="shared" si="27"/>
        <v>0</v>
      </c>
      <c r="I224" s="144">
        <f t="shared" si="27"/>
        <v>0</v>
      </c>
      <c r="J224" s="144">
        <f t="shared" si="27"/>
        <v>0</v>
      </c>
      <c r="K224" s="144">
        <f t="shared" si="27"/>
        <v>0</v>
      </c>
      <c r="L224" s="144">
        <f t="shared" si="27"/>
        <v>0</v>
      </c>
      <c r="M224" s="144">
        <f t="shared" si="27"/>
        <v>0</v>
      </c>
      <c r="N224" s="144">
        <f t="shared" si="27"/>
        <v>0</v>
      </c>
      <c r="O224" s="144">
        <f t="shared" si="27"/>
        <v>0</v>
      </c>
      <c r="P224" s="144">
        <f t="shared" si="27"/>
        <v>0</v>
      </c>
      <c r="Q224" s="144">
        <f t="shared" si="27"/>
        <v>0</v>
      </c>
      <c r="R224" s="144">
        <f t="shared" si="27"/>
        <v>0</v>
      </c>
      <c r="S224" s="144">
        <f t="shared" si="27"/>
        <v>0</v>
      </c>
      <c r="T224" s="144">
        <f t="shared" si="27"/>
        <v>0</v>
      </c>
      <c r="U224" s="144">
        <f t="shared" si="27"/>
        <v>0</v>
      </c>
      <c r="V224" s="144">
        <f t="shared" si="27"/>
        <v>0</v>
      </c>
      <c r="W224" s="144">
        <f t="shared" si="27"/>
        <v>0</v>
      </c>
      <c r="X224" s="144">
        <f t="shared" si="27"/>
        <v>0</v>
      </c>
      <c r="Y224" s="144">
        <f t="shared" si="27"/>
        <v>0</v>
      </c>
      <c r="Z224" s="144">
        <f t="shared" si="27"/>
        <v>0</v>
      </c>
      <c r="AA224" s="144">
        <f t="shared" si="27"/>
        <v>0</v>
      </c>
      <c r="AB224" s="144">
        <f t="shared" si="27"/>
        <v>0</v>
      </c>
      <c r="AC224" s="144">
        <f t="shared" si="27"/>
        <v>0</v>
      </c>
      <c r="AD224" s="144">
        <f t="shared" si="27"/>
        <v>0</v>
      </c>
      <c r="AE224" s="144">
        <f t="shared" si="27"/>
        <v>0</v>
      </c>
      <c r="AF224" s="145">
        <f t="shared" si="27"/>
        <v>0</v>
      </c>
      <c r="AG224" s="146">
        <f t="shared" si="27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8">AF226</f>
        <v>0</v>
      </c>
      <c r="C226" s="149">
        <v>0.3</v>
      </c>
      <c r="D226" s="149">
        <f t="shared" ref="D226:P231" si="29">C226</f>
        <v>0.3</v>
      </c>
      <c r="E226" s="149">
        <f t="shared" si="29"/>
        <v>0.3</v>
      </c>
      <c r="F226" s="149">
        <f t="shared" si="29"/>
        <v>0.3</v>
      </c>
      <c r="G226" s="149">
        <f t="shared" si="29"/>
        <v>0.3</v>
      </c>
      <c r="H226" s="149">
        <f t="shared" si="29"/>
        <v>0.3</v>
      </c>
      <c r="I226" s="149">
        <f t="shared" si="29"/>
        <v>0.3</v>
      </c>
      <c r="J226" s="149">
        <f t="shared" si="29"/>
        <v>0.3</v>
      </c>
      <c r="K226" s="149">
        <f t="shared" si="29"/>
        <v>0.3</v>
      </c>
      <c r="L226" s="149">
        <f t="shared" si="29"/>
        <v>0.3</v>
      </c>
      <c r="M226" s="149">
        <f t="shared" si="29"/>
        <v>0.3</v>
      </c>
      <c r="N226" s="149">
        <f t="shared" si="29"/>
        <v>0.3</v>
      </c>
      <c r="O226" s="149">
        <f t="shared" si="29"/>
        <v>0.3</v>
      </c>
      <c r="P226" s="149">
        <f t="shared" si="2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8"/>
        <v>0</v>
      </c>
      <c r="C227" s="136">
        <v>0.4</v>
      </c>
      <c r="D227" s="136">
        <f t="shared" si="29"/>
        <v>0.4</v>
      </c>
      <c r="E227" s="136">
        <f t="shared" si="29"/>
        <v>0.4</v>
      </c>
      <c r="F227" s="136">
        <f t="shared" si="29"/>
        <v>0.4</v>
      </c>
      <c r="G227" s="136">
        <f t="shared" si="29"/>
        <v>0.4</v>
      </c>
      <c r="H227" s="136">
        <f t="shared" si="29"/>
        <v>0.4</v>
      </c>
      <c r="I227" s="136">
        <f t="shared" si="29"/>
        <v>0.4</v>
      </c>
      <c r="J227" s="136">
        <f t="shared" si="29"/>
        <v>0.4</v>
      </c>
      <c r="K227" s="136">
        <f t="shared" si="29"/>
        <v>0.4</v>
      </c>
      <c r="L227" s="136">
        <f t="shared" si="29"/>
        <v>0.4</v>
      </c>
      <c r="M227" s="136">
        <f t="shared" si="29"/>
        <v>0.4</v>
      </c>
      <c r="N227" s="136">
        <f t="shared" si="29"/>
        <v>0.4</v>
      </c>
      <c r="O227" s="136">
        <f t="shared" si="29"/>
        <v>0.4</v>
      </c>
      <c r="P227" s="136">
        <f t="shared" si="2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8"/>
        <v>0</v>
      </c>
      <c r="C228" s="136">
        <v>1.5</v>
      </c>
      <c r="D228" s="136">
        <f t="shared" si="29"/>
        <v>1.5</v>
      </c>
      <c r="E228" s="136">
        <f t="shared" si="29"/>
        <v>1.5</v>
      </c>
      <c r="F228" s="136">
        <f t="shared" si="29"/>
        <v>1.5</v>
      </c>
      <c r="G228" s="136">
        <f t="shared" si="29"/>
        <v>1.5</v>
      </c>
      <c r="H228" s="136">
        <f t="shared" si="2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9"/>
        <v>1.5</v>
      </c>
      <c r="K228" s="136">
        <f t="shared" ca="1" si="29"/>
        <v>1.5</v>
      </c>
      <c r="L228" s="136">
        <f t="shared" ca="1" si="29"/>
        <v>1.5</v>
      </c>
      <c r="M228" s="136">
        <f t="shared" ca="1" si="29"/>
        <v>1.5</v>
      </c>
      <c r="N228" s="136">
        <f t="shared" ca="1" si="29"/>
        <v>1.5</v>
      </c>
      <c r="O228" s="136">
        <f t="shared" ca="1" si="29"/>
        <v>1.5</v>
      </c>
      <c r="P228" s="136">
        <f t="shared" ca="1" si="2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8"/>
        <v>0</v>
      </c>
      <c r="C229" s="136">
        <v>0.3</v>
      </c>
      <c r="D229" s="136">
        <f t="shared" si="29"/>
        <v>0.3</v>
      </c>
      <c r="E229" s="136">
        <f t="shared" si="29"/>
        <v>0.3</v>
      </c>
      <c r="F229" s="136">
        <f t="shared" si="29"/>
        <v>0.3</v>
      </c>
      <c r="G229" s="136">
        <f t="shared" si="29"/>
        <v>0.3</v>
      </c>
      <c r="H229" s="136">
        <f t="shared" si="29"/>
        <v>0.3</v>
      </c>
      <c r="I229" s="136">
        <f t="shared" si="29"/>
        <v>0.3</v>
      </c>
      <c r="J229" s="136">
        <f t="shared" si="29"/>
        <v>0.3</v>
      </c>
      <c r="K229" s="136">
        <f t="shared" si="29"/>
        <v>0.3</v>
      </c>
      <c r="L229" s="136">
        <f t="shared" si="29"/>
        <v>0.3</v>
      </c>
      <c r="M229" s="136">
        <f t="shared" si="29"/>
        <v>0.3</v>
      </c>
      <c r="N229" s="136">
        <f t="shared" si="29"/>
        <v>0.3</v>
      </c>
      <c r="O229" s="136">
        <f t="shared" si="29"/>
        <v>0.3</v>
      </c>
      <c r="P229" s="136">
        <f t="shared" si="2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8"/>
        <v>0</v>
      </c>
      <c r="C230" s="136">
        <v>0.4</v>
      </c>
      <c r="D230" s="136">
        <f t="shared" si="29"/>
        <v>0.4</v>
      </c>
      <c r="E230" s="136">
        <f t="shared" si="29"/>
        <v>0.4</v>
      </c>
      <c r="F230" s="136">
        <f t="shared" si="29"/>
        <v>0.4</v>
      </c>
      <c r="G230" s="136">
        <f t="shared" si="29"/>
        <v>0.4</v>
      </c>
      <c r="H230" s="136">
        <f t="shared" si="29"/>
        <v>0.4</v>
      </c>
      <c r="I230" s="136">
        <f t="shared" si="29"/>
        <v>0.4</v>
      </c>
      <c r="J230" s="136">
        <f t="shared" si="29"/>
        <v>0.4</v>
      </c>
      <c r="K230" s="136">
        <f t="shared" si="29"/>
        <v>0.4</v>
      </c>
      <c r="L230" s="136">
        <f t="shared" si="29"/>
        <v>0.4</v>
      </c>
      <c r="M230" s="136">
        <f t="shared" si="29"/>
        <v>0.4</v>
      </c>
      <c r="N230" s="136">
        <f t="shared" si="29"/>
        <v>0.4</v>
      </c>
      <c r="O230" s="136">
        <f t="shared" si="29"/>
        <v>0.4</v>
      </c>
      <c r="P230" s="136">
        <f t="shared" si="2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8"/>
        <v>0</v>
      </c>
      <c r="C231" s="140">
        <v>0.64</v>
      </c>
      <c r="D231" s="140">
        <f t="shared" si="29"/>
        <v>0.64</v>
      </c>
      <c r="E231" s="140">
        <f t="shared" si="29"/>
        <v>0.64</v>
      </c>
      <c r="F231" s="140">
        <f t="shared" si="29"/>
        <v>0.64</v>
      </c>
      <c r="G231" s="140">
        <f t="shared" si="29"/>
        <v>0.64</v>
      </c>
      <c r="H231" s="140">
        <f t="shared" si="29"/>
        <v>0.64</v>
      </c>
      <c r="I231" s="140">
        <f t="shared" si="29"/>
        <v>0.64</v>
      </c>
      <c r="J231" s="140">
        <f t="shared" si="29"/>
        <v>0.64</v>
      </c>
      <c r="K231" s="140">
        <f t="shared" si="29"/>
        <v>0.64</v>
      </c>
      <c r="L231" s="140">
        <f t="shared" si="29"/>
        <v>0.64</v>
      </c>
      <c r="M231" s="140">
        <f t="shared" si="29"/>
        <v>0.64</v>
      </c>
      <c r="N231" s="140">
        <f t="shared" si="29"/>
        <v>0.64</v>
      </c>
      <c r="O231" s="140">
        <f t="shared" si="29"/>
        <v>0.64</v>
      </c>
      <c r="P231" s="140">
        <f t="shared" si="2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30">SUM(B226:B231)</f>
        <v>0</v>
      </c>
      <c r="C232" s="144">
        <f t="shared" si="30"/>
        <v>3.54</v>
      </c>
      <c r="D232" s="144">
        <f t="shared" si="30"/>
        <v>3.54</v>
      </c>
      <c r="E232" s="144">
        <f t="shared" si="30"/>
        <v>3.54</v>
      </c>
      <c r="F232" s="144">
        <f t="shared" si="30"/>
        <v>3.54</v>
      </c>
      <c r="G232" s="144">
        <f t="shared" si="30"/>
        <v>3.54</v>
      </c>
      <c r="H232" s="144">
        <f t="shared" si="30"/>
        <v>3.54</v>
      </c>
      <c r="I232" s="144">
        <f t="shared" ca="1" si="30"/>
        <v>3.54</v>
      </c>
      <c r="J232" s="144">
        <f t="shared" ca="1" si="30"/>
        <v>3.54</v>
      </c>
      <c r="K232" s="144">
        <f t="shared" ca="1" si="30"/>
        <v>3.54</v>
      </c>
      <c r="L232" s="144">
        <f t="shared" ca="1" si="30"/>
        <v>3.54</v>
      </c>
      <c r="M232" s="144">
        <f t="shared" ca="1" si="30"/>
        <v>3.54</v>
      </c>
      <c r="N232" s="144">
        <f t="shared" ca="1" si="30"/>
        <v>3.54</v>
      </c>
      <c r="O232" s="144">
        <f t="shared" ca="1" si="30"/>
        <v>3.54</v>
      </c>
      <c r="P232" s="144">
        <f t="shared" ca="1" si="30"/>
        <v>3.54</v>
      </c>
      <c r="Q232" s="144">
        <f t="shared" si="30"/>
        <v>0</v>
      </c>
      <c r="R232" s="144">
        <f t="shared" si="30"/>
        <v>0</v>
      </c>
      <c r="S232" s="144">
        <f t="shared" si="30"/>
        <v>0</v>
      </c>
      <c r="T232" s="144">
        <f t="shared" si="30"/>
        <v>0</v>
      </c>
      <c r="U232" s="144">
        <f t="shared" si="30"/>
        <v>0</v>
      </c>
      <c r="V232" s="144">
        <f t="shared" si="30"/>
        <v>0</v>
      </c>
      <c r="W232" s="144">
        <f t="shared" si="30"/>
        <v>0</v>
      </c>
      <c r="X232" s="144">
        <f t="shared" si="30"/>
        <v>0</v>
      </c>
      <c r="Y232" s="144">
        <f t="shared" si="30"/>
        <v>0</v>
      </c>
      <c r="Z232" s="144">
        <f t="shared" si="30"/>
        <v>0</v>
      </c>
      <c r="AA232" s="144">
        <f t="shared" si="30"/>
        <v>0</v>
      </c>
      <c r="AB232" s="144">
        <f t="shared" si="30"/>
        <v>0</v>
      </c>
      <c r="AC232" s="144">
        <f t="shared" si="30"/>
        <v>0</v>
      </c>
      <c r="AD232" s="144">
        <f t="shared" si="30"/>
        <v>0</v>
      </c>
      <c r="AE232" s="144">
        <f t="shared" si="30"/>
        <v>0</v>
      </c>
      <c r="AF232" s="144">
        <f t="shared" si="30"/>
        <v>0</v>
      </c>
      <c r="AG232" s="154">
        <f t="shared" si="3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1431.94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16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2079/12/16)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2079/12/16)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1">B89</f>
        <v>1138.2400000000002</v>
      </c>
      <c r="U246" s="180">
        <f t="shared" si="31"/>
        <v>1032.8400000000001</v>
      </c>
      <c r="V246" s="180">
        <f t="shared" si="31"/>
        <v>1016.74</v>
      </c>
      <c r="W246" s="180">
        <f t="shared" si="31"/>
        <v>1033.94</v>
      </c>
      <c r="X246" s="180">
        <f t="shared" si="31"/>
        <v>1010.34</v>
      </c>
      <c r="Y246" s="180">
        <f t="shared" si="31"/>
        <v>1021.44</v>
      </c>
      <c r="Z246" s="180">
        <f t="shared" si="31"/>
        <v>1086.94</v>
      </c>
      <c r="AA246" s="180">
        <f t="shared" si="31"/>
        <v>1136.69</v>
      </c>
      <c r="AB246" s="180">
        <f t="shared" si="31"/>
        <v>1300.04</v>
      </c>
      <c r="AC246" s="180">
        <f t="shared" si="31"/>
        <v>1307.6399999999999</v>
      </c>
      <c r="AD246" s="180">
        <f t="shared" si="31"/>
        <v>1431.94</v>
      </c>
      <c r="AE246" s="180">
        <f t="shared" si="31"/>
        <v>1389.44</v>
      </c>
      <c r="AF246" s="180">
        <f t="shared" si="31"/>
        <v>1358.64</v>
      </c>
      <c r="AG246" s="180">
        <f t="shared" si="31"/>
        <v>1320.14</v>
      </c>
      <c r="AH246" s="180">
        <f t="shared" si="31"/>
        <v>1263.24</v>
      </c>
      <c r="AI246" s="180">
        <f t="shared" si="31"/>
        <v>1309.6399999999999</v>
      </c>
      <c r="AJ246" s="180">
        <f t="shared" si="31"/>
        <v>1296.3400000000001</v>
      </c>
      <c r="AK246" s="180">
        <f t="shared" si="31"/>
        <v>1394.14</v>
      </c>
      <c r="AL246" s="180">
        <f t="shared" si="31"/>
        <v>1377.3400000000001</v>
      </c>
      <c r="AM246" s="180">
        <f t="shared" si="31"/>
        <v>1414.8400000000001</v>
      </c>
      <c r="AN246" s="180">
        <f t="shared" si="31"/>
        <v>1348.2400000000002</v>
      </c>
      <c r="AO246" s="180">
        <f t="shared" si="31"/>
        <v>1455.3400000000001</v>
      </c>
      <c r="AP246" s="180">
        <f t="shared" si="31"/>
        <v>1461.74</v>
      </c>
      <c r="AQ246" s="180">
        <f t="shared" si="31"/>
        <v>1509.04</v>
      </c>
      <c r="AR246" s="180">
        <f t="shared" si="31"/>
        <v>1578.24</v>
      </c>
      <c r="AS246" s="180">
        <f t="shared" si="31"/>
        <v>1553.8400000000001</v>
      </c>
      <c r="AT246" s="180">
        <f t="shared" si="31"/>
        <v>1458.6399999999999</v>
      </c>
      <c r="AU246" s="180">
        <f t="shared" si="31"/>
        <v>1377.54</v>
      </c>
      <c r="AV246" s="180">
        <f t="shared" si="31"/>
        <v>1329.6399999999999</v>
      </c>
      <c r="AW246" s="180">
        <f t="shared" si="31"/>
        <v>1179.04</v>
      </c>
      <c r="AX246" s="180">
        <f t="shared" si="31"/>
        <v>1167.44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2">C231</f>
        <v>0.64</v>
      </c>
      <c r="C267" s="183">
        <f t="shared" si="32"/>
        <v>0.64</v>
      </c>
      <c r="D267" s="183">
        <f t="shared" si="32"/>
        <v>0.64</v>
      </c>
      <c r="E267" s="183">
        <f t="shared" si="32"/>
        <v>0.64</v>
      </c>
      <c r="F267" s="183">
        <f t="shared" si="32"/>
        <v>0.64</v>
      </c>
      <c r="G267" s="183">
        <f t="shared" si="32"/>
        <v>0.64</v>
      </c>
      <c r="H267" s="183">
        <f t="shared" si="32"/>
        <v>0.64</v>
      </c>
      <c r="I267" s="183">
        <f t="shared" si="32"/>
        <v>0.64</v>
      </c>
      <c r="J267" s="183">
        <f t="shared" si="32"/>
        <v>0.64</v>
      </c>
      <c r="K267" s="183">
        <f t="shared" si="32"/>
        <v>0.64</v>
      </c>
      <c r="L267" s="183">
        <f t="shared" si="32"/>
        <v>0.64</v>
      </c>
      <c r="M267" s="183">
        <f t="shared" si="32"/>
        <v>0.64</v>
      </c>
      <c r="N267" s="183">
        <f t="shared" si="32"/>
        <v>0.64</v>
      </c>
      <c r="O267" s="183">
        <f t="shared" si="32"/>
        <v>0.64</v>
      </c>
      <c r="P267" s="183">
        <f t="shared" si="32"/>
        <v>0</v>
      </c>
      <c r="Q267" s="183">
        <f t="shared" si="32"/>
        <v>0</v>
      </c>
      <c r="R267" s="183">
        <f t="shared" si="32"/>
        <v>0</v>
      </c>
      <c r="S267" s="183">
        <f t="shared" si="32"/>
        <v>0</v>
      </c>
      <c r="T267" s="183">
        <f t="shared" si="32"/>
        <v>0</v>
      </c>
      <c r="U267" s="183">
        <f t="shared" si="32"/>
        <v>0</v>
      </c>
      <c r="V267" s="183">
        <f t="shared" si="32"/>
        <v>0</v>
      </c>
      <c r="W267" s="183">
        <f t="shared" si="32"/>
        <v>0</v>
      </c>
      <c r="X267" s="183">
        <f t="shared" si="32"/>
        <v>0</v>
      </c>
      <c r="Y267" s="183">
        <f t="shared" si="32"/>
        <v>0</v>
      </c>
      <c r="Z267" s="183">
        <f t="shared" si="32"/>
        <v>0</v>
      </c>
      <c r="AA267" s="183">
        <f t="shared" si="32"/>
        <v>0</v>
      </c>
      <c r="AB267" s="183">
        <f t="shared" si="32"/>
        <v>0</v>
      </c>
      <c r="AC267" s="183">
        <f t="shared" si="32"/>
        <v>0</v>
      </c>
      <c r="AD267" s="183">
        <f t="shared" si="32"/>
        <v>0</v>
      </c>
      <c r="AE267" s="183">
        <f t="shared" si="3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3">IF(B235&lt;100,"",B235-520)</f>
        <v/>
      </c>
      <c r="C268" s="184" t="str">
        <f t="shared" si="33"/>
        <v/>
      </c>
      <c r="D268" s="184" t="str">
        <f t="shared" si="33"/>
        <v/>
      </c>
      <c r="E268" s="184" t="str">
        <f t="shared" si="33"/>
        <v/>
      </c>
      <c r="F268" s="184" t="str">
        <f t="shared" si="33"/>
        <v/>
      </c>
      <c r="G268" s="184" t="str">
        <f t="shared" si="33"/>
        <v/>
      </c>
      <c r="H268" s="184" t="str">
        <f t="shared" si="33"/>
        <v/>
      </c>
      <c r="I268" s="184" t="str">
        <f t="shared" si="33"/>
        <v/>
      </c>
      <c r="J268" s="184" t="str">
        <f t="shared" si="33"/>
        <v/>
      </c>
      <c r="K268" s="184" t="str">
        <f t="shared" si="33"/>
        <v/>
      </c>
      <c r="L268" s="184" t="str">
        <f t="shared" si="33"/>
        <v/>
      </c>
      <c r="M268" s="184" t="str">
        <f t="shared" si="33"/>
        <v/>
      </c>
      <c r="N268" s="184" t="str">
        <f t="shared" si="33"/>
        <v/>
      </c>
      <c r="O268" s="184" t="str">
        <f t="shared" si="33"/>
        <v/>
      </c>
      <c r="P268" s="184" t="str">
        <f t="shared" si="33"/>
        <v/>
      </c>
      <c r="Q268" s="184" t="str">
        <f t="shared" si="33"/>
        <v/>
      </c>
      <c r="R268" s="184" t="str">
        <f t="shared" si="33"/>
        <v/>
      </c>
      <c r="S268" s="184" t="str">
        <f t="shared" si="33"/>
        <v/>
      </c>
      <c r="T268" s="184" t="str">
        <f t="shared" si="33"/>
        <v/>
      </c>
      <c r="U268" s="184" t="str">
        <f t="shared" si="33"/>
        <v/>
      </c>
      <c r="V268" s="184" t="str">
        <f t="shared" si="33"/>
        <v/>
      </c>
      <c r="W268" s="184" t="str">
        <f t="shared" si="33"/>
        <v/>
      </c>
      <c r="X268" s="184" t="str">
        <f t="shared" si="33"/>
        <v/>
      </c>
      <c r="Y268" s="184" t="str">
        <f t="shared" si="33"/>
        <v/>
      </c>
      <c r="Z268" s="184" t="str">
        <f t="shared" si="33"/>
        <v/>
      </c>
      <c r="AA268" s="184" t="str">
        <f t="shared" si="33"/>
        <v/>
      </c>
      <c r="AB268" s="184" t="str">
        <f t="shared" si="33"/>
        <v/>
      </c>
      <c r="AC268" s="184" t="str">
        <f t="shared" si="33"/>
        <v/>
      </c>
      <c r="AD268" s="184" t="str">
        <f t="shared" si="33"/>
        <v/>
      </c>
      <c r="AE268" s="184" t="str">
        <f t="shared" si="33"/>
        <v/>
      </c>
      <c r="AF268" s="184" t="str">
        <f t="shared" si="3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4">IF(B236&lt;100,"",B236-620)</f>
        <v/>
      </c>
      <c r="C269" s="184" t="str">
        <f t="shared" si="34"/>
        <v/>
      </c>
      <c r="D269" s="184" t="str">
        <f t="shared" si="34"/>
        <v/>
      </c>
      <c r="E269" s="184" t="str">
        <f t="shared" si="34"/>
        <v/>
      </c>
      <c r="F269" s="184" t="str">
        <f t="shared" si="34"/>
        <v/>
      </c>
      <c r="G269" s="184" t="str">
        <f t="shared" si="34"/>
        <v/>
      </c>
      <c r="H269" s="184" t="str">
        <f t="shared" si="34"/>
        <v/>
      </c>
      <c r="I269" s="184" t="str">
        <f t="shared" si="34"/>
        <v/>
      </c>
      <c r="J269" s="184" t="str">
        <f t="shared" si="34"/>
        <v/>
      </c>
      <c r="K269" s="184" t="str">
        <f t="shared" si="34"/>
        <v/>
      </c>
      <c r="L269" s="184" t="str">
        <f t="shared" si="34"/>
        <v/>
      </c>
      <c r="M269" s="184" t="str">
        <f t="shared" si="34"/>
        <v/>
      </c>
      <c r="N269" s="184" t="str">
        <f t="shared" si="34"/>
        <v/>
      </c>
      <c r="O269" s="184" t="str">
        <f t="shared" si="34"/>
        <v/>
      </c>
      <c r="P269" s="184" t="str">
        <f t="shared" si="34"/>
        <v/>
      </c>
      <c r="Q269" s="184" t="str">
        <f t="shared" si="34"/>
        <v/>
      </c>
      <c r="R269" s="184" t="str">
        <f t="shared" si="34"/>
        <v/>
      </c>
      <c r="S269" s="184" t="str">
        <f t="shared" si="34"/>
        <v/>
      </c>
      <c r="T269" s="184" t="str">
        <f t="shared" si="34"/>
        <v/>
      </c>
      <c r="U269" s="184" t="str">
        <f t="shared" si="34"/>
        <v/>
      </c>
      <c r="V269" s="184" t="str">
        <f t="shared" si="34"/>
        <v/>
      </c>
      <c r="W269" s="184" t="str">
        <f t="shared" si="34"/>
        <v/>
      </c>
      <c r="X269" s="184" t="str">
        <f t="shared" si="34"/>
        <v/>
      </c>
      <c r="Y269" s="184" t="str">
        <f t="shared" si="34"/>
        <v/>
      </c>
      <c r="Z269" s="184" t="str">
        <f t="shared" si="34"/>
        <v/>
      </c>
      <c r="AA269" s="184" t="str">
        <f t="shared" si="34"/>
        <v/>
      </c>
      <c r="AB269" s="184" t="str">
        <f t="shared" si="34"/>
        <v/>
      </c>
      <c r="AC269" s="184" t="str">
        <f t="shared" si="34"/>
        <v/>
      </c>
      <c r="AD269" s="184" t="str">
        <f t="shared" si="34"/>
        <v/>
      </c>
      <c r="AE269" s="184" t="str">
        <f t="shared" si="34"/>
        <v/>
      </c>
      <c r="AF269" s="184" t="str">
        <f t="shared" si="3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5">IF(B237&lt;100,"",B237-330)</f>
        <v/>
      </c>
      <c r="C270" s="184" t="str">
        <f t="shared" si="35"/>
        <v/>
      </c>
      <c r="D270" s="184" t="str">
        <f t="shared" si="35"/>
        <v/>
      </c>
      <c r="E270" s="184" t="str">
        <f t="shared" si="35"/>
        <v/>
      </c>
      <c r="F270" s="184" t="str">
        <f t="shared" si="35"/>
        <v/>
      </c>
      <c r="G270" s="184" t="str">
        <f t="shared" si="35"/>
        <v/>
      </c>
      <c r="H270" s="184" t="str">
        <f t="shared" si="35"/>
        <v/>
      </c>
      <c r="I270" s="184" t="str">
        <f t="shared" si="35"/>
        <v/>
      </c>
      <c r="J270" s="184" t="str">
        <f t="shared" si="35"/>
        <v/>
      </c>
      <c r="K270" s="184" t="str">
        <f t="shared" si="35"/>
        <v/>
      </c>
      <c r="L270" s="184" t="str">
        <f t="shared" si="35"/>
        <v/>
      </c>
      <c r="M270" s="184" t="str">
        <f t="shared" si="35"/>
        <v/>
      </c>
      <c r="N270" s="184" t="str">
        <f t="shared" si="35"/>
        <v/>
      </c>
      <c r="O270" s="184" t="str">
        <f t="shared" si="35"/>
        <v/>
      </c>
      <c r="P270" s="184" t="str">
        <f t="shared" si="35"/>
        <v/>
      </c>
      <c r="Q270" s="184" t="str">
        <f t="shared" si="35"/>
        <v/>
      </c>
      <c r="R270" s="184" t="str">
        <f t="shared" si="35"/>
        <v/>
      </c>
      <c r="S270" s="184" t="str">
        <f t="shared" si="35"/>
        <v/>
      </c>
      <c r="T270" s="184" t="str">
        <f t="shared" si="35"/>
        <v/>
      </c>
      <c r="U270" s="184" t="str">
        <f t="shared" si="35"/>
        <v/>
      </c>
      <c r="V270" s="184" t="str">
        <f t="shared" si="35"/>
        <v/>
      </c>
      <c r="W270" s="184" t="str">
        <f t="shared" si="35"/>
        <v/>
      </c>
      <c r="X270" s="184" t="str">
        <f t="shared" si="35"/>
        <v/>
      </c>
      <c r="Y270" s="184" t="str">
        <f t="shared" si="35"/>
        <v/>
      </c>
      <c r="Z270" s="184" t="str">
        <f t="shared" si="35"/>
        <v/>
      </c>
      <c r="AA270" s="184" t="str">
        <f t="shared" si="35"/>
        <v/>
      </c>
      <c r="AB270" s="184" t="str">
        <f t="shared" si="35"/>
        <v/>
      </c>
      <c r="AC270" s="184" t="str">
        <f t="shared" si="35"/>
        <v/>
      </c>
      <c r="AD270" s="184" t="str">
        <f t="shared" si="35"/>
        <v/>
      </c>
      <c r="AE270" s="184" t="str">
        <f t="shared" si="35"/>
        <v/>
      </c>
      <c r="AF270" s="184" t="str">
        <f t="shared" si="3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6">IF(B238&lt;100,"",B238-1500)</f>
        <v/>
      </c>
      <c r="C271" s="184" t="str">
        <f t="shared" si="36"/>
        <v/>
      </c>
      <c r="D271" s="184" t="str">
        <f t="shared" si="36"/>
        <v/>
      </c>
      <c r="E271" s="184" t="str">
        <f t="shared" si="36"/>
        <v/>
      </c>
      <c r="F271" s="184" t="str">
        <f t="shared" si="36"/>
        <v/>
      </c>
      <c r="G271" s="184" t="str">
        <f t="shared" si="36"/>
        <v/>
      </c>
      <c r="H271" s="184" t="str">
        <f t="shared" si="36"/>
        <v/>
      </c>
      <c r="I271" s="184" t="str">
        <f t="shared" si="36"/>
        <v/>
      </c>
      <c r="J271" s="184" t="str">
        <f t="shared" si="36"/>
        <v/>
      </c>
      <c r="K271" s="184" t="str">
        <f t="shared" si="36"/>
        <v/>
      </c>
      <c r="L271" s="184" t="str">
        <f t="shared" si="36"/>
        <v/>
      </c>
      <c r="M271" s="184" t="str">
        <f t="shared" si="36"/>
        <v/>
      </c>
      <c r="N271" s="184" t="str">
        <f t="shared" si="36"/>
        <v/>
      </c>
      <c r="O271" s="184" t="str">
        <f t="shared" si="36"/>
        <v/>
      </c>
      <c r="P271" s="184" t="str">
        <f t="shared" si="36"/>
        <v/>
      </c>
      <c r="Q271" s="184" t="str">
        <f t="shared" si="36"/>
        <v/>
      </c>
      <c r="R271" s="184" t="str">
        <f t="shared" si="36"/>
        <v/>
      </c>
      <c r="S271" s="184" t="str">
        <f t="shared" si="36"/>
        <v/>
      </c>
      <c r="T271" s="184" t="str">
        <f t="shared" si="36"/>
        <v/>
      </c>
      <c r="U271" s="184" t="str">
        <f t="shared" si="36"/>
        <v/>
      </c>
      <c r="V271" s="184" t="str">
        <f t="shared" si="36"/>
        <v/>
      </c>
      <c r="W271" s="184" t="str">
        <f t="shared" si="36"/>
        <v/>
      </c>
      <c r="X271" s="184" t="str">
        <f t="shared" si="36"/>
        <v/>
      </c>
      <c r="Y271" s="184" t="str">
        <f t="shared" si="36"/>
        <v/>
      </c>
      <c r="Z271" s="184" t="str">
        <f t="shared" si="36"/>
        <v/>
      </c>
      <c r="AA271" s="184" t="str">
        <f t="shared" si="36"/>
        <v/>
      </c>
      <c r="AB271" s="184" t="str">
        <f t="shared" si="36"/>
        <v/>
      </c>
      <c r="AC271" s="184" t="str">
        <f t="shared" si="36"/>
        <v/>
      </c>
      <c r="AD271" s="184" t="str">
        <f t="shared" si="36"/>
        <v/>
      </c>
      <c r="AE271" s="184" t="str">
        <f t="shared" si="36"/>
        <v/>
      </c>
      <c r="AF271" s="184" t="str">
        <f t="shared" si="3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6419" priority="344">
      <formula>B$9&gt;=20/24</formula>
    </cfRule>
    <cfRule type="expression" dxfId="6418" priority="345">
      <formula>AND(B$9&gt;=14/24,B$9&lt;20/24)</formula>
    </cfRule>
    <cfRule type="expression" dxfId="6417" priority="346">
      <formula>AND(B$9&gt;=8/24,B$9&lt;14/24)</formula>
    </cfRule>
    <cfRule type="expression" dxfId="6416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6415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6414" priority="341">
      <formula>$AH12=0</formula>
    </cfRule>
  </conditionalFormatting>
  <conditionalFormatting sqref="A114">
    <cfRule type="expression" dxfId="6413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412" priority="338">
      <formula>$AH45=0</formula>
    </cfRule>
  </conditionalFormatting>
  <conditionalFormatting sqref="A98">
    <cfRule type="expression" dxfId="6411" priority="337">
      <formula>$AH98=0</formula>
    </cfRule>
  </conditionalFormatting>
  <conditionalFormatting sqref="A18">
    <cfRule type="expression" dxfId="6410" priority="336">
      <formula>$AH18=0</formula>
    </cfRule>
  </conditionalFormatting>
  <conditionalFormatting sqref="A196:A201">
    <cfRule type="expression" dxfId="6409" priority="335">
      <formula>$AH196=0</formula>
    </cfRule>
  </conditionalFormatting>
  <conditionalFormatting sqref="A190:A195">
    <cfRule type="expression" dxfId="6408" priority="334">
      <formula>$AH190=0</formula>
    </cfRule>
  </conditionalFormatting>
  <conditionalFormatting sqref="A58">
    <cfRule type="expression" dxfId="6407" priority="333">
      <formula>$AH58=0</formula>
    </cfRule>
  </conditionalFormatting>
  <conditionalFormatting sqref="A94">
    <cfRule type="expression" dxfId="6406" priority="332">
      <formula>$AH94=0</formula>
    </cfRule>
  </conditionalFormatting>
  <conditionalFormatting sqref="E99:X99 AD99:AF99">
    <cfRule type="expression" dxfId="6405" priority="328">
      <formula>E$9&gt;=20/24</formula>
    </cfRule>
    <cfRule type="expression" dxfId="6404" priority="329">
      <formula>AND(E$9&gt;=14/24,E$9&lt;20/24)</formula>
    </cfRule>
    <cfRule type="expression" dxfId="6403" priority="330">
      <formula>AND(E$9&gt;=8/24,E$9&lt;14/24)</formula>
    </cfRule>
    <cfRule type="expression" dxfId="6402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401" priority="350">
      <formula>C$9&gt;=20/24</formula>
    </cfRule>
    <cfRule type="expression" dxfId="6400" priority="351">
      <formula>AND(C$9&gt;=14/24,C$9&lt;20/24)</formula>
    </cfRule>
    <cfRule type="expression" dxfId="6399" priority="352">
      <formula>AND(C$9&gt;=8/24,C$9&lt;14/24)</formula>
    </cfRule>
    <cfRule type="expression" dxfId="6398" priority="353">
      <formula>C$9&lt;8/24</formula>
    </cfRule>
  </conditionalFormatting>
  <conditionalFormatting sqref="A233">
    <cfRule type="expression" dxfId="6397" priority="354">
      <formula>$AH233=0</formula>
    </cfRule>
  </conditionalFormatting>
  <conditionalFormatting sqref="AG245">
    <cfRule type="expression" dxfId="6396" priority="355">
      <formula>B$9&gt;=20/24</formula>
    </cfRule>
    <cfRule type="expression" dxfId="6395" priority="356">
      <formula>AND(B$9&gt;=14/24,B$9&lt;20/24)</formula>
    </cfRule>
    <cfRule type="expression" dxfId="6394" priority="357">
      <formula>AND(B$9&gt;=8/24,B$9&lt;14/24)</formula>
    </cfRule>
    <cfRule type="expression" dxfId="6393" priority="358">
      <formula>B$9&lt;8/24</formula>
    </cfRule>
  </conditionalFormatting>
  <conditionalFormatting sqref="S8">
    <cfRule type="expression" dxfId="6392" priority="323">
      <formula>U$9&gt;=20/24</formula>
    </cfRule>
    <cfRule type="expression" dxfId="6391" priority="324">
      <formula>AND(U$9&gt;=14/24,U$9&lt;20/24)</formula>
    </cfRule>
    <cfRule type="expression" dxfId="6390" priority="325">
      <formula>AND(U$9&gt;=8/24,U$9&lt;14/24)</formula>
    </cfRule>
    <cfRule type="expression" dxfId="6389" priority="326">
      <formula>U$9&lt;8/24</formula>
    </cfRule>
  </conditionalFormatting>
  <conditionalFormatting sqref="AB8">
    <cfRule type="expression" dxfId="6388" priority="319">
      <formula>AD$9&gt;=20/24</formula>
    </cfRule>
    <cfRule type="expression" dxfId="6387" priority="320">
      <formula>AND(AD$9&gt;=14/24,AD$9&lt;20/24)</formula>
    </cfRule>
    <cfRule type="expression" dxfId="6386" priority="321">
      <formula>AND(AD$9&gt;=8/24,AD$9&lt;14/24)</formula>
    </cfRule>
    <cfRule type="expression" dxfId="6385" priority="322">
      <formula>AD$9&lt;8/24</formula>
    </cfRule>
  </conditionalFormatting>
  <conditionalFormatting sqref="AH245:AX245">
    <cfRule type="expression" dxfId="6384" priority="359">
      <formula>AG$9&gt;=20/24</formula>
    </cfRule>
    <cfRule type="expression" dxfId="6383" priority="360">
      <formula>AND(AG$9&gt;=14/24,AG$9&lt;20/24)</formula>
    </cfRule>
    <cfRule type="expression" dxfId="6382" priority="361">
      <formula>AND(AG$9&gt;=8/24,AG$9&lt;14/24)</formula>
    </cfRule>
    <cfRule type="expression" dxfId="6381" priority="362">
      <formula>AG$9&lt;8/24</formula>
    </cfRule>
  </conditionalFormatting>
  <conditionalFormatting sqref="T245">
    <cfRule type="expression" dxfId="6380" priority="363">
      <formula>AX$9&gt;=20/24</formula>
    </cfRule>
    <cfRule type="expression" dxfId="6379" priority="364">
      <formula>AND(AX$9&gt;=14/24,AX$9&lt;20/24)</formula>
    </cfRule>
    <cfRule type="expression" dxfId="6378" priority="365">
      <formula>AND(AX$9&gt;=8/24,AX$9&lt;14/24)</formula>
    </cfRule>
    <cfRule type="expression" dxfId="6377" priority="366">
      <formula>AX$9&lt;8/24</formula>
    </cfRule>
  </conditionalFormatting>
  <conditionalFormatting sqref="A115:A116">
    <cfRule type="expression" dxfId="6376" priority="318">
      <formula>$AH115=0</formula>
    </cfRule>
  </conditionalFormatting>
  <conditionalFormatting sqref="N57:N58 M56:N56 M54:Q55 O56:T58 U58:V58 E71:AF71">
    <cfRule type="expression" dxfId="6375" priority="314">
      <formula>E$9&gt;=20/24</formula>
    </cfRule>
    <cfRule type="expression" dxfId="6374" priority="315">
      <formula>AND(E$9&gt;=14/24,E$9&lt;20/24)</formula>
    </cfRule>
    <cfRule type="expression" dxfId="6373" priority="316">
      <formula>AND(E$9&gt;=8/24,E$9&lt;14/24)</formula>
    </cfRule>
    <cfRule type="expression" dxfId="6372" priority="317">
      <formula>E$9&lt;8/24</formula>
    </cfRule>
  </conditionalFormatting>
  <conditionalFormatting sqref="AF53 M53:Q53">
    <cfRule type="expression" dxfId="6371" priority="310">
      <formula>M$9&gt;=20/24</formula>
    </cfRule>
    <cfRule type="expression" dxfId="6370" priority="311">
      <formula>AND(M$9&gt;=14/24,M$9&lt;20/24)</formula>
    </cfRule>
    <cfRule type="expression" dxfId="6369" priority="312">
      <formula>AND(M$9&gt;=8/24,M$9&lt;14/24)</formula>
    </cfRule>
    <cfRule type="expression" dxfId="6368" priority="313">
      <formula>M$9&lt;8/24</formula>
    </cfRule>
  </conditionalFormatting>
  <conditionalFormatting sqref="N57:N58 AF53 M56:N56 M53:Q55 O56:T58 U58:V58">
    <cfRule type="expression" dxfId="6367" priority="309">
      <formula>M53&gt;$AG53</formula>
    </cfRule>
  </conditionalFormatting>
  <conditionalFormatting sqref="AD72:AF74 AE67:AF69 M100:X106 D86:AF86 X96:AF96 X47:AF47 E72:AC73 AD100:AF106">
    <cfRule type="expression" dxfId="6366" priority="305">
      <formula>D$9&gt;=20/24</formula>
    </cfRule>
    <cfRule type="expression" dxfId="6365" priority="306">
      <formula>AND(D$9&gt;=14/24,D$9&lt;20/24)</formula>
    </cfRule>
    <cfRule type="expression" dxfId="6364" priority="307">
      <formula>AND(D$9&gt;=8/24,D$9&lt;14/24)</formula>
    </cfRule>
    <cfRule type="expression" dxfId="6363" priority="308">
      <formula>D$9&lt;8/24</formula>
    </cfRule>
  </conditionalFormatting>
  <conditionalFormatting sqref="AE67:AF69 X47:AF47">
    <cfRule type="expression" dxfId="6362" priority="304">
      <formula>X47&gt;$AG47</formula>
    </cfRule>
  </conditionalFormatting>
  <conditionalFormatting sqref="R53:T55 U53:V57 AF54:AF58 W53:AE58">
    <cfRule type="expression" dxfId="6361" priority="300">
      <formula>R$9&gt;=20/24</formula>
    </cfRule>
    <cfRule type="expression" dxfId="6360" priority="301">
      <formula>AND(R$9&gt;=14/24,R$9&lt;20/24)</formula>
    </cfRule>
    <cfRule type="expression" dxfId="6359" priority="302">
      <formula>AND(R$9&gt;=8/24,R$9&lt;14/24)</formula>
    </cfRule>
    <cfRule type="expression" dxfId="6358" priority="303">
      <formula>R$9&lt;8/24</formula>
    </cfRule>
  </conditionalFormatting>
  <conditionalFormatting sqref="R53:T55 U53:V57 AF54:AF58 W53:AE58">
    <cfRule type="expression" dxfId="6357" priority="299">
      <formula>R53&gt;$AG53</formula>
    </cfRule>
  </conditionalFormatting>
  <conditionalFormatting sqref="C97:AF97 D88:AF88">
    <cfRule type="expression" dxfId="6356" priority="295">
      <formula>C$9&gt;=20/24</formula>
    </cfRule>
    <cfRule type="expression" dxfId="6355" priority="296">
      <formula>AND(C$9&gt;=14/24,C$9&lt;20/24)</formula>
    </cfRule>
    <cfRule type="expression" dxfId="6354" priority="297">
      <formula>AND(C$9&gt;=8/24,C$9&lt;14/24)</formula>
    </cfRule>
    <cfRule type="expression" dxfId="6353" priority="298">
      <formula>C$9&lt;8/24</formula>
    </cfRule>
  </conditionalFormatting>
  <conditionalFormatting sqref="T47:W47">
    <cfRule type="expression" dxfId="6352" priority="291">
      <formula>T$9&gt;=20/24</formula>
    </cfRule>
    <cfRule type="expression" dxfId="6351" priority="292">
      <formula>AND(T$9&gt;=14/24,T$9&lt;20/24)</formula>
    </cfRule>
    <cfRule type="expression" dxfId="6350" priority="293">
      <formula>AND(T$9&gt;=8/24,T$9&lt;14/24)</formula>
    </cfRule>
    <cfRule type="expression" dxfId="6349" priority="294">
      <formula>T$9&lt;8/24</formula>
    </cfRule>
  </conditionalFormatting>
  <conditionalFormatting sqref="T47:W47">
    <cfRule type="expression" dxfId="6348" priority="290">
      <formula>T47&gt;$AG47</formula>
    </cfRule>
  </conditionalFormatting>
  <conditionalFormatting sqref="H54:L55">
    <cfRule type="expression" dxfId="6347" priority="286">
      <formula>H$9&gt;=20/24</formula>
    </cfRule>
    <cfRule type="expression" dxfId="6346" priority="287">
      <formula>AND(H$9&gt;=14/24,H$9&lt;20/24)</formula>
    </cfRule>
    <cfRule type="expression" dxfId="6345" priority="288">
      <formula>AND(H$9&gt;=8/24,H$9&lt;14/24)</formula>
    </cfRule>
    <cfRule type="expression" dxfId="6344" priority="289">
      <formula>H$9&lt;8/24</formula>
    </cfRule>
  </conditionalFormatting>
  <conditionalFormatting sqref="H53:L53">
    <cfRule type="expression" dxfId="6343" priority="282">
      <formula>H$9&gt;=20/24</formula>
    </cfRule>
    <cfRule type="expression" dxfId="6342" priority="283">
      <formula>AND(H$9&gt;=14/24,H$9&lt;20/24)</formula>
    </cfRule>
    <cfRule type="expression" dxfId="6341" priority="284">
      <formula>AND(H$9&gt;=8/24,H$9&lt;14/24)</formula>
    </cfRule>
    <cfRule type="expression" dxfId="6340" priority="285">
      <formula>H$9&lt;8/24</formula>
    </cfRule>
  </conditionalFormatting>
  <conditionalFormatting sqref="H53:L55">
    <cfRule type="expression" dxfId="6339" priority="281">
      <formula>H53&gt;$AG53</formula>
    </cfRule>
  </conditionalFormatting>
  <conditionalFormatting sqref="AG70 AG87 I100:L106 R67:AD69">
    <cfRule type="expression" dxfId="6338" priority="277">
      <formula>I$9&gt;=20/24</formula>
    </cfRule>
    <cfRule type="expression" dxfId="6337" priority="278">
      <formula>AND(I$9&gt;=14/24,I$9&lt;20/24)</formula>
    </cfRule>
    <cfRule type="expression" dxfId="6336" priority="279">
      <formula>AND(I$9&gt;=8/24,I$9&lt;14/24)</formula>
    </cfRule>
    <cfRule type="expression" dxfId="6335" priority="280">
      <formula>I$9&lt;8/24</formula>
    </cfRule>
  </conditionalFormatting>
  <conditionalFormatting sqref="AG48 AG66 AG70 R67:AD69">
    <cfRule type="expression" dxfId="6334" priority="276">
      <formula>R48&gt;$AG48</formula>
    </cfRule>
  </conditionalFormatting>
  <conditionalFormatting sqref="A43">
    <cfRule type="expression" dxfId="6333" priority="270">
      <formula>$AH43=0</formula>
    </cfRule>
  </conditionalFormatting>
  <conditionalFormatting sqref="X91:AF95">
    <cfRule type="expression" dxfId="6332" priority="266">
      <formula>X$9&gt;=20/24</formula>
    </cfRule>
    <cfRule type="expression" dxfId="6331" priority="267">
      <formula>AND(X$9&gt;=14/24,X$9&lt;20/24)</formula>
    </cfRule>
    <cfRule type="expression" dxfId="6330" priority="268">
      <formula>AND(X$9&gt;=8/24,X$9&lt;14/24)</formula>
    </cfRule>
    <cfRule type="expression" dxfId="6329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H49:Q49 M50:Q51 R49:AF51">
    <cfRule type="expression" dxfId="6328" priority="262">
      <formula>H$9&gt;=20/24</formula>
    </cfRule>
    <cfRule type="expression" dxfId="6327" priority="263">
      <formula>AND(H$9&gt;=14/24,H$9&lt;20/24)</formula>
    </cfRule>
    <cfRule type="expression" dxfId="6326" priority="264">
      <formula>AND(H$9&gt;=8/24,H$9&lt;14/24)</formula>
    </cfRule>
    <cfRule type="expression" dxfId="6325" priority="265">
      <formula>H$9&lt;8/24</formula>
    </cfRule>
  </conditionalFormatting>
  <conditionalFormatting sqref="H49:Q49 M50:Q51 R49:AF51">
    <cfRule type="expression" dxfId="6324" priority="261">
      <formula>H49&gt;$AG49</formula>
    </cfRule>
  </conditionalFormatting>
  <conditionalFormatting sqref="AG52">
    <cfRule type="expression" dxfId="6323" priority="257">
      <formula>AG$9&gt;=20/24</formula>
    </cfRule>
    <cfRule type="expression" dxfId="6322" priority="258">
      <formula>AND(AG$9&gt;=14/24,AG$9&lt;20/24)</formula>
    </cfRule>
    <cfRule type="expression" dxfId="6321" priority="259">
      <formula>AND(AG$9&gt;=8/24,AG$9&lt;14/24)</formula>
    </cfRule>
    <cfRule type="expression" dxfId="6320" priority="260">
      <formula>AG$9&lt;8/24</formula>
    </cfRule>
  </conditionalFormatting>
  <conditionalFormatting sqref="AG52">
    <cfRule type="expression" dxfId="6319" priority="256">
      <formula>AG52&gt;$AG52</formula>
    </cfRule>
  </conditionalFormatting>
  <conditionalFormatting sqref="C107:AF107">
    <cfRule type="expression" dxfId="6318" priority="252">
      <formula>C$9&gt;=20/24</formula>
    </cfRule>
    <cfRule type="expression" dxfId="6317" priority="253">
      <formula>AND(C$9&gt;=14/24,C$9&lt;20/24)</formula>
    </cfRule>
    <cfRule type="expression" dxfId="6316" priority="254">
      <formula>AND(C$9&gt;=8/24,C$9&lt;14/24)</formula>
    </cfRule>
    <cfRule type="expression" dxfId="6315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314" priority="250">
      <formula>$AH40=0</formula>
    </cfRule>
  </conditionalFormatting>
  <conditionalFormatting sqref="A90">
    <cfRule type="expression" dxfId="6313" priority="248">
      <formula>$AH90=0</formula>
    </cfRule>
  </conditionalFormatting>
  <conditionalFormatting sqref="A87">
    <cfRule type="expression" dxfId="6312" priority="249">
      <formula>$AH87=0</formula>
    </cfRule>
  </conditionalFormatting>
  <conditionalFormatting sqref="D110:AF110">
    <cfRule type="expression" dxfId="6311" priority="244">
      <formula>D$9&gt;=20/24</formula>
    </cfRule>
    <cfRule type="expression" dxfId="6310" priority="245">
      <formula>AND(D$9&gt;=14/24,D$9&lt;20/24)</formula>
    </cfRule>
    <cfRule type="expression" dxfId="6309" priority="246">
      <formula>AND(D$9&gt;=8/24,D$9&lt;14/24)</formula>
    </cfRule>
    <cfRule type="expression" dxfId="6308" priority="247">
      <formula>D$9&lt;8/24</formula>
    </cfRule>
  </conditionalFormatting>
  <conditionalFormatting sqref="A110">
    <cfRule type="expression" dxfId="6307" priority="243">
      <formula>$AH110=0</formula>
    </cfRule>
  </conditionalFormatting>
  <conditionalFormatting sqref="A21">
    <cfRule type="expression" dxfId="6306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305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6304" priority="235">
      <formula>Y$9&gt;=20/24</formula>
    </cfRule>
    <cfRule type="expression" dxfId="6303" priority="236">
      <formula>AND(Y$9&gt;=14/24,Y$9&lt;20/24)</formula>
    </cfRule>
    <cfRule type="expression" dxfId="6302" priority="237">
      <formula>AND(Y$9&gt;=8/24,Y$9&lt;14/24)</formula>
    </cfRule>
    <cfRule type="expression" dxfId="6301" priority="238">
      <formula>Y$9&lt;8/24</formula>
    </cfRule>
  </conditionalFormatting>
  <conditionalFormatting sqref="Y100:AC106">
    <cfRule type="expression" dxfId="6300" priority="231">
      <formula>Y$9&gt;=20/24</formula>
    </cfRule>
    <cfRule type="expression" dxfId="6299" priority="232">
      <formula>AND(Y$9&gt;=14/24,Y$9&lt;20/24)</formula>
    </cfRule>
    <cfRule type="expression" dxfId="6298" priority="233">
      <formula>AND(Y$9&gt;=8/24,Y$9&lt;14/24)</formula>
    </cfRule>
    <cfRule type="expression" dxfId="6297" priority="234">
      <formula>Y$9&lt;8/24</formula>
    </cfRule>
  </conditionalFormatting>
  <conditionalFormatting sqref="C109 C111:C116 Z34:AF42 Z17:AF32">
    <cfRule type="expression" dxfId="6296" priority="227">
      <formula>C$9&gt;=20/24</formula>
    </cfRule>
    <cfRule type="expression" dxfId="6295" priority="228">
      <formula>AND(C$9&gt;=14/24,C$9&lt;20/24)</formula>
    </cfRule>
    <cfRule type="expression" dxfId="6294" priority="229">
      <formula>AND(C$9&gt;=8/24,C$9&lt;14/24)</formula>
    </cfRule>
    <cfRule type="expression" dxfId="6293" priority="230">
      <formula>C$9&lt;8/24</formula>
    </cfRule>
  </conditionalFormatting>
  <conditionalFormatting sqref="C47:S47">
    <cfRule type="expression" dxfId="6292" priority="223">
      <formula>C$9&gt;=20/24</formula>
    </cfRule>
    <cfRule type="expression" dxfId="6291" priority="224">
      <formula>AND(C$9&gt;=14/24,C$9&lt;20/24)</formula>
    </cfRule>
    <cfRule type="expression" dxfId="6290" priority="225">
      <formula>AND(C$9&gt;=8/24,C$9&lt;14/24)</formula>
    </cfRule>
    <cfRule type="expression" dxfId="6289" priority="226">
      <formula>C$9&lt;8/24</formula>
    </cfRule>
  </conditionalFormatting>
  <conditionalFormatting sqref="C47:S47 Z34:AF42 Z17:AF32">
    <cfRule type="expression" dxfId="6288" priority="222">
      <formula>C17&gt;$AG17</formula>
    </cfRule>
  </conditionalFormatting>
  <conditionalFormatting sqref="C99:D99">
    <cfRule type="expression" dxfId="6287" priority="218">
      <formula>C$9&gt;=20/24</formula>
    </cfRule>
    <cfRule type="expression" dxfId="6286" priority="219">
      <formula>AND(C$9&gt;=14/24,C$9&lt;20/24)</formula>
    </cfRule>
    <cfRule type="expression" dxfId="6285" priority="220">
      <formula>AND(C$9&gt;=8/24,C$9&lt;14/24)</formula>
    </cfRule>
    <cfRule type="expression" dxfId="6284" priority="221">
      <formula>C$9&lt;8/24</formula>
    </cfRule>
  </conditionalFormatting>
  <conditionalFormatting sqref="C86 C96:W96 C100:H106 E67:Q69 E74:U75 M76:U76 C83:AF85 V74:AC76 AD75:AF76">
    <cfRule type="expression" dxfId="6283" priority="214">
      <formula>C$9&gt;=20/24</formula>
    </cfRule>
    <cfRule type="expression" dxfId="6282" priority="215">
      <formula>AND(C$9&gt;=14/24,C$9&lt;20/24)</formula>
    </cfRule>
    <cfRule type="expression" dxfId="6281" priority="216">
      <formula>AND(C$9&gt;=8/24,C$9&lt;14/24)</formula>
    </cfRule>
    <cfRule type="expression" dxfId="6280" priority="217">
      <formula>C$9&lt;8/24</formula>
    </cfRule>
  </conditionalFormatting>
  <conditionalFormatting sqref="H56:L57 M57 E67:Q69">
    <cfRule type="expression" dxfId="6279" priority="213">
      <formula>E56&gt;$AG56</formula>
    </cfRule>
  </conditionalFormatting>
  <conditionalFormatting sqref="M58">
    <cfRule type="expression" dxfId="6278" priority="209">
      <formula>M$9&gt;=20/24</formula>
    </cfRule>
    <cfRule type="expression" dxfId="6277" priority="210">
      <formula>AND(M$9&gt;=14/24,M$9&lt;20/24)</formula>
    </cfRule>
    <cfRule type="expression" dxfId="6276" priority="211">
      <formula>AND(M$9&gt;=8/24,M$9&lt;14/24)</formula>
    </cfRule>
    <cfRule type="expression" dxfId="6275" priority="212">
      <formula>M$9&lt;8/24</formula>
    </cfRule>
  </conditionalFormatting>
  <conditionalFormatting sqref="M58">
    <cfRule type="expression" dxfId="6274" priority="208">
      <formula>M58&gt;$AG58</formula>
    </cfRule>
  </conditionalFormatting>
  <conditionalFormatting sqref="B71:D71 B54:G57">
    <cfRule type="expression" dxfId="6273" priority="132">
      <formula>B$9&gt;=20/24</formula>
    </cfRule>
    <cfRule type="expression" dxfId="6272" priority="133">
      <formula>AND(B$9&gt;=14/24,B$9&lt;20/24)</formula>
    </cfRule>
    <cfRule type="expression" dxfId="6271" priority="134">
      <formula>AND(B$9&gt;=8/24,B$9&lt;14/24)</formula>
    </cfRule>
    <cfRule type="expression" dxfId="6270" priority="135">
      <formula>B$9&lt;8/24</formula>
    </cfRule>
  </conditionalFormatting>
  <conditionalFormatting sqref="P46:AF46">
    <cfRule type="expression" dxfId="6269" priority="204">
      <formula>P$9&gt;=20/24</formula>
    </cfRule>
    <cfRule type="expression" dxfId="6268" priority="205">
      <formula>AND(P$9&gt;=14/24,P$9&lt;20/24)</formula>
    </cfRule>
    <cfRule type="expression" dxfId="6267" priority="206">
      <formula>AND(P$9&gt;=8/24,P$9&lt;14/24)</formula>
    </cfRule>
    <cfRule type="expression" dxfId="6266" priority="207">
      <formula>P$9&lt;8/24</formula>
    </cfRule>
  </conditionalFormatting>
  <conditionalFormatting sqref="P46:AF46">
    <cfRule type="expression" dxfId="6265" priority="203">
      <formula>P46&gt;$AG46</formula>
    </cfRule>
  </conditionalFormatting>
  <conditionalFormatting sqref="C87:AF87 C89:AF89 C98:AF98 C70:AF70">
    <cfRule type="expression" dxfId="6264" priority="199">
      <formula>C$9&gt;=20/24</formula>
    </cfRule>
    <cfRule type="expression" dxfId="6263" priority="200">
      <formula>AND(C$9&gt;=14/24,C$9&lt;20/24)</formula>
    </cfRule>
    <cfRule type="expression" dxfId="6262" priority="201">
      <formula>AND(C$9&gt;=8/24,C$9&lt;14/24)</formula>
    </cfRule>
    <cfRule type="expression" dxfId="6261" priority="202">
      <formula>C$9&lt;8/24</formula>
    </cfRule>
  </conditionalFormatting>
  <conditionalFormatting sqref="C70:AF70 C48:AF48 C65:AF66">
    <cfRule type="expression" dxfId="6260" priority="198">
      <formula>C48&gt;$AG48</formula>
    </cfRule>
  </conditionalFormatting>
  <conditionalFormatting sqref="C82:AF82">
    <cfRule type="expression" dxfId="6259" priority="194">
      <formula>C$9&gt;=20/24</formula>
    </cfRule>
    <cfRule type="expression" dxfId="6258" priority="195">
      <formula>AND(C$9&gt;=14/24,C$9&lt;20/24)</formula>
    </cfRule>
    <cfRule type="expression" dxfId="6257" priority="196">
      <formula>AND(C$9&gt;=8/24,C$9&lt;14/24)</formula>
    </cfRule>
    <cfRule type="expression" dxfId="6256" priority="197">
      <formula>C$9&lt;8/24</formula>
    </cfRule>
  </conditionalFormatting>
  <conditionalFormatting sqref="C91:W95">
    <cfRule type="expression" dxfId="6255" priority="190">
      <formula>C$9&gt;=20/24</formula>
    </cfRule>
    <cfRule type="expression" dxfId="6254" priority="191">
      <formula>AND(C$9&gt;=14/24,C$9&lt;20/24)</formula>
    </cfRule>
    <cfRule type="expression" dxfId="6253" priority="192">
      <formula>AND(C$9&gt;=8/24,C$9&lt;14/24)</formula>
    </cfRule>
    <cfRule type="expression" dxfId="6252" priority="193">
      <formula>C$9&lt;8/24</formula>
    </cfRule>
  </conditionalFormatting>
  <conditionalFormatting sqref="C52:AF52">
    <cfRule type="expression" dxfId="6251" priority="186">
      <formula>C$9&gt;=20/24</formula>
    </cfRule>
    <cfRule type="expression" dxfId="6250" priority="187">
      <formula>AND(C$9&gt;=14/24,C$9&lt;20/24)</formula>
    </cfRule>
    <cfRule type="expression" dxfId="6249" priority="188">
      <formula>AND(C$9&gt;=8/24,C$9&lt;14/24)</formula>
    </cfRule>
    <cfRule type="expression" dxfId="6248" priority="189">
      <formula>C$9&lt;8/24</formula>
    </cfRule>
  </conditionalFormatting>
  <conditionalFormatting sqref="C52:AF52">
    <cfRule type="expression" dxfId="6247" priority="185">
      <formula>C52&gt;$AG52</formula>
    </cfRule>
  </conditionalFormatting>
  <conditionalFormatting sqref="B49:G51 H50:L51">
    <cfRule type="expression" dxfId="6246" priority="100">
      <formula>B$9&gt;=20/24</formula>
    </cfRule>
    <cfRule type="expression" dxfId="6245" priority="101">
      <formula>AND(B$9&gt;=14/24,B$9&lt;20/24)</formula>
    </cfRule>
    <cfRule type="expression" dxfId="6244" priority="102">
      <formula>AND(B$9&gt;=8/24,B$9&lt;14/24)</formula>
    </cfRule>
    <cfRule type="expression" dxfId="6243" priority="103">
      <formula>B$9&lt;8/24</formula>
    </cfRule>
  </conditionalFormatting>
  <conditionalFormatting sqref="C110">
    <cfRule type="expression" dxfId="6242" priority="177">
      <formula>C$9&gt;=20/24</formula>
    </cfRule>
    <cfRule type="expression" dxfId="6241" priority="178">
      <formula>AND(C$9&gt;=14/24,C$9&lt;20/24)</formula>
    </cfRule>
    <cfRule type="expression" dxfId="6240" priority="179">
      <formula>AND(C$9&gt;=8/24,C$9&lt;14/24)</formula>
    </cfRule>
    <cfRule type="expression" dxfId="6239" priority="180">
      <formula>C$9&lt;8/24</formula>
    </cfRule>
  </conditionalFormatting>
  <conditionalFormatting sqref="M59:AF64">
    <cfRule type="expression" dxfId="6238" priority="173">
      <formula>M$9&gt;=20/24</formula>
    </cfRule>
    <cfRule type="expression" dxfId="6237" priority="174">
      <formula>AND(M$9&gt;=14/24,M$9&lt;20/24)</formula>
    </cfRule>
    <cfRule type="expression" dxfId="6236" priority="175">
      <formula>AND(M$9&gt;=8/24,M$9&lt;14/24)</formula>
    </cfRule>
    <cfRule type="expression" dxfId="6235" priority="176">
      <formula>M$9&lt;8/24</formula>
    </cfRule>
  </conditionalFormatting>
  <conditionalFormatting sqref="M59:AF64">
    <cfRule type="expression" dxfId="6234" priority="172">
      <formula>M59&gt;$AG59</formula>
    </cfRule>
  </conditionalFormatting>
  <conditionalFormatting sqref="W45:AF45 Z13:AF15">
    <cfRule type="expression" dxfId="6233" priority="171">
      <formula>W13&gt;$AG13</formula>
    </cfRule>
  </conditionalFormatting>
  <conditionalFormatting sqref="Z12:AF12">
    <cfRule type="expression" dxfId="6232" priority="167">
      <formula>Z$9&gt;=20/24</formula>
    </cfRule>
    <cfRule type="expression" dxfId="6231" priority="168">
      <formula>AND(Z$9&gt;=14/24,Z$9&lt;20/24)</formula>
    </cfRule>
    <cfRule type="expression" dxfId="6230" priority="169">
      <formula>AND(Z$9&gt;=8/24,Z$9&lt;14/24)</formula>
    </cfRule>
    <cfRule type="expression" dxfId="6229" priority="170">
      <formula>Z$9&lt;8/24</formula>
    </cfRule>
  </conditionalFormatting>
  <conditionalFormatting sqref="Z12:AF12">
    <cfRule type="expression" dxfId="6228" priority="166">
      <formula>Z12&gt;$AG12</formula>
    </cfRule>
  </conditionalFormatting>
  <conditionalFormatting sqref="Z13:AF15">
    <cfRule type="expression" dxfId="6227" priority="162">
      <formula>Z$9&gt;=20/24</formula>
    </cfRule>
    <cfRule type="expression" dxfId="6226" priority="163">
      <formula>AND(Z$9&gt;=14/24,Z$9&lt;20/24)</formula>
    </cfRule>
    <cfRule type="expression" dxfId="6225" priority="164">
      <formula>AND(Z$9&gt;=8/24,Z$9&lt;14/24)</formula>
    </cfRule>
    <cfRule type="expression" dxfId="6224" priority="165">
      <formula>Z$9&lt;8/24</formula>
    </cfRule>
  </conditionalFormatting>
  <conditionalFormatting sqref="W45:AF45">
    <cfRule type="expression" dxfId="6223" priority="158">
      <formula>W$9&gt;=20/24</formula>
    </cfRule>
    <cfRule type="expression" dxfId="6222" priority="159">
      <formula>AND(W$9&gt;=14/24,W$9&lt;20/24)</formula>
    </cfRule>
    <cfRule type="expression" dxfId="6221" priority="160">
      <formula>AND(W$9&gt;=8/24,W$9&lt;14/24)</formula>
    </cfRule>
    <cfRule type="expression" dxfId="6220" priority="161">
      <formula>W$9&lt;8/24</formula>
    </cfRule>
  </conditionalFormatting>
  <conditionalFormatting sqref="M77:AF81">
    <cfRule type="expression" dxfId="6219" priority="154">
      <formula>M$9&gt;=20/24</formula>
    </cfRule>
    <cfRule type="expression" dxfId="6218" priority="155">
      <formula>AND(M$9&gt;=14/24,M$9&lt;20/24)</formula>
    </cfRule>
    <cfRule type="expression" dxfId="6217" priority="156">
      <formula>AND(M$9&gt;=8/24,M$9&lt;14/24)</formula>
    </cfRule>
    <cfRule type="expression" dxfId="6216" priority="157">
      <formula>M$9&lt;8/24</formula>
    </cfRule>
  </conditionalFormatting>
  <conditionalFormatting sqref="AL78:AN78 AL84:AN84 AN79:AN80">
    <cfRule type="expression" dxfId="6215" priority="150">
      <formula>AL$9&gt;=20/24</formula>
    </cfRule>
    <cfRule type="expression" dxfId="6214" priority="151">
      <formula>AND(AL$9&gt;=14/24,AL$9&lt;20/24)</formula>
    </cfRule>
    <cfRule type="expression" dxfId="6213" priority="152">
      <formula>AND(AL$9&gt;=8/24,AL$9&lt;14/24)</formula>
    </cfRule>
    <cfRule type="expression" dxfId="6212" priority="153">
      <formula>AL$9&lt;8/24</formula>
    </cfRule>
  </conditionalFormatting>
  <conditionalFormatting sqref="AN81:AN82">
    <cfRule type="expression" dxfId="6211" priority="146">
      <formula>AN$9&gt;=20/24</formula>
    </cfRule>
    <cfRule type="expression" dxfId="6210" priority="147">
      <formula>AND(AN$9&gt;=14/24,AN$9&lt;20/24)</formula>
    </cfRule>
    <cfRule type="expression" dxfId="6209" priority="148">
      <formula>AND(AN$9&gt;=8/24,AN$9&lt;14/24)</formula>
    </cfRule>
    <cfRule type="expression" dxfId="6208" priority="149">
      <formula>AN$9&lt;8/24</formula>
    </cfRule>
  </conditionalFormatting>
  <conditionalFormatting sqref="AL79:AM83">
    <cfRule type="expression" dxfId="6207" priority="368">
      <formula>AJ$9&gt;=20/24</formula>
    </cfRule>
    <cfRule type="expression" dxfId="6206" priority="369">
      <formula>AND(AJ$9&gt;=14/24,AJ$9&lt;20/24)</formula>
    </cfRule>
    <cfRule type="expression" dxfId="6205" priority="370">
      <formula>AND(AJ$9&gt;=8/24,AJ$9&lt;14/24)</formula>
    </cfRule>
    <cfRule type="expression" dxfId="6204" priority="371">
      <formula>AJ$9&lt;8/24</formula>
    </cfRule>
  </conditionalFormatting>
  <conditionalFormatting sqref="A117">
    <cfRule type="expression" dxfId="6203" priority="145">
      <formula>$AH117=0</formula>
    </cfRule>
  </conditionalFormatting>
  <conditionalFormatting sqref="B109 B111:B116 B45:V45 B12:Y15 B17:Y32 B34:Y42 B43:AF43">
    <cfRule type="expression" dxfId="6202" priority="141">
      <formula>B$9&gt;=20/24</formula>
    </cfRule>
    <cfRule type="expression" dxfId="6201" priority="142">
      <formula>AND(B$9&gt;=14/24,B$9&lt;20/24)</formula>
    </cfRule>
    <cfRule type="expression" dxfId="6200" priority="143">
      <formula>AND(B$9&gt;=8/24,B$9&lt;14/24)</formula>
    </cfRule>
    <cfRule type="expression" dxfId="6199" priority="144">
      <formula>B$9&lt;8/24</formula>
    </cfRule>
  </conditionalFormatting>
  <conditionalFormatting sqref="B45:V45 B12:Y15 B17:Y32 B34:Y42 B43:AF43">
    <cfRule type="expression" dxfId="6198" priority="140">
      <formula>B12&gt;$AG12</formula>
    </cfRule>
  </conditionalFormatting>
  <conditionalFormatting sqref="B99">
    <cfRule type="expression" dxfId="6197" priority="136">
      <formula>B$9&gt;=20/24</formula>
    </cfRule>
    <cfRule type="expression" dxfId="6196" priority="137">
      <formula>AND(B$9&gt;=14/24,B$9&lt;20/24)</formula>
    </cfRule>
    <cfRule type="expression" dxfId="6195" priority="138">
      <formula>AND(B$9&gt;=8/24,B$9&lt;14/24)</formula>
    </cfRule>
    <cfRule type="expression" dxfId="6194" priority="139">
      <formula>B$9&lt;8/24</formula>
    </cfRule>
  </conditionalFormatting>
  <conditionalFormatting sqref="B53:G53">
    <cfRule type="expression" dxfId="6193" priority="128">
      <formula>B$9&gt;=20/24</formula>
    </cfRule>
    <cfRule type="expression" dxfId="6192" priority="129">
      <formula>AND(B$9&gt;=14/24,B$9&lt;20/24)</formula>
    </cfRule>
    <cfRule type="expression" dxfId="6191" priority="130">
      <formula>AND(B$9&gt;=8/24,B$9&lt;14/24)</formula>
    </cfRule>
    <cfRule type="expression" dxfId="6190" priority="131">
      <formula>B$9&lt;8/24</formula>
    </cfRule>
  </conditionalFormatting>
  <conditionalFormatting sqref="B53:G57">
    <cfRule type="expression" dxfId="6189" priority="127">
      <formula>B53&gt;$AG53</formula>
    </cfRule>
  </conditionalFormatting>
  <conditionalFormatting sqref="B96 B100:B106 B86 B47 B67:D69 B72:D74">
    <cfRule type="expression" dxfId="6188" priority="123">
      <formula>B$9&gt;=20/24</formula>
    </cfRule>
    <cfRule type="expression" dxfId="6187" priority="124">
      <formula>AND(B$9&gt;=14/24,B$9&lt;20/24)</formula>
    </cfRule>
    <cfRule type="expression" dxfId="6186" priority="125">
      <formula>AND(B$9&gt;=8/24,B$9&lt;14/24)</formula>
    </cfRule>
    <cfRule type="expression" dxfId="6185" priority="126">
      <formula>B$9&lt;8/24</formula>
    </cfRule>
  </conditionalFormatting>
  <conditionalFormatting sqref="B47 B67:D69">
    <cfRule type="expression" dxfId="6184" priority="122">
      <formula>B47&gt;$AG47</formula>
    </cfRule>
  </conditionalFormatting>
  <conditionalFormatting sqref="B97 B88:C88">
    <cfRule type="expression" dxfId="6183" priority="118">
      <formula>B$9&gt;=20/24</formula>
    </cfRule>
    <cfRule type="expression" dxfId="6182" priority="119">
      <formula>AND(B$9&gt;=14/24,B$9&lt;20/24)</formula>
    </cfRule>
    <cfRule type="expression" dxfId="6181" priority="120">
      <formula>AND(B$9&gt;=8/24,B$9&lt;14/24)</formula>
    </cfRule>
    <cfRule type="expression" dxfId="6180" priority="121">
      <formula>B$9&lt;8/24</formula>
    </cfRule>
  </conditionalFormatting>
  <conditionalFormatting sqref="B46:O46">
    <cfRule type="expression" dxfId="6179" priority="114">
      <formula>B$9&gt;=20/24</formula>
    </cfRule>
    <cfRule type="expression" dxfId="6178" priority="115">
      <formula>AND(B$9&gt;=14/24,B$9&lt;20/24)</formula>
    </cfRule>
    <cfRule type="expression" dxfId="6177" priority="116">
      <formula>AND(B$9&gt;=8/24,B$9&lt;14/24)</formula>
    </cfRule>
    <cfRule type="expression" dxfId="6176" priority="117">
      <formula>B$9&lt;8/24</formula>
    </cfRule>
  </conditionalFormatting>
  <conditionalFormatting sqref="B46:O46">
    <cfRule type="expression" dxfId="6175" priority="113">
      <formula>B46&gt;$AG46</formula>
    </cfRule>
  </conditionalFormatting>
  <conditionalFormatting sqref="B58:L58">
    <cfRule type="expression" dxfId="6174" priority="109">
      <formula>B$9&gt;=20/24</formula>
    </cfRule>
    <cfRule type="expression" dxfId="6173" priority="110">
      <formula>AND(B$9&gt;=14/24,B$9&lt;20/24)</formula>
    </cfRule>
    <cfRule type="expression" dxfId="6172" priority="111">
      <formula>AND(B$9&gt;=8/24,B$9&lt;14/24)</formula>
    </cfRule>
    <cfRule type="expression" dxfId="6171" priority="112">
      <formula>B$9&lt;8/24</formula>
    </cfRule>
  </conditionalFormatting>
  <conditionalFormatting sqref="B58:L58">
    <cfRule type="expression" dxfId="6170" priority="108">
      <formula>B58&gt;$AG58</formula>
    </cfRule>
  </conditionalFormatting>
  <conditionalFormatting sqref="B91:B95">
    <cfRule type="expression" dxfId="6169" priority="104">
      <formula>B$9&gt;=20/24</formula>
    </cfRule>
    <cfRule type="expression" dxfId="6168" priority="105">
      <formula>AND(B$9&gt;=14/24,B$9&lt;20/24)</formula>
    </cfRule>
    <cfRule type="expression" dxfId="6167" priority="106">
      <formula>AND(B$9&gt;=8/24,B$9&lt;14/24)</formula>
    </cfRule>
    <cfRule type="expression" dxfId="6166" priority="107">
      <formula>B$9&lt;8/24</formula>
    </cfRule>
  </conditionalFormatting>
  <conditionalFormatting sqref="B49:G51 H50:L51">
    <cfRule type="expression" dxfId="6165" priority="99">
      <formula>B49&gt;$AG49</formula>
    </cfRule>
  </conditionalFormatting>
  <conditionalFormatting sqref="B107">
    <cfRule type="expression" dxfId="6164" priority="95">
      <formula>B$9&gt;=20/24</formula>
    </cfRule>
    <cfRule type="expression" dxfId="6163" priority="96">
      <formula>AND(B$9&gt;=14/24,B$9&lt;20/24)</formula>
    </cfRule>
    <cfRule type="expression" dxfId="6162" priority="97">
      <formula>AND(B$9&gt;=8/24,B$9&lt;14/24)</formula>
    </cfRule>
    <cfRule type="expression" dxfId="6161" priority="98">
      <formula>B$9&lt;8/24</formula>
    </cfRule>
  </conditionalFormatting>
  <conditionalFormatting sqref="B110">
    <cfRule type="expression" dxfId="6160" priority="91">
      <formula>B$9&gt;=20/24</formula>
    </cfRule>
    <cfRule type="expression" dxfId="6159" priority="92">
      <formula>AND(B$9&gt;=14/24,B$9&lt;20/24)</formula>
    </cfRule>
    <cfRule type="expression" dxfId="6158" priority="93">
      <formula>AND(B$9&gt;=8/24,B$9&lt;14/24)</formula>
    </cfRule>
    <cfRule type="expression" dxfId="6157" priority="94">
      <formula>B$9&lt;8/24</formula>
    </cfRule>
  </conditionalFormatting>
  <conditionalFormatting sqref="B83:B85 B75:D76 E76:L76">
    <cfRule type="expression" dxfId="6156" priority="87">
      <formula>B$9&gt;=20/24</formula>
    </cfRule>
    <cfRule type="expression" dxfId="6155" priority="88">
      <formula>AND(B$9&gt;=14/24,B$9&lt;20/24)</formula>
    </cfRule>
    <cfRule type="expression" dxfId="6154" priority="89">
      <formula>AND(B$9&gt;=8/24,B$9&lt;14/24)</formula>
    </cfRule>
    <cfRule type="expression" dxfId="6153" priority="90">
      <formula>B$9&lt;8/24</formula>
    </cfRule>
  </conditionalFormatting>
  <conditionalFormatting sqref="B89 B98 B70 B87">
    <cfRule type="expression" dxfId="6152" priority="83">
      <formula>B$9&gt;=20/24</formula>
    </cfRule>
    <cfRule type="expression" dxfId="6151" priority="84">
      <formula>AND(B$9&gt;=14/24,B$9&lt;20/24)</formula>
    </cfRule>
    <cfRule type="expression" dxfId="6150" priority="85">
      <formula>AND(B$9&gt;=8/24,B$9&lt;14/24)</formula>
    </cfRule>
    <cfRule type="expression" dxfId="6149" priority="86">
      <formula>B$9&lt;8/24</formula>
    </cfRule>
  </conditionalFormatting>
  <conditionalFormatting sqref="B48 B65:B66 B70">
    <cfRule type="expression" dxfId="6148" priority="82">
      <formula>B48&gt;$AG48</formula>
    </cfRule>
  </conditionalFormatting>
  <conditionalFormatting sqref="B82">
    <cfRule type="expression" dxfId="6147" priority="78">
      <formula>B$9&gt;=20/24</formula>
    </cfRule>
    <cfRule type="expression" dxfId="6146" priority="79">
      <formula>AND(B$9&gt;=14/24,B$9&lt;20/24)</formula>
    </cfRule>
    <cfRule type="expression" dxfId="6145" priority="80">
      <formula>AND(B$9&gt;=8/24,B$9&lt;14/24)</formula>
    </cfRule>
    <cfRule type="expression" dxfId="6144" priority="81">
      <formula>B$9&lt;8/24</formula>
    </cfRule>
  </conditionalFormatting>
  <conditionalFormatting sqref="B52">
    <cfRule type="expression" dxfId="6143" priority="74">
      <formula>B$9&gt;=20/24</formula>
    </cfRule>
    <cfRule type="expression" dxfId="6142" priority="75">
      <formula>AND(B$9&gt;=14/24,B$9&lt;20/24)</formula>
    </cfRule>
    <cfRule type="expression" dxfId="6141" priority="76">
      <formula>AND(B$9&gt;=8/24,B$9&lt;14/24)</formula>
    </cfRule>
    <cfRule type="expression" dxfId="6140" priority="77">
      <formula>B$9&lt;8/24</formula>
    </cfRule>
  </conditionalFormatting>
  <conditionalFormatting sqref="B52">
    <cfRule type="expression" dxfId="6139" priority="73">
      <formula>B52&gt;$AG52</formula>
    </cfRule>
  </conditionalFormatting>
  <conditionalFormatting sqref="B59:L64">
    <cfRule type="expression" dxfId="6138" priority="65">
      <formula>B$9&gt;=20/24</formula>
    </cfRule>
    <cfRule type="expression" dxfId="6137" priority="66">
      <formula>AND(B$9&gt;=14/24,B$9&lt;20/24)</formula>
    </cfRule>
    <cfRule type="expression" dxfId="6136" priority="67">
      <formula>AND(B$9&gt;=8/24,B$9&lt;14/24)</formula>
    </cfRule>
    <cfRule type="expression" dxfId="6135" priority="68">
      <formula>B$9&lt;8/24</formula>
    </cfRule>
  </conditionalFormatting>
  <conditionalFormatting sqref="B59:L64">
    <cfRule type="expression" dxfId="6134" priority="64">
      <formula>B59&gt;$AG59</formula>
    </cfRule>
  </conditionalFormatting>
  <conditionalFormatting sqref="B77:L81">
    <cfRule type="expression" dxfId="6133" priority="60">
      <formula>B$9&gt;=20/24</formula>
    </cfRule>
    <cfRule type="expression" dxfId="6132" priority="61">
      <formula>AND(B$9&gt;=14/24,B$9&lt;20/24)</formula>
    </cfRule>
    <cfRule type="expression" dxfId="6131" priority="62">
      <formula>AND(B$9&gt;=8/24,B$9&lt;14/24)</formula>
    </cfRule>
    <cfRule type="expression" dxfId="6130" priority="63">
      <formula>B$9&lt;8/24</formula>
    </cfRule>
  </conditionalFormatting>
  <conditionalFormatting sqref="A11">
    <cfRule type="expression" dxfId="6129" priority="59">
      <formula>$AH11=0</formula>
    </cfRule>
  </conditionalFormatting>
  <conditionalFormatting sqref="Z11:AF11">
    <cfRule type="expression" dxfId="6128" priority="55">
      <formula>Z$9&gt;=20/24</formula>
    </cfRule>
    <cfRule type="expression" dxfId="6127" priority="56">
      <formula>AND(Z$9&gt;=14/24,Z$9&lt;20/24)</formula>
    </cfRule>
    <cfRule type="expression" dxfId="6126" priority="57">
      <formula>AND(Z$9&gt;=8/24,Z$9&lt;14/24)</formula>
    </cfRule>
    <cfRule type="expression" dxfId="6125" priority="58">
      <formula>Z$9&lt;8/24</formula>
    </cfRule>
  </conditionalFormatting>
  <conditionalFormatting sqref="Z11:AF11">
    <cfRule type="expression" dxfId="6124" priority="54">
      <formula>Z11&gt;$AG11</formula>
    </cfRule>
  </conditionalFormatting>
  <conditionalFormatting sqref="B11:Y11">
    <cfRule type="expression" dxfId="6123" priority="50">
      <formula>B$9&gt;=20/24</formula>
    </cfRule>
    <cfRule type="expression" dxfId="6122" priority="51">
      <formula>AND(B$9&gt;=14/24,B$9&lt;20/24)</formula>
    </cfRule>
    <cfRule type="expression" dxfId="6121" priority="52">
      <formula>AND(B$9&gt;=8/24,B$9&lt;14/24)</formula>
    </cfRule>
    <cfRule type="expression" dxfId="6120" priority="53">
      <formula>B$9&lt;8/24</formula>
    </cfRule>
  </conditionalFormatting>
  <conditionalFormatting sqref="B11:Y11">
    <cfRule type="expression" dxfId="6119" priority="49">
      <formula>B11&gt;$AG11</formula>
    </cfRule>
  </conditionalFormatting>
  <conditionalFormatting sqref="A16">
    <cfRule type="expression" dxfId="6118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6117" priority="43">
      <formula>Z$9&gt;=20/24</formula>
    </cfRule>
    <cfRule type="expression" dxfId="6116" priority="44">
      <formula>AND(Z$9&gt;=14/24,Z$9&lt;20/24)</formula>
    </cfRule>
    <cfRule type="expression" dxfId="6115" priority="45">
      <formula>AND(Z$9&gt;=8/24,Z$9&lt;14/24)</formula>
    </cfRule>
    <cfRule type="expression" dxfId="6114" priority="46">
      <formula>Z$9&lt;8/24</formula>
    </cfRule>
  </conditionalFormatting>
  <conditionalFormatting sqref="Z16:AF16">
    <cfRule type="expression" dxfId="6113" priority="42">
      <formula>Z16&gt;$AG16</formula>
    </cfRule>
  </conditionalFormatting>
  <conditionalFormatting sqref="B16:Y16">
    <cfRule type="expression" dxfId="6112" priority="38">
      <formula>B$9&gt;=20/24</formula>
    </cfRule>
    <cfRule type="expression" dxfId="6111" priority="39">
      <formula>AND(B$9&gt;=14/24,B$9&lt;20/24)</formula>
    </cfRule>
    <cfRule type="expression" dxfId="6110" priority="40">
      <formula>AND(B$9&gt;=8/24,B$9&lt;14/24)</formula>
    </cfRule>
    <cfRule type="expression" dxfId="6109" priority="41">
      <formula>B$9&lt;8/24</formula>
    </cfRule>
  </conditionalFormatting>
  <conditionalFormatting sqref="B16:Y16">
    <cfRule type="expression" dxfId="6108" priority="37">
      <formula>B16&gt;$AG16</formula>
    </cfRule>
  </conditionalFormatting>
  <conditionalFormatting sqref="A33">
    <cfRule type="expression" dxfId="6107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6106" priority="31">
      <formula>Z$9&gt;=20/24</formula>
    </cfRule>
    <cfRule type="expression" dxfId="6105" priority="32">
      <formula>AND(Z$9&gt;=14/24,Z$9&lt;20/24)</formula>
    </cfRule>
    <cfRule type="expression" dxfId="6104" priority="33">
      <formula>AND(Z$9&gt;=8/24,Z$9&lt;14/24)</formula>
    </cfRule>
    <cfRule type="expression" dxfId="6103" priority="34">
      <formula>Z$9&lt;8/24</formula>
    </cfRule>
  </conditionalFormatting>
  <conditionalFormatting sqref="Z33:AF33">
    <cfRule type="expression" dxfId="6102" priority="30">
      <formula>Z33&gt;$AG33</formula>
    </cfRule>
  </conditionalFormatting>
  <conditionalFormatting sqref="B33:Y33">
    <cfRule type="expression" dxfId="6101" priority="26">
      <formula>B$9&gt;=20/24</formula>
    </cfRule>
    <cfRule type="expression" dxfId="6100" priority="27">
      <formula>AND(B$9&gt;=14/24,B$9&lt;20/24)</formula>
    </cfRule>
    <cfRule type="expression" dxfId="6099" priority="28">
      <formula>AND(B$9&gt;=8/24,B$9&lt;14/24)</formula>
    </cfRule>
    <cfRule type="expression" dxfId="6098" priority="29">
      <formula>B$9&lt;8/24</formula>
    </cfRule>
  </conditionalFormatting>
  <conditionalFormatting sqref="B33:Y33">
    <cfRule type="expression" dxfId="6097" priority="25">
      <formula>B33&gt;$AG33</formula>
    </cfRule>
  </conditionalFormatting>
  <conditionalFormatting sqref="A44">
    <cfRule type="expression" dxfId="6096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6095" priority="22">
      <formula>Z44&gt;$AG44</formula>
    </cfRule>
  </conditionalFormatting>
  <conditionalFormatting sqref="Z44:AF44">
    <cfRule type="expression" dxfId="6094" priority="18">
      <formula>Z$9&gt;=20/24</formula>
    </cfRule>
    <cfRule type="expression" dxfId="6093" priority="19">
      <formula>AND(Z$9&gt;=14/24,Z$9&lt;20/24)</formula>
    </cfRule>
    <cfRule type="expression" dxfId="6092" priority="20">
      <formula>AND(Z$9&gt;=8/24,Z$9&lt;14/24)</formula>
    </cfRule>
    <cfRule type="expression" dxfId="6091" priority="21">
      <formula>Z$9&lt;8/24</formula>
    </cfRule>
  </conditionalFormatting>
  <conditionalFormatting sqref="B44:Y44">
    <cfRule type="expression" dxfId="6090" priority="14">
      <formula>B$9&gt;=20/24</formula>
    </cfRule>
    <cfRule type="expression" dxfId="6089" priority="15">
      <formula>AND(B$9&gt;=14/24,B$9&lt;20/24)</formula>
    </cfRule>
    <cfRule type="expression" dxfId="6088" priority="16">
      <formula>AND(B$9&gt;=8/24,B$9&lt;14/24)</formula>
    </cfRule>
    <cfRule type="expression" dxfId="6087" priority="17">
      <formula>B$9&lt;8/24</formula>
    </cfRule>
  </conditionalFormatting>
  <conditionalFormatting sqref="B44:Y44">
    <cfRule type="expression" dxfId="6086" priority="13">
      <formula>B44&gt;$AG44</formula>
    </cfRule>
  </conditionalFormatting>
  <conditionalFormatting sqref="B117">
    <cfRule type="expression" dxfId="6085" priority="1">
      <formula>B$9&gt;=20/24</formula>
    </cfRule>
    <cfRule type="expression" dxfId="6084" priority="2">
      <formula>AND(B$9&gt;=14/24,B$9&lt;20/24)</formula>
    </cfRule>
    <cfRule type="expression" dxfId="6083" priority="3">
      <formula>AND(B$9&gt;=8/24,B$9&lt;14/24)</formula>
    </cfRule>
    <cfRule type="expression" dxfId="6082" priority="4">
      <formula>B$9&lt;8/24</formula>
    </cfRule>
  </conditionalFormatting>
  <conditionalFormatting sqref="D117:AF117">
    <cfRule type="expression" dxfId="6081" priority="9">
      <formula>D$9&gt;=20/24</formula>
    </cfRule>
    <cfRule type="expression" dxfId="6080" priority="10">
      <formula>AND(D$9&gt;=14/24,D$9&lt;20/24)</formula>
    </cfRule>
    <cfRule type="expression" dxfId="6079" priority="11">
      <formula>AND(D$9&gt;=8/24,D$9&lt;14/24)</formula>
    </cfRule>
    <cfRule type="expression" dxfId="6078" priority="12">
      <formula>D$9&lt;8/24</formula>
    </cfRule>
  </conditionalFormatting>
  <conditionalFormatting sqref="C117">
    <cfRule type="expression" dxfId="6077" priority="5">
      <formula>C$9&gt;=20/24</formula>
    </cfRule>
    <cfRule type="expression" dxfId="6076" priority="6">
      <formula>AND(C$9&gt;=14/24,C$9&lt;20/24)</formula>
    </cfRule>
    <cfRule type="expression" dxfId="6075" priority="7">
      <formula>AND(C$9&gt;=8/24,C$9&lt;14/24)</formula>
    </cfRule>
    <cfRule type="expression" dxfId="6074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8ADD098F-E48E-4C62-9118-F008B45C7EB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52798F97-11AF-4459-BB37-369ABEDFAB0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7F650028-EE3A-4360-B937-4FD6279AA25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3979DEEB-DB17-4CFA-8F55-EC20D7AEE87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54F0C9E7-0997-4CEF-9A71-261D8AE9646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BD90A082-D39C-4FF6-9B05-07F27945698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ADAE73AE-6FDC-4113-9833-62CD6B541F7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496C71E3-5316-41E4-90A1-EA06E63ECBD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11" activePane="bottomLeft" state="frozen"/>
      <selection activeCell="Z85" sqref="Z85"/>
      <selection pane="bottomLeft" activeCell="X7" sqref="X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2079/12/17</v>
      </c>
      <c r="C4" s="196"/>
      <c r="D4" s="196"/>
      <c r="E4" s="197" t="str">
        <f ca="1">"2079/"&amp;"12/"&amp;INT(MID(CELL("filename",G6),FIND("]",CELL("filename",G6))+1,200))</f>
        <v>2079/12/17</v>
      </c>
      <c r="F4" s="197"/>
      <c r="G4" s="197"/>
      <c r="H4" s="197" t="str">
        <f ca="1">TEXT(E4,"dddd")</f>
        <v>Sunday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505</v>
      </c>
      <c r="C5" s="33">
        <f t="shared" si="0"/>
        <v>520</v>
      </c>
      <c r="D5" s="33">
        <f t="shared" si="0"/>
        <v>520</v>
      </c>
      <c r="E5" s="33">
        <f t="shared" si="0"/>
        <v>530</v>
      </c>
      <c r="F5" s="33">
        <f t="shared" si="0"/>
        <v>525</v>
      </c>
      <c r="G5" s="33">
        <f t="shared" si="0"/>
        <v>510.9</v>
      </c>
      <c r="H5" s="33">
        <f t="shared" si="0"/>
        <v>510.9</v>
      </c>
      <c r="I5" s="33">
        <f t="shared" si="0"/>
        <v>473.9</v>
      </c>
      <c r="J5" s="33">
        <f t="shared" si="0"/>
        <v>460.9</v>
      </c>
      <c r="K5" s="33">
        <f t="shared" si="0"/>
        <v>471.19999999999993</v>
      </c>
      <c r="L5" s="33">
        <f t="shared" si="0"/>
        <v>486</v>
      </c>
      <c r="M5" s="33">
        <f t="shared" si="0"/>
        <v>497.1</v>
      </c>
      <c r="N5" s="33">
        <f t="shared" si="0"/>
        <v>529.5</v>
      </c>
      <c r="O5" s="33">
        <f t="shared" si="0"/>
        <v>520</v>
      </c>
      <c r="P5" s="33">
        <f t="shared" si="0"/>
        <v>451.8</v>
      </c>
      <c r="Q5" s="33">
        <f t="shared" si="0"/>
        <v>468.90000000000003</v>
      </c>
      <c r="R5" s="33">
        <f t="shared" si="0"/>
        <v>444.1</v>
      </c>
      <c r="S5" s="33">
        <f t="shared" si="0"/>
        <v>454.5</v>
      </c>
      <c r="T5" s="33">
        <f t="shared" si="0"/>
        <v>436.9</v>
      </c>
      <c r="U5" s="33">
        <f t="shared" si="0"/>
        <v>347.7</v>
      </c>
      <c r="V5" s="33">
        <f t="shared" si="0"/>
        <v>345.7</v>
      </c>
      <c r="W5" s="33">
        <f t="shared" si="0"/>
        <v>305.7</v>
      </c>
      <c r="X5" s="33">
        <f t="shared" si="0"/>
        <v>363.8</v>
      </c>
      <c r="Y5" s="33">
        <f t="shared" si="0"/>
        <v>462.1</v>
      </c>
      <c r="Z5" s="33">
        <f t="shared" si="0"/>
        <v>379.3</v>
      </c>
      <c r="AA5" s="33">
        <f t="shared" si="0"/>
        <v>410.29999999999995</v>
      </c>
      <c r="AB5" s="33">
        <f t="shared" si="0"/>
        <v>404.90000000000003</v>
      </c>
      <c r="AC5" s="33">
        <f t="shared" si="0"/>
        <v>434.90000000000003</v>
      </c>
      <c r="AD5" s="33">
        <f t="shared" si="0"/>
        <v>409.9</v>
      </c>
      <c r="AE5" s="33">
        <f t="shared" si="0"/>
        <v>395.9</v>
      </c>
      <c r="AF5" s="33">
        <f>B82</f>
        <v>496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1411MW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Load=987</v>
      </c>
      <c r="B7" s="38">
        <f t="shared" ref="B7:AF7" si="1">B89</f>
        <v>1125.44</v>
      </c>
      <c r="C7" s="38">
        <f t="shared" si="1"/>
        <v>1046.44</v>
      </c>
      <c r="D7" s="38">
        <f t="shared" si="1"/>
        <v>1041.44</v>
      </c>
      <c r="E7" s="38">
        <f t="shared" si="1"/>
        <v>1036.44</v>
      </c>
      <c r="F7" s="38">
        <f t="shared" si="1"/>
        <v>1045.44</v>
      </c>
      <c r="G7" s="38">
        <f t="shared" si="1"/>
        <v>1016.44</v>
      </c>
      <c r="H7" s="38">
        <f t="shared" si="1"/>
        <v>1103.3400000000001</v>
      </c>
      <c r="I7" s="38">
        <f t="shared" si="1"/>
        <v>1103.3400000000001</v>
      </c>
      <c r="J7" s="38">
        <f t="shared" si="1"/>
        <v>1289.8400000000001</v>
      </c>
      <c r="K7" s="38">
        <f t="shared" si="1"/>
        <v>1316.8400000000001</v>
      </c>
      <c r="L7" s="38">
        <f t="shared" si="1"/>
        <v>1391.44</v>
      </c>
      <c r="M7" s="38">
        <f t="shared" si="1"/>
        <v>1410.6399999999999</v>
      </c>
      <c r="N7" s="38">
        <f>N89</f>
        <v>1375.3400000000001</v>
      </c>
      <c r="O7" s="38">
        <f t="shared" si="1"/>
        <v>1258.6400000000001</v>
      </c>
      <c r="P7" s="38">
        <f t="shared" si="1"/>
        <v>1321.94</v>
      </c>
      <c r="Q7" s="38">
        <f t="shared" si="1"/>
        <v>1217.5400000000002</v>
      </c>
      <c r="R7" s="38">
        <f t="shared" si="1"/>
        <v>1135.94</v>
      </c>
      <c r="S7" s="38">
        <f t="shared" si="1"/>
        <v>1150.24</v>
      </c>
      <c r="T7" s="38">
        <f t="shared" si="1"/>
        <v>1140.04</v>
      </c>
      <c r="U7" s="38">
        <f t="shared" si="1"/>
        <v>1091.1399999999999</v>
      </c>
      <c r="V7" s="38">
        <f t="shared" si="1"/>
        <v>1010.1399999999999</v>
      </c>
      <c r="W7" s="38">
        <f t="shared" si="1"/>
        <v>1023.8399999999999</v>
      </c>
      <c r="X7" s="38">
        <f t="shared" si="1"/>
        <v>1146.54</v>
      </c>
      <c r="Y7" s="38">
        <f t="shared" si="1"/>
        <v>1160.24</v>
      </c>
      <c r="Z7" s="38">
        <f t="shared" si="1"/>
        <v>1316.44</v>
      </c>
      <c r="AA7" s="38">
        <f t="shared" si="1"/>
        <v>1147.6400000000001</v>
      </c>
      <c r="AB7" s="38">
        <f t="shared" si="1"/>
        <v>1109.94</v>
      </c>
      <c r="AC7" s="38">
        <f t="shared" si="1"/>
        <v>1100.54</v>
      </c>
      <c r="AD7" s="38">
        <f t="shared" si="1"/>
        <v>1097.74</v>
      </c>
      <c r="AE7" s="38">
        <f t="shared" si="1"/>
        <v>989.34</v>
      </c>
      <c r="AF7" s="38">
        <f t="shared" si="1"/>
        <v>987.34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25</v>
      </c>
      <c r="C11" s="50">
        <v>25</v>
      </c>
      <c r="D11" s="50">
        <v>25</v>
      </c>
      <c r="E11" s="50">
        <v>25</v>
      </c>
      <c r="F11" s="50">
        <v>25</v>
      </c>
      <c r="G11" s="50">
        <v>25</v>
      </c>
      <c r="H11" s="50">
        <v>25</v>
      </c>
      <c r="I11" s="50">
        <v>25</v>
      </c>
      <c r="J11" s="50">
        <v>25</v>
      </c>
      <c r="K11" s="50">
        <v>25</v>
      </c>
      <c r="L11" s="50">
        <v>25</v>
      </c>
      <c r="M11" s="50">
        <v>25</v>
      </c>
      <c r="N11" s="50">
        <v>25</v>
      </c>
      <c r="O11" s="50">
        <v>25</v>
      </c>
      <c r="P11" s="50">
        <v>25</v>
      </c>
      <c r="Q11" s="50">
        <v>25</v>
      </c>
      <c r="R11" s="50">
        <v>25</v>
      </c>
      <c r="S11" s="50">
        <v>25</v>
      </c>
      <c r="T11" s="50">
        <v>25</v>
      </c>
      <c r="U11" s="50">
        <v>25</v>
      </c>
      <c r="V11" s="50">
        <v>25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8</v>
      </c>
      <c r="AC11" s="50">
        <v>28</v>
      </c>
      <c r="AD11" s="50">
        <v>29</v>
      </c>
      <c r="AE11" s="50">
        <v>29</v>
      </c>
      <c r="AF11" s="50">
        <v>29</v>
      </c>
      <c r="AG11" s="51">
        <v>86</v>
      </c>
      <c r="AH11" s="52">
        <f t="shared" ref="AH11:AH74" si="2">MAX(B11:AF11)</f>
        <v>29</v>
      </c>
      <c r="AI11" s="53">
        <f t="shared" ref="AI11:AI74" si="3">MIN(B11:AF11)</f>
        <v>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</v>
      </c>
      <c r="C12" s="50">
        <v>14</v>
      </c>
      <c r="D12" s="50">
        <v>14</v>
      </c>
      <c r="E12" s="50">
        <v>14</v>
      </c>
      <c r="F12" s="50">
        <v>14</v>
      </c>
      <c r="G12" s="50">
        <v>14</v>
      </c>
      <c r="H12" s="50">
        <v>14</v>
      </c>
      <c r="I12" s="50">
        <v>14</v>
      </c>
      <c r="J12" s="50">
        <v>14</v>
      </c>
      <c r="K12" s="50">
        <v>14</v>
      </c>
      <c r="L12" s="50">
        <v>14</v>
      </c>
      <c r="M12" s="50">
        <v>14</v>
      </c>
      <c r="N12" s="50">
        <v>14</v>
      </c>
      <c r="O12" s="50">
        <v>14</v>
      </c>
      <c r="P12" s="50">
        <v>14</v>
      </c>
      <c r="Q12" s="50">
        <v>14</v>
      </c>
      <c r="R12" s="50">
        <v>14</v>
      </c>
      <c r="S12" s="50">
        <v>14</v>
      </c>
      <c r="T12" s="50">
        <v>14</v>
      </c>
      <c r="U12" s="50">
        <v>18.600000000000001</v>
      </c>
      <c r="V12" s="50">
        <v>18.600000000000001</v>
      </c>
      <c r="W12" s="50">
        <v>18.600000000000001</v>
      </c>
      <c r="X12" s="50">
        <v>18.600000000000001</v>
      </c>
      <c r="Y12" s="50">
        <v>18.600000000000001</v>
      </c>
      <c r="Z12" s="50">
        <v>18.600000000000001</v>
      </c>
      <c r="AA12" s="50">
        <v>18.600000000000001</v>
      </c>
      <c r="AB12" s="50">
        <v>18.600000000000001</v>
      </c>
      <c r="AC12" s="50">
        <v>18.600000000000001</v>
      </c>
      <c r="AD12" s="50">
        <v>27.9</v>
      </c>
      <c r="AE12" s="50">
        <v>29.6</v>
      </c>
      <c r="AF12" s="50">
        <v>29.6</v>
      </c>
      <c r="AG12" s="51">
        <v>52.4</v>
      </c>
      <c r="AH12" s="52">
        <f t="shared" si="2"/>
        <v>29.6</v>
      </c>
      <c r="AI12" s="53">
        <f t="shared" si="3"/>
        <v>14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</v>
      </c>
      <c r="C13" s="50">
        <v>28</v>
      </c>
      <c r="D13" s="50">
        <v>28</v>
      </c>
      <c r="E13" s="50">
        <v>28</v>
      </c>
      <c r="F13" s="50">
        <v>28</v>
      </c>
      <c r="G13" s="50">
        <v>28</v>
      </c>
      <c r="H13" s="50">
        <v>28</v>
      </c>
      <c r="I13" s="50">
        <v>28</v>
      </c>
      <c r="J13" s="50">
        <v>28</v>
      </c>
      <c r="K13" s="50">
        <v>28</v>
      </c>
      <c r="L13" s="50">
        <v>28</v>
      </c>
      <c r="M13" s="50">
        <v>28</v>
      </c>
      <c r="N13" s="50">
        <v>28</v>
      </c>
      <c r="O13" s="50">
        <v>28</v>
      </c>
      <c r="P13" s="50">
        <v>28</v>
      </c>
      <c r="Q13" s="50">
        <v>28</v>
      </c>
      <c r="R13" s="50">
        <v>28</v>
      </c>
      <c r="S13" s="50">
        <v>28</v>
      </c>
      <c r="T13" s="50">
        <v>28</v>
      </c>
      <c r="U13" s="50">
        <v>28</v>
      </c>
      <c r="V13" s="50">
        <v>40</v>
      </c>
      <c r="W13" s="50">
        <v>40</v>
      </c>
      <c r="X13" s="50">
        <v>40</v>
      </c>
      <c r="Y13" s="50">
        <v>40</v>
      </c>
      <c r="Z13" s="50">
        <v>40</v>
      </c>
      <c r="AA13" s="50">
        <v>40</v>
      </c>
      <c r="AB13" s="50">
        <v>40</v>
      </c>
      <c r="AC13" s="50">
        <v>40</v>
      </c>
      <c r="AD13" s="50">
        <v>41.8</v>
      </c>
      <c r="AE13" s="50">
        <v>41</v>
      </c>
      <c r="AF13" s="50">
        <v>35.9</v>
      </c>
      <c r="AG13" s="55">
        <v>50</v>
      </c>
      <c r="AH13" s="52">
        <f t="shared" si="2"/>
        <v>41.8</v>
      </c>
      <c r="AI13" s="53">
        <f t="shared" si="3"/>
        <v>28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13.5</v>
      </c>
      <c r="C14" s="50">
        <v>13.5</v>
      </c>
      <c r="D14" s="50">
        <v>13.5</v>
      </c>
      <c r="E14" s="50">
        <v>13.5</v>
      </c>
      <c r="F14" s="50">
        <v>13.5</v>
      </c>
      <c r="G14" s="50">
        <v>13.5</v>
      </c>
      <c r="H14" s="50">
        <v>13.5</v>
      </c>
      <c r="I14" s="50">
        <v>13.5</v>
      </c>
      <c r="J14" s="50">
        <v>13.5</v>
      </c>
      <c r="K14" s="50">
        <v>13.5</v>
      </c>
      <c r="L14" s="50">
        <v>13.5</v>
      </c>
      <c r="M14" s="50">
        <v>13.5</v>
      </c>
      <c r="N14" s="50">
        <v>13.5</v>
      </c>
      <c r="O14" s="50">
        <v>13.5</v>
      </c>
      <c r="P14" s="50">
        <v>13.5</v>
      </c>
      <c r="Q14" s="50">
        <v>13.5</v>
      </c>
      <c r="R14" s="50">
        <v>13.5</v>
      </c>
      <c r="S14" s="50">
        <v>13.5</v>
      </c>
      <c r="T14" s="50">
        <v>13.5</v>
      </c>
      <c r="U14" s="50">
        <v>13.5</v>
      </c>
      <c r="V14" s="50">
        <v>13.5</v>
      </c>
      <c r="W14" s="50">
        <v>13.5</v>
      </c>
      <c r="X14" s="50">
        <v>13.5</v>
      </c>
      <c r="Y14" s="50">
        <v>13.5</v>
      </c>
      <c r="Z14" s="50">
        <v>13.5</v>
      </c>
      <c r="AA14" s="50">
        <v>13.5</v>
      </c>
      <c r="AB14" s="50">
        <v>13.5</v>
      </c>
      <c r="AC14" s="50">
        <v>13.5</v>
      </c>
      <c r="AD14" s="50">
        <v>21</v>
      </c>
      <c r="AE14" s="50">
        <v>19.3</v>
      </c>
      <c r="AF14" s="50">
        <v>20.399999999999999</v>
      </c>
      <c r="AG14" s="55">
        <v>45</v>
      </c>
      <c r="AH14" s="52">
        <f t="shared" si="2"/>
        <v>21</v>
      </c>
      <c r="AI14" s="53">
        <f t="shared" si="3"/>
        <v>13.5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8.3000000000000007</v>
      </c>
      <c r="C18" s="50">
        <v>8.3000000000000007</v>
      </c>
      <c r="D18" s="50">
        <v>8.3000000000000007</v>
      </c>
      <c r="E18" s="50">
        <v>8.3000000000000007</v>
      </c>
      <c r="F18" s="50">
        <v>8.3000000000000007</v>
      </c>
      <c r="G18" s="50">
        <v>8.3000000000000007</v>
      </c>
      <c r="H18" s="50">
        <v>8.3000000000000007</v>
      </c>
      <c r="I18" s="50">
        <v>8.3000000000000007</v>
      </c>
      <c r="J18" s="50">
        <v>8.3000000000000007</v>
      </c>
      <c r="K18" s="50">
        <v>8.3000000000000007</v>
      </c>
      <c r="L18" s="50">
        <v>8.3000000000000007</v>
      </c>
      <c r="M18" s="50">
        <v>8.3000000000000007</v>
      </c>
      <c r="N18" s="50">
        <v>8.3000000000000007</v>
      </c>
      <c r="O18" s="50">
        <v>8.3000000000000007</v>
      </c>
      <c r="P18" s="50">
        <v>8.3000000000000007</v>
      </c>
      <c r="Q18" s="50">
        <v>8.3000000000000007</v>
      </c>
      <c r="R18" s="50">
        <v>8.3000000000000007</v>
      </c>
      <c r="S18" s="50">
        <v>8.3000000000000007</v>
      </c>
      <c r="T18" s="50">
        <v>8.3000000000000007</v>
      </c>
      <c r="U18" s="50">
        <v>8.3000000000000007</v>
      </c>
      <c r="V18" s="50">
        <v>14.5</v>
      </c>
      <c r="W18" s="50">
        <v>14.5</v>
      </c>
      <c r="X18" s="50">
        <v>14.5</v>
      </c>
      <c r="Y18" s="50">
        <v>14.5</v>
      </c>
      <c r="Z18" s="50">
        <v>14.5</v>
      </c>
      <c r="AA18" s="50">
        <v>14.5</v>
      </c>
      <c r="AB18" s="50">
        <v>14.5</v>
      </c>
      <c r="AC18" s="50">
        <v>14.5</v>
      </c>
      <c r="AD18" s="50">
        <v>11.6</v>
      </c>
      <c r="AE18" s="50">
        <v>9.1999999999999993</v>
      </c>
      <c r="AF18" s="50">
        <v>9.4</v>
      </c>
      <c r="AG18" s="56">
        <v>30</v>
      </c>
      <c r="AH18" s="52">
        <f t="shared" si="2"/>
        <v>14.5</v>
      </c>
      <c r="AI18" s="53">
        <f t="shared" si="3"/>
        <v>8.3000000000000007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6.4</v>
      </c>
      <c r="C19" s="50">
        <v>6.4</v>
      </c>
      <c r="D19" s="50">
        <v>6.4</v>
      </c>
      <c r="E19" s="50">
        <v>6.4</v>
      </c>
      <c r="F19" s="50">
        <v>6.4</v>
      </c>
      <c r="G19" s="50">
        <v>6.4</v>
      </c>
      <c r="H19" s="50">
        <v>6.4</v>
      </c>
      <c r="I19" s="50">
        <v>6.4</v>
      </c>
      <c r="J19" s="50">
        <v>6.4</v>
      </c>
      <c r="K19" s="50">
        <v>6.4</v>
      </c>
      <c r="L19" s="50">
        <v>6.4</v>
      </c>
      <c r="M19" s="50">
        <v>6.4</v>
      </c>
      <c r="N19" s="50">
        <v>6.4</v>
      </c>
      <c r="O19" s="50">
        <v>6.4</v>
      </c>
      <c r="P19" s="50">
        <v>6.4</v>
      </c>
      <c r="Q19" s="50">
        <v>6.4</v>
      </c>
      <c r="R19" s="50">
        <v>6.4</v>
      </c>
      <c r="S19" s="50">
        <v>6.4</v>
      </c>
      <c r="T19" s="50">
        <v>6.4</v>
      </c>
      <c r="U19" s="50">
        <v>6.4</v>
      </c>
      <c r="V19" s="50">
        <v>6.4</v>
      </c>
      <c r="W19" s="50">
        <v>6.4</v>
      </c>
      <c r="X19" s="50">
        <v>6.4</v>
      </c>
      <c r="Y19" s="50">
        <v>6.4</v>
      </c>
      <c r="Z19" s="50">
        <v>6.4</v>
      </c>
      <c r="AA19" s="50">
        <v>6.4</v>
      </c>
      <c r="AB19" s="50">
        <v>6.4</v>
      </c>
      <c r="AC19" s="50">
        <v>6.4</v>
      </c>
      <c r="AD19" s="50">
        <v>15</v>
      </c>
      <c r="AE19" s="50">
        <v>13</v>
      </c>
      <c r="AF19" s="50">
        <v>13</v>
      </c>
      <c r="AG19" s="55">
        <v>24.2</v>
      </c>
      <c r="AH19" s="52">
        <f t="shared" si="2"/>
        <v>15</v>
      </c>
      <c r="AI19" s="53">
        <f t="shared" si="3"/>
        <v>6.4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12</v>
      </c>
      <c r="N20" s="50">
        <v>12</v>
      </c>
      <c r="O20" s="50">
        <v>12</v>
      </c>
      <c r="P20" s="50">
        <v>12</v>
      </c>
      <c r="Q20" s="50">
        <v>12</v>
      </c>
      <c r="R20" s="50">
        <v>12</v>
      </c>
      <c r="S20" s="50">
        <v>12</v>
      </c>
      <c r="T20" s="50">
        <v>12</v>
      </c>
      <c r="U20" s="50">
        <v>12</v>
      </c>
      <c r="V20" s="50">
        <v>12</v>
      </c>
      <c r="W20" s="50">
        <v>12</v>
      </c>
      <c r="X20" s="50">
        <v>12</v>
      </c>
      <c r="Y20" s="50">
        <v>12</v>
      </c>
      <c r="Z20" s="50">
        <v>12</v>
      </c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12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18</v>
      </c>
      <c r="X21" s="50">
        <v>18</v>
      </c>
      <c r="Y21" s="50">
        <v>18</v>
      </c>
      <c r="Z21" s="50">
        <v>18</v>
      </c>
      <c r="AA21" s="50">
        <v>18</v>
      </c>
      <c r="AB21" s="50">
        <v>18</v>
      </c>
      <c r="AC21" s="50">
        <v>18</v>
      </c>
      <c r="AD21" s="50">
        <v>8</v>
      </c>
      <c r="AE21" s="50">
        <v>8</v>
      </c>
      <c r="AF21" s="50">
        <v>8</v>
      </c>
      <c r="AG21" s="56">
        <v>30</v>
      </c>
      <c r="AH21" s="52">
        <f t="shared" si="2"/>
        <v>18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6.4</v>
      </c>
      <c r="C22" s="50">
        <v>6.4</v>
      </c>
      <c r="D22" s="50">
        <v>6.4</v>
      </c>
      <c r="E22" s="50">
        <v>6.4</v>
      </c>
      <c r="F22" s="50">
        <v>6.4</v>
      </c>
      <c r="G22" s="50">
        <v>6.4</v>
      </c>
      <c r="H22" s="50">
        <v>6.4</v>
      </c>
      <c r="I22" s="50">
        <v>6.4</v>
      </c>
      <c r="J22" s="50">
        <v>6.4</v>
      </c>
      <c r="K22" s="50">
        <v>6.4</v>
      </c>
      <c r="L22" s="50">
        <v>6.4</v>
      </c>
      <c r="M22" s="50">
        <v>6.4</v>
      </c>
      <c r="N22" s="50">
        <v>6.4</v>
      </c>
      <c r="O22" s="50">
        <v>6.4</v>
      </c>
      <c r="P22" s="50">
        <v>6.4</v>
      </c>
      <c r="Q22" s="50">
        <v>6.4</v>
      </c>
      <c r="R22" s="50">
        <v>6.4</v>
      </c>
      <c r="S22" s="50">
        <v>6.4</v>
      </c>
      <c r="T22" s="50">
        <v>6.4</v>
      </c>
      <c r="U22" s="50">
        <v>6.4</v>
      </c>
      <c r="V22" s="50">
        <v>6.4</v>
      </c>
      <c r="W22" s="50">
        <v>6.4</v>
      </c>
      <c r="X22" s="50">
        <v>6.4</v>
      </c>
      <c r="Y22" s="50">
        <v>6.4</v>
      </c>
      <c r="Z22" s="50">
        <v>6.4</v>
      </c>
      <c r="AA22" s="50">
        <v>6.4</v>
      </c>
      <c r="AB22" s="50">
        <v>6.4</v>
      </c>
      <c r="AC22" s="50">
        <v>6.4</v>
      </c>
      <c r="AD22" s="50">
        <v>13.1</v>
      </c>
      <c r="AE22" s="50">
        <v>13.2</v>
      </c>
      <c r="AF22" s="50">
        <v>13.2</v>
      </c>
      <c r="AG22" s="55">
        <v>25</v>
      </c>
      <c r="AH22" s="52">
        <f t="shared" si="2"/>
        <v>13.2</v>
      </c>
      <c r="AI22" s="53">
        <f t="shared" si="3"/>
        <v>6.4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</v>
      </c>
      <c r="C26" s="50">
        <v>6</v>
      </c>
      <c r="D26" s="50">
        <v>6</v>
      </c>
      <c r="E26" s="50">
        <v>6</v>
      </c>
      <c r="F26" s="50">
        <v>6</v>
      </c>
      <c r="G26" s="50">
        <v>6</v>
      </c>
      <c r="H26" s="50">
        <v>6</v>
      </c>
      <c r="I26" s="50">
        <v>6</v>
      </c>
      <c r="J26" s="50">
        <v>6</v>
      </c>
      <c r="K26" s="50">
        <v>6</v>
      </c>
      <c r="L26" s="50">
        <v>6</v>
      </c>
      <c r="M26" s="50">
        <v>6</v>
      </c>
      <c r="N26" s="50">
        <v>6</v>
      </c>
      <c r="O26" s="50">
        <v>6</v>
      </c>
      <c r="P26" s="50">
        <v>6</v>
      </c>
      <c r="Q26" s="50">
        <v>6</v>
      </c>
      <c r="R26" s="50">
        <v>6</v>
      </c>
      <c r="S26" s="50">
        <v>6</v>
      </c>
      <c r="T26" s="50">
        <v>6</v>
      </c>
      <c r="U26" s="50">
        <v>6</v>
      </c>
      <c r="V26" s="50">
        <v>6</v>
      </c>
      <c r="W26" s="50">
        <v>6</v>
      </c>
      <c r="X26" s="50">
        <v>6</v>
      </c>
      <c r="Y26" s="50">
        <v>6</v>
      </c>
      <c r="Z26" s="50">
        <v>6</v>
      </c>
      <c r="AA26" s="50">
        <v>6</v>
      </c>
      <c r="AB26" s="50">
        <v>6</v>
      </c>
      <c r="AC26" s="50">
        <v>6</v>
      </c>
      <c r="AD26" s="50">
        <v>12</v>
      </c>
      <c r="AE26" s="50">
        <v>12.3</v>
      </c>
      <c r="AF26" s="50">
        <v>12.3</v>
      </c>
      <c r="AG26" s="55">
        <v>23.5</v>
      </c>
      <c r="AH26" s="52">
        <f t="shared" si="2"/>
        <v>12.3</v>
      </c>
      <c r="AI26" s="53">
        <f t="shared" si="3"/>
        <v>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7.5</v>
      </c>
      <c r="C30" s="50">
        <v>7.5</v>
      </c>
      <c r="D30" s="50">
        <v>7.5</v>
      </c>
      <c r="E30" s="50">
        <v>7.5</v>
      </c>
      <c r="F30" s="50">
        <v>7.5</v>
      </c>
      <c r="G30" s="50">
        <v>7.5</v>
      </c>
      <c r="H30" s="50">
        <v>7.5</v>
      </c>
      <c r="I30" s="50">
        <v>7.5</v>
      </c>
      <c r="J30" s="50">
        <v>7.5</v>
      </c>
      <c r="K30" s="50">
        <v>7.5</v>
      </c>
      <c r="L30" s="50">
        <v>7.5</v>
      </c>
      <c r="M30" s="50">
        <v>7.5</v>
      </c>
      <c r="N30" s="50">
        <v>7.5</v>
      </c>
      <c r="O30" s="50">
        <v>7.5</v>
      </c>
      <c r="P30" s="50">
        <v>7.5</v>
      </c>
      <c r="Q30" s="50">
        <v>7.5</v>
      </c>
      <c r="R30" s="50">
        <v>7.5</v>
      </c>
      <c r="S30" s="50">
        <v>7.5</v>
      </c>
      <c r="T30" s="50">
        <v>7.5</v>
      </c>
      <c r="U30" s="50">
        <v>7.5</v>
      </c>
      <c r="V30" s="50">
        <v>7.5</v>
      </c>
      <c r="W30" s="50">
        <v>7.5</v>
      </c>
      <c r="X30" s="50">
        <v>7.5</v>
      </c>
      <c r="Y30" s="50">
        <v>7.5</v>
      </c>
      <c r="Z30" s="50">
        <v>7.5</v>
      </c>
      <c r="AA30" s="50">
        <v>7.5</v>
      </c>
      <c r="AB30" s="50">
        <v>7.5</v>
      </c>
      <c r="AC30" s="50">
        <v>7.5</v>
      </c>
      <c r="AD30" s="50">
        <v>12</v>
      </c>
      <c r="AE30" s="50">
        <v>12</v>
      </c>
      <c r="AF30" s="50">
        <v>15.8</v>
      </c>
      <c r="AG30" s="55">
        <v>22</v>
      </c>
      <c r="AH30" s="52">
        <f t="shared" si="2"/>
        <v>15.8</v>
      </c>
      <c r="AI30" s="53">
        <f t="shared" si="3"/>
        <v>7.5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10</v>
      </c>
      <c r="C38" s="50">
        <v>10</v>
      </c>
      <c r="D38" s="50">
        <v>10</v>
      </c>
      <c r="E38" s="50">
        <v>10</v>
      </c>
      <c r="F38" s="50">
        <v>10</v>
      </c>
      <c r="G38" s="50">
        <v>10</v>
      </c>
      <c r="H38" s="50">
        <v>10</v>
      </c>
      <c r="I38" s="50">
        <v>10</v>
      </c>
      <c r="J38" s="50">
        <v>10</v>
      </c>
      <c r="K38" s="50">
        <v>10</v>
      </c>
      <c r="L38" s="50">
        <v>10</v>
      </c>
      <c r="M38" s="50">
        <v>10</v>
      </c>
      <c r="N38" s="50">
        <v>10</v>
      </c>
      <c r="O38" s="50">
        <v>10</v>
      </c>
      <c r="P38" s="50">
        <v>10</v>
      </c>
      <c r="Q38" s="50">
        <v>10</v>
      </c>
      <c r="R38" s="50">
        <v>10</v>
      </c>
      <c r="S38" s="50">
        <v>10</v>
      </c>
      <c r="T38" s="50">
        <v>10</v>
      </c>
      <c r="U38" s="50">
        <v>10</v>
      </c>
      <c r="V38" s="50">
        <v>10</v>
      </c>
      <c r="W38" s="50">
        <v>10</v>
      </c>
      <c r="X38" s="50">
        <v>10</v>
      </c>
      <c r="Y38" s="50">
        <v>10</v>
      </c>
      <c r="Z38" s="50">
        <v>10</v>
      </c>
      <c r="AA38" s="50">
        <v>10</v>
      </c>
      <c r="AB38" s="50">
        <v>10</v>
      </c>
      <c r="AC38" s="50">
        <v>10</v>
      </c>
      <c r="AD38" s="50">
        <v>10</v>
      </c>
      <c r="AE38" s="50">
        <v>10</v>
      </c>
      <c r="AF38" s="50">
        <v>10</v>
      </c>
      <c r="AG38" s="55">
        <v>12</v>
      </c>
      <c r="AH38" s="52">
        <f t="shared" si="2"/>
        <v>10</v>
      </c>
      <c r="AI38" s="53">
        <f t="shared" si="3"/>
        <v>10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2.2999999999999998</v>
      </c>
      <c r="C41" s="50">
        <v>2.2999999999999998</v>
      </c>
      <c r="D41" s="50">
        <v>2.2999999999999998</v>
      </c>
      <c r="E41" s="50">
        <v>2.2999999999999998</v>
      </c>
      <c r="F41" s="50">
        <v>2.2999999999999998</v>
      </c>
      <c r="G41" s="50">
        <v>2.2999999999999998</v>
      </c>
      <c r="H41" s="50">
        <v>2.2999999999999998</v>
      </c>
      <c r="I41" s="50">
        <v>2.2999999999999998</v>
      </c>
      <c r="J41" s="50">
        <v>2.2999999999999998</v>
      </c>
      <c r="K41" s="50">
        <v>2.2999999999999998</v>
      </c>
      <c r="L41" s="50">
        <v>2.2999999999999998</v>
      </c>
      <c r="M41" s="50">
        <v>2.2999999999999998</v>
      </c>
      <c r="N41" s="50">
        <v>2.2999999999999998</v>
      </c>
      <c r="O41" s="50">
        <v>2.2999999999999998</v>
      </c>
      <c r="P41" s="50">
        <v>2.2999999999999998</v>
      </c>
      <c r="Q41" s="50">
        <v>2.2999999999999998</v>
      </c>
      <c r="R41" s="50">
        <v>2.2999999999999998</v>
      </c>
      <c r="S41" s="50">
        <v>2.2999999999999998</v>
      </c>
      <c r="T41" s="50">
        <v>2.2999999999999998</v>
      </c>
      <c r="U41" s="50">
        <v>2.2999999999999998</v>
      </c>
      <c r="V41" s="50">
        <v>2.2999999999999998</v>
      </c>
      <c r="W41" s="50">
        <v>2.2999999999999998</v>
      </c>
      <c r="X41" s="50">
        <v>2.2999999999999998</v>
      </c>
      <c r="Y41" s="50">
        <v>2.2999999999999998</v>
      </c>
      <c r="Z41" s="50">
        <v>2.2999999999999998</v>
      </c>
      <c r="AA41" s="50">
        <v>2.2999999999999998</v>
      </c>
      <c r="AB41" s="50">
        <v>2.2999999999999998</v>
      </c>
      <c r="AC41" s="50">
        <v>2.2999999999999998</v>
      </c>
      <c r="AD41" s="50">
        <v>2.2999999999999998</v>
      </c>
      <c r="AE41" s="50">
        <v>2.2999999999999998</v>
      </c>
      <c r="AF41" s="50">
        <v>2.2999999999999998</v>
      </c>
      <c r="AG41" s="56">
        <v>11.88</v>
      </c>
      <c r="AH41" s="52">
        <f t="shared" si="2"/>
        <v>2.2999999999999998</v>
      </c>
      <c r="AI41" s="53">
        <f t="shared" si="3"/>
        <v>2.2999999999999998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150</v>
      </c>
      <c r="Y46" s="63">
        <v>150</v>
      </c>
      <c r="Z46" s="63">
        <v>150</v>
      </c>
      <c r="AA46" s="63">
        <v>150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150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346.90000000000003</v>
      </c>
      <c r="C48" s="67">
        <f t="shared" si="4"/>
        <v>346.90000000000003</v>
      </c>
      <c r="D48" s="67">
        <f t="shared" si="4"/>
        <v>346.90000000000003</v>
      </c>
      <c r="E48" s="67">
        <f t="shared" ref="E48:H48" si="5">SUM(E12:E46)</f>
        <v>346.90000000000003</v>
      </c>
      <c r="F48" s="67">
        <f t="shared" si="5"/>
        <v>346.90000000000003</v>
      </c>
      <c r="G48" s="67">
        <f t="shared" si="5"/>
        <v>346.90000000000003</v>
      </c>
      <c r="H48" s="67">
        <f t="shared" si="5"/>
        <v>346.90000000000003</v>
      </c>
      <c r="I48" s="67">
        <f t="shared" ref="I48:J48" si="6">SUM(I12:I46)</f>
        <v>346.90000000000003</v>
      </c>
      <c r="J48" s="67">
        <f t="shared" si="6"/>
        <v>346.90000000000003</v>
      </c>
      <c r="K48" s="67">
        <f t="shared" ref="K48" si="7">SUM(K12:K46)</f>
        <v>346.90000000000003</v>
      </c>
      <c r="L48" s="67">
        <f t="shared" si="4"/>
        <v>346.90000000000003</v>
      </c>
      <c r="M48" s="67">
        <f t="shared" si="4"/>
        <v>346.90000000000003</v>
      </c>
      <c r="N48" s="67">
        <f t="shared" ref="N48" si="8">SUM(N12:N46)</f>
        <v>346.90000000000003</v>
      </c>
      <c r="O48" s="67">
        <f t="shared" si="4"/>
        <v>346.90000000000003</v>
      </c>
      <c r="P48" s="67">
        <f t="shared" si="4"/>
        <v>346.90000000000003</v>
      </c>
      <c r="Q48" s="67">
        <f t="shared" si="4"/>
        <v>346.90000000000003</v>
      </c>
      <c r="R48" s="67">
        <f t="shared" si="4"/>
        <v>346.90000000000003</v>
      </c>
      <c r="S48" s="67">
        <f t="shared" si="4"/>
        <v>346.90000000000003</v>
      </c>
      <c r="T48" s="67">
        <f t="shared" si="4"/>
        <v>346.90000000000003</v>
      </c>
      <c r="U48" s="67">
        <f t="shared" si="4"/>
        <v>351.5</v>
      </c>
      <c r="V48" s="67">
        <f t="shared" si="4"/>
        <v>369.7</v>
      </c>
      <c r="W48" s="67">
        <f t="shared" si="4"/>
        <v>380.7</v>
      </c>
      <c r="X48" s="67">
        <f t="shared" si="4"/>
        <v>430.7</v>
      </c>
      <c r="Y48" s="67">
        <f t="shared" si="4"/>
        <v>430.7</v>
      </c>
      <c r="Z48" s="67">
        <f t="shared" si="4"/>
        <v>430.7</v>
      </c>
      <c r="AA48" s="67">
        <f t="shared" si="4"/>
        <v>430.7</v>
      </c>
      <c r="AB48" s="67">
        <f t="shared" si="4"/>
        <v>380.7</v>
      </c>
      <c r="AC48" s="67">
        <f t="shared" si="4"/>
        <v>380.7</v>
      </c>
      <c r="AD48" s="67">
        <f t="shared" si="4"/>
        <v>412.2</v>
      </c>
      <c r="AE48" s="67">
        <f t="shared" si="4"/>
        <v>407.40000000000003</v>
      </c>
      <c r="AF48" s="67">
        <f t="shared" si="4"/>
        <v>407.40000000000003</v>
      </c>
      <c r="AG48" s="68">
        <f t="shared" si="4"/>
        <v>875.68</v>
      </c>
      <c r="AH48" s="52">
        <f t="shared" si="2"/>
        <v>430.7</v>
      </c>
      <c r="AI48" s="53">
        <f t="shared" si="3"/>
        <v>346.90000000000003</v>
      </c>
      <c r="AK48" s="54"/>
    </row>
    <row r="49" spans="1:41" x14ac:dyDescent="0.25">
      <c r="A49" s="69" t="s">
        <v>53</v>
      </c>
      <c r="B49" s="50">
        <v>20</v>
      </c>
      <c r="C49" s="50">
        <v>60</v>
      </c>
      <c r="D49" s="50">
        <v>40</v>
      </c>
      <c r="E49" s="50">
        <v>40</v>
      </c>
      <c r="F49" s="50">
        <v>40</v>
      </c>
      <c r="G49" s="50">
        <v>15</v>
      </c>
      <c r="H49" s="50">
        <v>40</v>
      </c>
      <c r="I49" s="50">
        <v>40</v>
      </c>
      <c r="J49" s="50">
        <v>90</v>
      </c>
      <c r="K49" s="50">
        <v>70</v>
      </c>
      <c r="L49" s="50">
        <v>60</v>
      </c>
      <c r="M49" s="50">
        <v>62</v>
      </c>
      <c r="N49" s="50">
        <v>62</v>
      </c>
      <c r="O49" s="50">
        <v>60</v>
      </c>
      <c r="P49" s="50">
        <v>100</v>
      </c>
      <c r="Q49" s="50">
        <v>80</v>
      </c>
      <c r="R49" s="50">
        <v>60</v>
      </c>
      <c r="S49" s="50">
        <v>85</v>
      </c>
      <c r="T49" s="50">
        <v>81</v>
      </c>
      <c r="U49" s="50">
        <v>50</v>
      </c>
      <c r="V49" s="50">
        <v>40</v>
      </c>
      <c r="W49" s="50">
        <v>40</v>
      </c>
      <c r="X49" s="50">
        <v>15</v>
      </c>
      <c r="Y49" s="50">
        <v>15</v>
      </c>
      <c r="Z49" s="50">
        <v>15</v>
      </c>
      <c r="AA49" s="50">
        <v>15</v>
      </c>
      <c r="AB49" s="50">
        <v>15</v>
      </c>
      <c r="AC49" s="50">
        <v>15</v>
      </c>
      <c r="AD49" s="50">
        <v>15</v>
      </c>
      <c r="AE49" s="50">
        <v>0</v>
      </c>
      <c r="AF49" s="50">
        <v>0</v>
      </c>
      <c r="AG49" s="56">
        <v>456</v>
      </c>
      <c r="AH49" s="52">
        <f t="shared" si="2"/>
        <v>100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46</v>
      </c>
      <c r="X50" s="72">
        <v>46</v>
      </c>
      <c r="Y50" s="72">
        <v>46</v>
      </c>
      <c r="Z50" s="72">
        <v>46</v>
      </c>
      <c r="AA50" s="72">
        <v>40</v>
      </c>
      <c r="AB50" s="72">
        <v>40</v>
      </c>
      <c r="AC50" s="72">
        <v>40</v>
      </c>
      <c r="AD50" s="72">
        <v>40</v>
      </c>
      <c r="AE50" s="72">
        <v>48</v>
      </c>
      <c r="AF50" s="72">
        <v>60</v>
      </c>
      <c r="AG50" s="61">
        <v>60</v>
      </c>
      <c r="AH50" s="52">
        <f t="shared" si="2"/>
        <v>60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10.199999999999999</v>
      </c>
      <c r="C51" s="74">
        <v>10.199999999999999</v>
      </c>
      <c r="D51" s="74">
        <v>10.199999999999999</v>
      </c>
      <c r="E51" s="74">
        <v>10.199999999999999</v>
      </c>
      <c r="F51" s="74">
        <v>10.199999999999999</v>
      </c>
      <c r="G51" s="74">
        <v>10.199999999999999</v>
      </c>
      <c r="H51" s="74">
        <v>10.199999999999999</v>
      </c>
      <c r="I51" s="74">
        <v>10.199999999999999</v>
      </c>
      <c r="J51" s="74">
        <v>10.199999999999999</v>
      </c>
      <c r="K51" s="74">
        <v>10.199999999999999</v>
      </c>
      <c r="L51" s="74">
        <v>10.199999999999999</v>
      </c>
      <c r="M51" s="74">
        <v>10.199999999999999</v>
      </c>
      <c r="N51" s="74">
        <v>10.199999999999999</v>
      </c>
      <c r="O51" s="74">
        <v>10.199999999999999</v>
      </c>
      <c r="P51" s="74">
        <v>10.199999999999999</v>
      </c>
      <c r="Q51" s="74">
        <v>10.199999999999999</v>
      </c>
      <c r="R51" s="74">
        <v>10.199999999999999</v>
      </c>
      <c r="S51" s="74">
        <v>10.199999999999999</v>
      </c>
      <c r="T51" s="74">
        <v>10.199999999999999</v>
      </c>
      <c r="U51" s="74">
        <v>8.6</v>
      </c>
      <c r="V51" s="74">
        <v>8.6</v>
      </c>
      <c r="W51" s="74">
        <v>8.6</v>
      </c>
      <c r="X51" s="74">
        <v>8.6</v>
      </c>
      <c r="Y51" s="74">
        <v>8.6</v>
      </c>
      <c r="Z51" s="74">
        <v>8.6</v>
      </c>
      <c r="AA51" s="74">
        <v>8.6</v>
      </c>
      <c r="AB51" s="74">
        <v>11.2</v>
      </c>
      <c r="AC51" s="74">
        <v>11.2</v>
      </c>
      <c r="AD51" s="74">
        <v>11.2</v>
      </c>
      <c r="AE51" s="74">
        <v>11.2</v>
      </c>
      <c r="AF51" s="74">
        <v>11.2</v>
      </c>
      <c r="AG51" s="75">
        <v>22.1</v>
      </c>
      <c r="AH51" s="52">
        <f t="shared" si="2"/>
        <v>11.2</v>
      </c>
      <c r="AI51" s="53">
        <f t="shared" si="3"/>
        <v>8.6</v>
      </c>
      <c r="AK51" s="54"/>
    </row>
    <row r="52" spans="1:41" ht="15.75" thickBot="1" x14ac:dyDescent="0.3">
      <c r="A52" s="76" t="s">
        <v>56</v>
      </c>
      <c r="B52" s="67">
        <f t="shared" ref="B52:AG52" si="9">SUM(B49:B51)</f>
        <v>55.2</v>
      </c>
      <c r="C52" s="67">
        <f t="shared" si="9"/>
        <v>95.2</v>
      </c>
      <c r="D52" s="67">
        <f t="shared" si="9"/>
        <v>75.2</v>
      </c>
      <c r="E52" s="67">
        <f t="shared" ref="E52:H52" si="10">SUM(E49:E51)</f>
        <v>75.2</v>
      </c>
      <c r="F52" s="67">
        <f t="shared" si="10"/>
        <v>75.2</v>
      </c>
      <c r="G52" s="67">
        <f t="shared" si="10"/>
        <v>50.2</v>
      </c>
      <c r="H52" s="67">
        <f t="shared" si="10"/>
        <v>75.2</v>
      </c>
      <c r="I52" s="67">
        <f t="shared" ref="I52:J52" si="11">SUM(I49:I51)</f>
        <v>75.2</v>
      </c>
      <c r="J52" s="67">
        <f t="shared" si="11"/>
        <v>125.2</v>
      </c>
      <c r="K52" s="67">
        <f t="shared" ref="K52" si="12">SUM(K49:K51)</f>
        <v>105.2</v>
      </c>
      <c r="L52" s="67">
        <f t="shared" si="9"/>
        <v>95.2</v>
      </c>
      <c r="M52" s="67">
        <f t="shared" si="9"/>
        <v>97.2</v>
      </c>
      <c r="N52" s="67">
        <f t="shared" ref="N52" si="13">SUM(N49:N51)</f>
        <v>97.2</v>
      </c>
      <c r="O52" s="67">
        <f t="shared" si="9"/>
        <v>95.2</v>
      </c>
      <c r="P52" s="67">
        <f t="shared" si="9"/>
        <v>135.19999999999999</v>
      </c>
      <c r="Q52" s="67">
        <f t="shared" si="9"/>
        <v>115.2</v>
      </c>
      <c r="R52" s="67">
        <f t="shared" si="9"/>
        <v>95.2</v>
      </c>
      <c r="S52" s="67">
        <f t="shared" si="9"/>
        <v>120.2</v>
      </c>
      <c r="T52" s="67">
        <f t="shared" si="9"/>
        <v>116.2</v>
      </c>
      <c r="U52" s="67">
        <f t="shared" si="9"/>
        <v>83.6</v>
      </c>
      <c r="V52" s="67">
        <f t="shared" si="9"/>
        <v>73.599999999999994</v>
      </c>
      <c r="W52" s="67">
        <f t="shared" si="9"/>
        <v>94.6</v>
      </c>
      <c r="X52" s="67">
        <f t="shared" si="9"/>
        <v>69.599999999999994</v>
      </c>
      <c r="Y52" s="67">
        <f t="shared" si="9"/>
        <v>69.599999999999994</v>
      </c>
      <c r="Z52" s="67">
        <f t="shared" si="9"/>
        <v>69.599999999999994</v>
      </c>
      <c r="AA52" s="67">
        <f t="shared" si="9"/>
        <v>63.6</v>
      </c>
      <c r="AB52" s="67">
        <f t="shared" si="9"/>
        <v>66.2</v>
      </c>
      <c r="AC52" s="67">
        <f t="shared" si="9"/>
        <v>66.2</v>
      </c>
      <c r="AD52" s="67">
        <f t="shared" si="9"/>
        <v>66.2</v>
      </c>
      <c r="AE52" s="67">
        <f t="shared" si="9"/>
        <v>59.2</v>
      </c>
      <c r="AF52" s="67">
        <f t="shared" si="9"/>
        <v>71.2</v>
      </c>
      <c r="AG52" s="68">
        <f t="shared" si="9"/>
        <v>538.1</v>
      </c>
      <c r="AH52" s="52">
        <f t="shared" si="2"/>
        <v>135.19999999999999</v>
      </c>
      <c r="AI52" s="53">
        <f t="shared" si="3"/>
        <v>50.2</v>
      </c>
      <c r="AK52" s="54"/>
    </row>
    <row r="53" spans="1:41" x14ac:dyDescent="0.25">
      <c r="A53" s="49" t="s">
        <v>57</v>
      </c>
      <c r="B53" s="50">
        <v>30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42.5</v>
      </c>
      <c r="I53" s="50">
        <v>42.5</v>
      </c>
      <c r="J53" s="50">
        <v>42</v>
      </c>
      <c r="K53" s="50">
        <v>80</v>
      </c>
      <c r="L53" s="50">
        <v>61</v>
      </c>
      <c r="M53" s="50">
        <v>60.8</v>
      </c>
      <c r="N53" s="50">
        <v>60.8</v>
      </c>
      <c r="O53" s="50">
        <v>61.9</v>
      </c>
      <c r="P53" s="50">
        <v>76.2</v>
      </c>
      <c r="Q53" s="50">
        <v>60</v>
      </c>
      <c r="R53" s="50">
        <v>60</v>
      </c>
      <c r="S53" s="50">
        <v>82</v>
      </c>
      <c r="T53" s="50">
        <v>81.3</v>
      </c>
      <c r="U53" s="50">
        <v>71.099999999999994</v>
      </c>
      <c r="V53" s="50">
        <v>71.099999999999994</v>
      </c>
      <c r="W53" s="50">
        <v>61.5</v>
      </c>
      <c r="X53" s="50">
        <v>68.7</v>
      </c>
      <c r="Y53" s="50">
        <v>95</v>
      </c>
      <c r="Z53" s="50">
        <v>104</v>
      </c>
      <c r="AA53" s="50">
        <v>104</v>
      </c>
      <c r="AB53" s="50">
        <v>102</v>
      </c>
      <c r="AC53" s="50">
        <v>103</v>
      </c>
      <c r="AD53" s="50">
        <v>40.700000000000003</v>
      </c>
      <c r="AE53" s="50">
        <v>0</v>
      </c>
      <c r="AF53" s="50">
        <v>0</v>
      </c>
      <c r="AG53" s="56">
        <v>144</v>
      </c>
      <c r="AH53" s="52">
        <f t="shared" si="2"/>
        <v>104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30</v>
      </c>
      <c r="C54" s="72">
        <v>30</v>
      </c>
      <c r="D54" s="72">
        <v>30</v>
      </c>
      <c r="E54" s="72">
        <v>25</v>
      </c>
      <c r="F54" s="72">
        <v>24</v>
      </c>
      <c r="G54" s="72">
        <v>25</v>
      </c>
      <c r="H54" s="72">
        <v>24</v>
      </c>
      <c r="I54" s="72">
        <v>24</v>
      </c>
      <c r="J54" s="72">
        <v>25</v>
      </c>
      <c r="K54" s="72">
        <v>35</v>
      </c>
      <c r="L54" s="72">
        <v>34.799999999999997</v>
      </c>
      <c r="M54" s="72">
        <v>34.799999999999997</v>
      </c>
      <c r="N54" s="72">
        <v>34.799999999999997</v>
      </c>
      <c r="O54" s="72">
        <v>24.8</v>
      </c>
      <c r="P54" s="72">
        <v>29.5</v>
      </c>
      <c r="Q54" s="72">
        <v>29.5</v>
      </c>
      <c r="R54" s="72">
        <v>29.5</v>
      </c>
      <c r="S54" s="72">
        <v>35</v>
      </c>
      <c r="T54" s="72">
        <v>25</v>
      </c>
      <c r="U54" s="50">
        <v>24.5</v>
      </c>
      <c r="V54" s="50">
        <v>24.5</v>
      </c>
      <c r="W54" s="50">
        <v>24.5</v>
      </c>
      <c r="X54" s="50">
        <v>25</v>
      </c>
      <c r="Y54" s="50">
        <v>25</v>
      </c>
      <c r="Z54" s="50">
        <v>34.799999999999997</v>
      </c>
      <c r="AA54" s="50">
        <v>34.799999999999997</v>
      </c>
      <c r="AB54" s="72">
        <v>23.1</v>
      </c>
      <c r="AC54" s="72">
        <v>23.1</v>
      </c>
      <c r="AD54" s="72">
        <v>23.2</v>
      </c>
      <c r="AE54" s="72">
        <v>23</v>
      </c>
      <c r="AF54" s="72">
        <v>23</v>
      </c>
      <c r="AG54" s="61">
        <v>70</v>
      </c>
      <c r="AH54" s="52">
        <f t="shared" si="2"/>
        <v>35</v>
      </c>
      <c r="AI54" s="53">
        <f t="shared" si="3"/>
        <v>23</v>
      </c>
      <c r="AK54" s="54"/>
    </row>
    <row r="55" spans="1:41" x14ac:dyDescent="0.25">
      <c r="A55" s="60" t="s">
        <v>59</v>
      </c>
      <c r="B55" s="72">
        <v>35</v>
      </c>
      <c r="C55" s="72">
        <v>0</v>
      </c>
      <c r="D55" s="72">
        <v>0</v>
      </c>
      <c r="E55" s="72">
        <v>0</v>
      </c>
      <c r="F55" s="72">
        <v>0</v>
      </c>
      <c r="G55" s="72">
        <v>0</v>
      </c>
      <c r="H55" s="72">
        <v>21.5</v>
      </c>
      <c r="I55" s="72">
        <v>21.5</v>
      </c>
      <c r="J55" s="72">
        <v>44.5</v>
      </c>
      <c r="K55" s="72">
        <v>44.5</v>
      </c>
      <c r="L55" s="72">
        <v>44.7</v>
      </c>
      <c r="M55" s="72">
        <v>45</v>
      </c>
      <c r="N55" s="72">
        <v>45</v>
      </c>
      <c r="O55" s="72">
        <v>35.1</v>
      </c>
      <c r="P55" s="72">
        <v>46.3</v>
      </c>
      <c r="Q55" s="72">
        <v>46.3</v>
      </c>
      <c r="R55" s="72">
        <v>46.3</v>
      </c>
      <c r="S55" s="72">
        <v>33</v>
      </c>
      <c r="T55" s="72">
        <v>32.4</v>
      </c>
      <c r="U55" s="50">
        <v>32.200000000000003</v>
      </c>
      <c r="V55" s="50">
        <v>32.200000000000003</v>
      </c>
      <c r="W55" s="50">
        <v>32.200000000000003</v>
      </c>
      <c r="X55" s="50">
        <v>32.200000000000003</v>
      </c>
      <c r="Y55" s="50">
        <v>17</v>
      </c>
      <c r="Z55" s="50">
        <v>51.1</v>
      </c>
      <c r="AA55" s="50">
        <v>51.1</v>
      </c>
      <c r="AB55" s="72">
        <v>33.5</v>
      </c>
      <c r="AC55" s="72">
        <v>33.5</v>
      </c>
      <c r="AD55" s="72">
        <v>21.7</v>
      </c>
      <c r="AE55" s="72">
        <v>0</v>
      </c>
      <c r="AF55" s="72">
        <v>0</v>
      </c>
      <c r="AG55" s="61">
        <v>69</v>
      </c>
      <c r="AH55" s="52">
        <f t="shared" si="2"/>
        <v>51.1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35</v>
      </c>
      <c r="C56" s="72">
        <v>35</v>
      </c>
      <c r="D56" s="72">
        <v>35</v>
      </c>
      <c r="E56" s="72">
        <v>35</v>
      </c>
      <c r="F56" s="72">
        <v>35</v>
      </c>
      <c r="G56" s="72">
        <v>35</v>
      </c>
      <c r="H56" s="72">
        <v>35</v>
      </c>
      <c r="I56" s="72">
        <v>35</v>
      </c>
      <c r="J56" s="72">
        <v>35</v>
      </c>
      <c r="K56" s="72">
        <v>35</v>
      </c>
      <c r="L56" s="72">
        <v>35</v>
      </c>
      <c r="M56" s="72">
        <v>34.799999999999997</v>
      </c>
      <c r="N56" s="72">
        <v>34.799999999999997</v>
      </c>
      <c r="O56" s="72">
        <v>34.799999999999997</v>
      </c>
      <c r="P56" s="72">
        <v>34.799999999999997</v>
      </c>
      <c r="Q56" s="72">
        <v>34.799999999999997</v>
      </c>
      <c r="R56" s="72">
        <v>34.799999999999997</v>
      </c>
      <c r="S56" s="72">
        <v>34.799999999999997</v>
      </c>
      <c r="T56" s="72">
        <v>34.799999999999997</v>
      </c>
      <c r="U56" s="50">
        <v>34.799999999999997</v>
      </c>
      <c r="V56" s="50">
        <v>34.799999999999997</v>
      </c>
      <c r="W56" s="50">
        <v>34.799999999999997</v>
      </c>
      <c r="X56" s="50">
        <v>34.799999999999997</v>
      </c>
      <c r="Y56" s="50">
        <v>34.799999999999997</v>
      </c>
      <c r="Z56" s="50">
        <v>39.799999999999997</v>
      </c>
      <c r="AA56" s="50">
        <v>39.799999999999997</v>
      </c>
      <c r="AB56" s="50">
        <v>39.799999999999997</v>
      </c>
      <c r="AC56" s="50">
        <v>39.799999999999997</v>
      </c>
      <c r="AD56" s="72">
        <v>45.3</v>
      </c>
      <c r="AE56" s="72">
        <v>46.3</v>
      </c>
      <c r="AF56" s="72">
        <v>46.3</v>
      </c>
      <c r="AG56" s="61">
        <v>60</v>
      </c>
      <c r="AH56" s="52">
        <f t="shared" si="2"/>
        <v>46.3</v>
      </c>
      <c r="AI56" s="53">
        <f t="shared" si="3"/>
        <v>34.799999999999997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13</v>
      </c>
      <c r="I57" s="72">
        <v>13</v>
      </c>
      <c r="J57" s="72">
        <v>13</v>
      </c>
      <c r="K57" s="72">
        <v>25</v>
      </c>
      <c r="L57" s="72">
        <v>25</v>
      </c>
      <c r="M57" s="72">
        <v>25</v>
      </c>
      <c r="N57" s="72">
        <v>10</v>
      </c>
      <c r="O57" s="72">
        <v>15</v>
      </c>
      <c r="P57" s="72">
        <v>20</v>
      </c>
      <c r="Q57" s="72">
        <v>20</v>
      </c>
      <c r="R57" s="72">
        <v>20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10</v>
      </c>
      <c r="Y57" s="72">
        <v>10</v>
      </c>
      <c r="Z57" s="72">
        <v>10</v>
      </c>
      <c r="AA57" s="72">
        <v>10</v>
      </c>
      <c r="AB57" s="72">
        <v>20</v>
      </c>
      <c r="AC57" s="72">
        <v>15</v>
      </c>
      <c r="AD57" s="72">
        <v>10</v>
      </c>
      <c r="AE57" s="72">
        <v>0</v>
      </c>
      <c r="AF57" s="72">
        <v>0</v>
      </c>
      <c r="AG57" s="61">
        <v>30</v>
      </c>
      <c r="AH57" s="52">
        <f t="shared" si="2"/>
        <v>25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14</v>
      </c>
      <c r="C59" s="72">
        <v>14</v>
      </c>
      <c r="D59" s="72">
        <v>14</v>
      </c>
      <c r="E59" s="72">
        <v>14</v>
      </c>
      <c r="F59" s="72">
        <v>14</v>
      </c>
      <c r="G59" s="72">
        <v>14</v>
      </c>
      <c r="H59" s="72">
        <v>14</v>
      </c>
      <c r="I59" s="72">
        <v>14</v>
      </c>
      <c r="J59" s="72">
        <v>14</v>
      </c>
      <c r="K59" s="72">
        <v>14</v>
      </c>
      <c r="L59" s="72">
        <v>14</v>
      </c>
      <c r="M59" s="72">
        <v>14</v>
      </c>
      <c r="N59" s="72">
        <v>14</v>
      </c>
      <c r="O59" s="72">
        <v>14</v>
      </c>
      <c r="P59" s="72">
        <v>14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14</v>
      </c>
      <c r="AA59" s="72">
        <v>14</v>
      </c>
      <c r="AB59" s="72">
        <v>14</v>
      </c>
      <c r="AC59" s="72">
        <v>14</v>
      </c>
      <c r="AD59" s="72">
        <v>14</v>
      </c>
      <c r="AE59" s="72">
        <v>14</v>
      </c>
      <c r="AF59" s="72">
        <v>14</v>
      </c>
      <c r="AG59" s="61">
        <v>24</v>
      </c>
      <c r="AH59" s="52">
        <f t="shared" si="2"/>
        <v>14</v>
      </c>
      <c r="AI59" s="53">
        <f t="shared" si="3"/>
        <v>14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9.8000000000000007</v>
      </c>
      <c r="C61" s="72">
        <v>9.8000000000000007</v>
      </c>
      <c r="D61" s="72">
        <v>9.8000000000000007</v>
      </c>
      <c r="E61" s="72">
        <v>9.8000000000000007</v>
      </c>
      <c r="F61" s="72">
        <v>9.8000000000000007</v>
      </c>
      <c r="G61" s="72">
        <v>9.8000000000000007</v>
      </c>
      <c r="H61" s="72">
        <v>9.8000000000000007</v>
      </c>
      <c r="I61" s="72">
        <v>9.8000000000000007</v>
      </c>
      <c r="J61" s="72">
        <v>9.8000000000000007</v>
      </c>
      <c r="K61" s="72">
        <v>9.8000000000000007</v>
      </c>
      <c r="L61" s="72">
        <v>9.8000000000000007</v>
      </c>
      <c r="M61" s="72">
        <v>9.8000000000000007</v>
      </c>
      <c r="N61" s="72">
        <v>9.8000000000000007</v>
      </c>
      <c r="O61" s="72">
        <v>9.8000000000000007</v>
      </c>
      <c r="P61" s="72">
        <v>9.8000000000000007</v>
      </c>
      <c r="Q61" s="72">
        <v>9.8000000000000007</v>
      </c>
      <c r="R61" s="72">
        <v>9.8000000000000007</v>
      </c>
      <c r="S61" s="72">
        <v>9.8000000000000007</v>
      </c>
      <c r="T61" s="72">
        <v>9.8000000000000007</v>
      </c>
      <c r="U61" s="72">
        <v>9.8000000000000007</v>
      </c>
      <c r="V61" s="72">
        <v>9.8000000000000007</v>
      </c>
      <c r="W61" s="72">
        <v>9.8000000000000007</v>
      </c>
      <c r="X61" s="72">
        <v>9.8000000000000007</v>
      </c>
      <c r="Y61" s="72">
        <v>9.8000000000000007</v>
      </c>
      <c r="Z61" s="72">
        <v>9.8000000000000007</v>
      </c>
      <c r="AA61" s="72">
        <v>9.8000000000000007</v>
      </c>
      <c r="AB61" s="72">
        <v>9.8000000000000007</v>
      </c>
      <c r="AC61" s="72">
        <v>9.8000000000000007</v>
      </c>
      <c r="AD61" s="72">
        <v>11.3</v>
      </c>
      <c r="AE61" s="72">
        <v>11.4</v>
      </c>
      <c r="AF61" s="72">
        <v>11.4</v>
      </c>
      <c r="AG61" s="61">
        <v>14.1</v>
      </c>
      <c r="AH61" s="52">
        <f t="shared" si="2"/>
        <v>11.4</v>
      </c>
      <c r="AI61" s="53">
        <f t="shared" si="3"/>
        <v>9.8000000000000007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</v>
      </c>
      <c r="C62" s="72">
        <v>3</v>
      </c>
      <c r="D62" s="72">
        <v>3</v>
      </c>
      <c r="E62" s="72">
        <v>3</v>
      </c>
      <c r="F62" s="72">
        <v>3</v>
      </c>
      <c r="G62" s="72">
        <v>3</v>
      </c>
      <c r="H62" s="72">
        <v>3</v>
      </c>
      <c r="I62" s="72">
        <v>3</v>
      </c>
      <c r="J62" s="72">
        <v>3</v>
      </c>
      <c r="K62" s="72">
        <v>3</v>
      </c>
      <c r="L62" s="72">
        <v>3</v>
      </c>
      <c r="M62" s="72">
        <v>3</v>
      </c>
      <c r="N62" s="72">
        <v>3</v>
      </c>
      <c r="O62" s="72">
        <v>3</v>
      </c>
      <c r="P62" s="72">
        <v>3</v>
      </c>
      <c r="Q62" s="72">
        <v>3</v>
      </c>
      <c r="R62" s="72">
        <v>3</v>
      </c>
      <c r="S62" s="72">
        <v>3</v>
      </c>
      <c r="T62" s="72">
        <v>3</v>
      </c>
      <c r="U62" s="72">
        <v>3</v>
      </c>
      <c r="V62" s="72">
        <v>3</v>
      </c>
      <c r="W62" s="72">
        <v>3</v>
      </c>
      <c r="X62" s="72">
        <v>3</v>
      </c>
      <c r="Y62" s="72">
        <v>3</v>
      </c>
      <c r="Z62" s="72">
        <v>3</v>
      </c>
      <c r="AA62" s="72">
        <v>3</v>
      </c>
      <c r="AB62" s="72">
        <v>3</v>
      </c>
      <c r="AC62" s="72">
        <v>3</v>
      </c>
      <c r="AD62" s="72">
        <v>7.1</v>
      </c>
      <c r="AE62" s="72">
        <v>7</v>
      </c>
      <c r="AF62" s="72">
        <v>7</v>
      </c>
      <c r="AG62" s="61">
        <v>14</v>
      </c>
      <c r="AH62" s="52">
        <f t="shared" si="2"/>
        <v>7.1</v>
      </c>
      <c r="AI62" s="53">
        <f t="shared" si="3"/>
        <v>3</v>
      </c>
      <c r="AK62" s="54"/>
    </row>
    <row r="63" spans="1:41" x14ac:dyDescent="0.25">
      <c r="A63" s="60" t="s">
        <v>67</v>
      </c>
      <c r="B63" s="72">
        <v>2.4</v>
      </c>
      <c r="C63" s="72">
        <v>2.4</v>
      </c>
      <c r="D63" s="72">
        <v>2.4</v>
      </c>
      <c r="E63" s="72">
        <v>2.4</v>
      </c>
      <c r="F63" s="72">
        <v>2.4</v>
      </c>
      <c r="G63" s="72">
        <v>2.4</v>
      </c>
      <c r="H63" s="72">
        <v>2.4</v>
      </c>
      <c r="I63" s="72">
        <v>2.4</v>
      </c>
      <c r="J63" s="72">
        <v>2.4</v>
      </c>
      <c r="K63" s="72">
        <v>2.4</v>
      </c>
      <c r="L63" s="72">
        <v>2.4</v>
      </c>
      <c r="M63" s="72">
        <v>2.4</v>
      </c>
      <c r="N63" s="72">
        <v>2.4</v>
      </c>
      <c r="O63" s="72">
        <v>2.4</v>
      </c>
      <c r="P63" s="72">
        <v>2.4</v>
      </c>
      <c r="Q63" s="72">
        <v>2.4</v>
      </c>
      <c r="R63" s="72">
        <v>2.4</v>
      </c>
      <c r="S63" s="72">
        <v>2.4</v>
      </c>
      <c r="T63" s="72">
        <v>2.4</v>
      </c>
      <c r="U63" s="72">
        <v>2.4</v>
      </c>
      <c r="V63" s="72">
        <v>2.4</v>
      </c>
      <c r="W63" s="72">
        <v>2.4</v>
      </c>
      <c r="X63" s="72">
        <v>2.4</v>
      </c>
      <c r="Y63" s="72">
        <v>2.4</v>
      </c>
      <c r="Z63" s="72">
        <v>2.4</v>
      </c>
      <c r="AA63" s="72">
        <v>2.4</v>
      </c>
      <c r="AB63" s="72">
        <v>2.4</v>
      </c>
      <c r="AC63" s="72">
        <v>2.4</v>
      </c>
      <c r="AD63" s="72">
        <v>5.2</v>
      </c>
      <c r="AE63" s="72">
        <v>5.2</v>
      </c>
      <c r="AF63" s="72">
        <v>5.2</v>
      </c>
      <c r="AG63" s="61">
        <v>10.050000000000001</v>
      </c>
      <c r="AH63" s="52">
        <f t="shared" si="2"/>
        <v>5.2</v>
      </c>
      <c r="AI63" s="53">
        <f t="shared" si="3"/>
        <v>2.4</v>
      </c>
      <c r="AK63" s="54"/>
    </row>
    <row r="64" spans="1:41" x14ac:dyDescent="0.25">
      <c r="A64" s="60" t="s">
        <v>68</v>
      </c>
      <c r="B64" s="72">
        <v>1.6</v>
      </c>
      <c r="C64" s="72">
        <v>1.6</v>
      </c>
      <c r="D64" s="72">
        <v>1.6</v>
      </c>
      <c r="E64" s="72">
        <v>1.6</v>
      </c>
      <c r="F64" s="72">
        <v>1.6</v>
      </c>
      <c r="G64" s="72">
        <v>1.6</v>
      </c>
      <c r="H64" s="72">
        <v>1.6</v>
      </c>
      <c r="I64" s="72">
        <v>1.6</v>
      </c>
      <c r="J64" s="72">
        <v>1.6</v>
      </c>
      <c r="K64" s="72">
        <v>1.6</v>
      </c>
      <c r="L64" s="72">
        <v>1.6</v>
      </c>
      <c r="M64" s="72">
        <v>1.6</v>
      </c>
      <c r="N64" s="72">
        <v>1.6</v>
      </c>
      <c r="O64" s="72">
        <v>1.6</v>
      </c>
      <c r="P64" s="72">
        <v>1.6</v>
      </c>
      <c r="Q64" s="72">
        <v>1.6</v>
      </c>
      <c r="R64" s="72">
        <v>1.6</v>
      </c>
      <c r="S64" s="72">
        <v>1.6</v>
      </c>
      <c r="T64" s="72">
        <v>1.6</v>
      </c>
      <c r="U64" s="72">
        <v>1.6</v>
      </c>
      <c r="V64" s="72">
        <v>1.6</v>
      </c>
      <c r="W64" s="72">
        <v>1.6</v>
      </c>
      <c r="X64" s="72">
        <v>1.6</v>
      </c>
      <c r="Y64" s="72">
        <v>1.6</v>
      </c>
      <c r="Z64" s="72">
        <v>1.6</v>
      </c>
      <c r="AA64" s="72">
        <v>1.6</v>
      </c>
      <c r="AB64" s="72">
        <v>1.6</v>
      </c>
      <c r="AC64" s="72">
        <v>1.6</v>
      </c>
      <c r="AD64" s="72">
        <v>2.4</v>
      </c>
      <c r="AE64" s="72">
        <v>2.4</v>
      </c>
      <c r="AF64" s="72">
        <v>2.4</v>
      </c>
      <c r="AG64" s="61">
        <v>6.2</v>
      </c>
      <c r="AH64" s="52">
        <f t="shared" si="2"/>
        <v>2.4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4">SUM(B53:B65)</f>
        <v>164.34</v>
      </c>
      <c r="C66" s="67">
        <f t="shared" si="14"/>
        <v>99.34</v>
      </c>
      <c r="D66" s="67">
        <f t="shared" si="14"/>
        <v>99.34</v>
      </c>
      <c r="E66" s="67">
        <f t="shared" ref="E66:H66" si="15">SUM(E53:E65)</f>
        <v>94.34</v>
      </c>
      <c r="F66" s="67">
        <f t="shared" si="15"/>
        <v>93.34</v>
      </c>
      <c r="G66" s="67">
        <f t="shared" si="15"/>
        <v>94.34</v>
      </c>
      <c r="H66" s="67">
        <f t="shared" si="15"/>
        <v>170.34</v>
      </c>
      <c r="I66" s="67">
        <f t="shared" ref="I66:J66" si="16">SUM(I53:I65)</f>
        <v>170.34</v>
      </c>
      <c r="J66" s="67">
        <f t="shared" si="16"/>
        <v>193.84</v>
      </c>
      <c r="K66" s="67">
        <f t="shared" si="14"/>
        <v>253.84</v>
      </c>
      <c r="L66" s="67">
        <f t="shared" si="14"/>
        <v>234.84</v>
      </c>
      <c r="M66" s="67">
        <f t="shared" si="14"/>
        <v>234.73999999999998</v>
      </c>
      <c r="N66" s="67">
        <f t="shared" si="14"/>
        <v>219.73999999999998</v>
      </c>
      <c r="O66" s="67">
        <f t="shared" si="14"/>
        <v>205.94000000000003</v>
      </c>
      <c r="P66" s="67">
        <f t="shared" si="14"/>
        <v>241.14000000000001</v>
      </c>
      <c r="Q66" s="67">
        <f t="shared" si="14"/>
        <v>224.94000000000003</v>
      </c>
      <c r="R66" s="67">
        <f t="shared" si="14"/>
        <v>224.94000000000003</v>
      </c>
      <c r="S66" s="67">
        <f t="shared" si="14"/>
        <v>219.14000000000001</v>
      </c>
      <c r="T66" s="67">
        <f t="shared" si="14"/>
        <v>207.84</v>
      </c>
      <c r="U66" s="67">
        <f t="shared" si="14"/>
        <v>196.94</v>
      </c>
      <c r="V66" s="67">
        <f t="shared" si="14"/>
        <v>196.94</v>
      </c>
      <c r="W66" s="67">
        <f t="shared" si="14"/>
        <v>187.34</v>
      </c>
      <c r="X66" s="67">
        <f t="shared" si="14"/>
        <v>205.04</v>
      </c>
      <c r="Y66" s="67">
        <f t="shared" si="14"/>
        <v>216.14000000000001</v>
      </c>
      <c r="Z66" s="67">
        <f t="shared" si="14"/>
        <v>274.04000000000002</v>
      </c>
      <c r="AA66" s="67">
        <f t="shared" si="14"/>
        <v>274.04000000000002</v>
      </c>
      <c r="AB66" s="67">
        <f t="shared" si="14"/>
        <v>252.73999999999998</v>
      </c>
      <c r="AC66" s="67">
        <f t="shared" si="14"/>
        <v>248.73999999999998</v>
      </c>
      <c r="AD66" s="67">
        <f t="shared" si="14"/>
        <v>184.44</v>
      </c>
      <c r="AE66" s="67">
        <f t="shared" si="14"/>
        <v>112.84000000000002</v>
      </c>
      <c r="AF66" s="67">
        <f t="shared" si="14"/>
        <v>112.84000000000002</v>
      </c>
      <c r="AG66" s="68">
        <f t="shared" si="14"/>
        <v>489.91</v>
      </c>
      <c r="AH66" s="52">
        <f t="shared" si="2"/>
        <v>274.04000000000002</v>
      </c>
      <c r="AI66" s="53">
        <f t="shared" si="3"/>
        <v>93.34</v>
      </c>
      <c r="AK66" s="54"/>
    </row>
    <row r="67" spans="1:40" x14ac:dyDescent="0.25">
      <c r="A67" s="49" t="s">
        <v>71</v>
      </c>
      <c r="B67" s="50">
        <v>40</v>
      </c>
      <c r="C67" s="50">
        <v>55</v>
      </c>
      <c r="D67" s="50">
        <v>55</v>
      </c>
      <c r="E67" s="50">
        <v>55</v>
      </c>
      <c r="F67" s="50">
        <v>55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59.3</v>
      </c>
      <c r="M67" s="50">
        <v>59.3</v>
      </c>
      <c r="N67" s="50">
        <v>40.5</v>
      </c>
      <c r="O67" s="50">
        <v>49.7</v>
      </c>
      <c r="P67" s="50">
        <v>49.9</v>
      </c>
      <c r="Q67" s="50">
        <v>49.9</v>
      </c>
      <c r="R67" s="50">
        <v>0</v>
      </c>
      <c r="S67" s="50">
        <v>13.5</v>
      </c>
      <c r="T67" s="50">
        <v>10</v>
      </c>
      <c r="U67" s="50">
        <v>13.7</v>
      </c>
      <c r="V67" s="50">
        <v>13.7</v>
      </c>
      <c r="W67" s="50">
        <v>10</v>
      </c>
      <c r="X67" s="50">
        <v>10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17</v>
      </c>
      <c r="C68" s="72">
        <v>25</v>
      </c>
      <c r="D68" s="72">
        <v>25</v>
      </c>
      <c r="E68" s="72">
        <v>25</v>
      </c>
      <c r="F68" s="72">
        <v>25</v>
      </c>
      <c r="G68" s="72">
        <v>25</v>
      </c>
      <c r="H68" s="72">
        <v>25</v>
      </c>
      <c r="I68" s="72">
        <v>25</v>
      </c>
      <c r="J68" s="72">
        <v>25</v>
      </c>
      <c r="K68" s="72">
        <v>25</v>
      </c>
      <c r="L68" s="72">
        <v>25</v>
      </c>
      <c r="M68" s="72">
        <v>26.7</v>
      </c>
      <c r="N68" s="72">
        <v>17.5</v>
      </c>
      <c r="O68" s="72">
        <v>23</v>
      </c>
      <c r="P68" s="72">
        <v>21.1</v>
      </c>
      <c r="Q68" s="72">
        <v>21.1</v>
      </c>
      <c r="R68" s="50">
        <v>0</v>
      </c>
      <c r="S68" s="50">
        <v>4.7</v>
      </c>
      <c r="T68" s="50">
        <v>3.4</v>
      </c>
      <c r="U68" s="72">
        <v>6.2</v>
      </c>
      <c r="V68" s="72">
        <v>6.2</v>
      </c>
      <c r="W68" s="72">
        <v>4</v>
      </c>
      <c r="X68" s="72">
        <v>4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26.7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6</v>
      </c>
      <c r="C69" s="74">
        <v>9</v>
      </c>
      <c r="D69" s="74">
        <v>9</v>
      </c>
      <c r="E69" s="74">
        <v>9</v>
      </c>
      <c r="F69" s="74">
        <v>9</v>
      </c>
      <c r="G69" s="74">
        <v>9</v>
      </c>
      <c r="H69" s="74">
        <v>9</v>
      </c>
      <c r="I69" s="74">
        <v>9</v>
      </c>
      <c r="J69" s="74">
        <v>9</v>
      </c>
      <c r="K69" s="74">
        <v>9</v>
      </c>
      <c r="L69" s="74">
        <v>9</v>
      </c>
      <c r="M69" s="74">
        <v>9.8000000000000007</v>
      </c>
      <c r="N69" s="74">
        <v>6.4</v>
      </c>
      <c r="O69" s="74">
        <v>8.4</v>
      </c>
      <c r="P69" s="74">
        <v>7.7</v>
      </c>
      <c r="Q69" s="74">
        <v>7.7</v>
      </c>
      <c r="R69" s="50">
        <v>0</v>
      </c>
      <c r="S69" s="50">
        <v>1.7</v>
      </c>
      <c r="T69" s="50">
        <v>1.2</v>
      </c>
      <c r="U69" s="74">
        <v>2.2999999999999998</v>
      </c>
      <c r="V69" s="74">
        <v>2.2999999999999998</v>
      </c>
      <c r="W69" s="74">
        <v>1.5</v>
      </c>
      <c r="X69" s="74">
        <v>1.5</v>
      </c>
      <c r="Y69" s="74">
        <v>0</v>
      </c>
      <c r="Z69" s="74">
        <v>0</v>
      </c>
      <c r="AA69" s="74">
        <v>0</v>
      </c>
      <c r="AB69" s="74">
        <v>0</v>
      </c>
      <c r="AC69" s="74">
        <v>0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9.8000000000000007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7">B67+B68+B69</f>
        <v>63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93.3</v>
      </c>
      <c r="M70" s="67">
        <f t="shared" ref="M70:AF70" si="18">M67+M68+M69</f>
        <v>95.8</v>
      </c>
      <c r="N70" s="67">
        <f t="shared" si="18"/>
        <v>64.400000000000006</v>
      </c>
      <c r="O70" s="67">
        <f t="shared" si="18"/>
        <v>81.100000000000009</v>
      </c>
      <c r="P70" s="67">
        <f t="shared" si="18"/>
        <v>78.7</v>
      </c>
      <c r="Q70" s="67">
        <f t="shared" si="18"/>
        <v>78.7</v>
      </c>
      <c r="R70" s="67">
        <f t="shared" si="18"/>
        <v>0</v>
      </c>
      <c r="S70" s="67">
        <f t="shared" si="18"/>
        <v>19.899999999999999</v>
      </c>
      <c r="T70" s="67">
        <f t="shared" si="18"/>
        <v>14.6</v>
      </c>
      <c r="U70" s="67">
        <f t="shared" si="18"/>
        <v>22.2</v>
      </c>
      <c r="V70" s="67">
        <f t="shared" si="18"/>
        <v>22.2</v>
      </c>
      <c r="W70" s="67">
        <f t="shared" si="18"/>
        <v>15.5</v>
      </c>
      <c r="X70" s="67">
        <f t="shared" si="18"/>
        <v>15.5</v>
      </c>
      <c r="Y70" s="67">
        <f t="shared" si="18"/>
        <v>0</v>
      </c>
      <c r="Z70" s="67">
        <f t="shared" si="18"/>
        <v>0</v>
      </c>
      <c r="AA70" s="67">
        <f t="shared" si="18"/>
        <v>0</v>
      </c>
      <c r="AB70" s="67">
        <f t="shared" si="18"/>
        <v>0</v>
      </c>
      <c r="AC70" s="67">
        <f t="shared" si="18"/>
        <v>0</v>
      </c>
      <c r="AD70" s="67">
        <f t="shared" si="18"/>
        <v>0</v>
      </c>
      <c r="AE70" s="67">
        <f t="shared" si="18"/>
        <v>0</v>
      </c>
      <c r="AF70" s="67">
        <f t="shared" si="18"/>
        <v>0</v>
      </c>
      <c r="AG70" s="68">
        <f>SUM(AG67:AG69)</f>
        <v>106</v>
      </c>
      <c r="AH70" s="52">
        <f t="shared" si="2"/>
        <v>95.8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70</v>
      </c>
      <c r="C71" s="50">
        <v>69</v>
      </c>
      <c r="D71" s="50">
        <v>65</v>
      </c>
      <c r="E71" s="50">
        <v>65</v>
      </c>
      <c r="F71" s="50">
        <v>65</v>
      </c>
      <c r="G71" s="50">
        <v>60</v>
      </c>
      <c r="H71" s="50">
        <v>65</v>
      </c>
      <c r="I71" s="50">
        <v>65</v>
      </c>
      <c r="J71" s="50">
        <v>58</v>
      </c>
      <c r="K71" s="50">
        <v>59</v>
      </c>
      <c r="L71" s="50">
        <v>57.4</v>
      </c>
      <c r="M71" s="50">
        <v>60</v>
      </c>
      <c r="N71" s="50">
        <v>62.3</v>
      </c>
      <c r="O71" s="50">
        <v>69.599999999999994</v>
      </c>
      <c r="P71" s="50">
        <v>62.4</v>
      </c>
      <c r="Q71" s="50">
        <v>62.4</v>
      </c>
      <c r="R71" s="50">
        <v>69.099999999999994</v>
      </c>
      <c r="S71" s="50">
        <v>64</v>
      </c>
      <c r="T71" s="50">
        <v>66.5</v>
      </c>
      <c r="U71" s="50">
        <v>67</v>
      </c>
      <c r="V71" s="50">
        <v>0</v>
      </c>
      <c r="W71" s="50">
        <v>0</v>
      </c>
      <c r="X71" s="50">
        <v>0</v>
      </c>
      <c r="Y71" s="50">
        <v>54.8</v>
      </c>
      <c r="Z71" s="50">
        <v>61.1</v>
      </c>
      <c r="AA71" s="50">
        <v>60.3</v>
      </c>
      <c r="AB71" s="50">
        <v>58.9</v>
      </c>
      <c r="AC71" s="50">
        <v>58.8</v>
      </c>
      <c r="AD71" s="50">
        <v>61.6</v>
      </c>
      <c r="AE71" s="50">
        <v>65.400000000000006</v>
      </c>
      <c r="AF71" s="50">
        <v>62</v>
      </c>
      <c r="AG71" s="56"/>
      <c r="AH71" s="52">
        <f t="shared" si="2"/>
        <v>70</v>
      </c>
      <c r="AI71" s="53">
        <f t="shared" si="3"/>
        <v>0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340</v>
      </c>
      <c r="C73" s="72">
        <v>350</v>
      </c>
      <c r="D73" s="72">
        <v>370</v>
      </c>
      <c r="E73" s="72">
        <v>370</v>
      </c>
      <c r="F73" s="72">
        <v>380</v>
      </c>
      <c r="G73" s="72">
        <v>380</v>
      </c>
      <c r="H73" s="72">
        <v>360</v>
      </c>
      <c r="I73" s="72">
        <v>360</v>
      </c>
      <c r="J73" s="72">
        <v>330</v>
      </c>
      <c r="K73" s="72">
        <v>316</v>
      </c>
      <c r="L73" s="72">
        <v>327.9</v>
      </c>
      <c r="M73" s="72">
        <v>339</v>
      </c>
      <c r="N73" s="72">
        <v>346.3</v>
      </c>
      <c r="O73" s="72">
        <v>363.4</v>
      </c>
      <c r="P73" s="72">
        <v>357.7</v>
      </c>
      <c r="Q73" s="72">
        <v>337.6</v>
      </c>
      <c r="R73" s="72">
        <v>363</v>
      </c>
      <c r="S73" s="72">
        <v>334</v>
      </c>
      <c r="T73" s="72">
        <v>344</v>
      </c>
      <c r="U73" s="72">
        <v>335</v>
      </c>
      <c r="V73" s="72">
        <v>311</v>
      </c>
      <c r="W73" s="72">
        <v>309</v>
      </c>
      <c r="X73" s="72">
        <v>269</v>
      </c>
      <c r="Y73" s="72">
        <v>299</v>
      </c>
      <c r="Z73" s="72">
        <v>324</v>
      </c>
      <c r="AA73" s="72">
        <v>290</v>
      </c>
      <c r="AB73" s="72">
        <v>314.39999999999998</v>
      </c>
      <c r="AC73" s="72">
        <v>309</v>
      </c>
      <c r="AD73" s="72">
        <v>299.3</v>
      </c>
      <c r="AE73" s="72">
        <v>262.5</v>
      </c>
      <c r="AF73" s="72">
        <v>278</v>
      </c>
      <c r="AG73" s="82"/>
      <c r="AH73" s="52">
        <f t="shared" si="2"/>
        <v>380</v>
      </c>
      <c r="AI73" s="53">
        <f t="shared" si="3"/>
        <v>262.5</v>
      </c>
      <c r="AK73" s="54"/>
    </row>
    <row r="74" spans="1:40" x14ac:dyDescent="0.25">
      <c r="A74" s="60" t="s">
        <v>78</v>
      </c>
      <c r="B74" s="72">
        <v>61</v>
      </c>
      <c r="C74" s="72">
        <v>61</v>
      </c>
      <c r="D74" s="72">
        <v>61</v>
      </c>
      <c r="E74" s="72">
        <v>61</v>
      </c>
      <c r="F74" s="72">
        <v>61</v>
      </c>
      <c r="G74" s="72">
        <v>61</v>
      </c>
      <c r="H74" s="72">
        <v>61</v>
      </c>
      <c r="I74" s="72">
        <v>61</v>
      </c>
      <c r="J74" s="72">
        <v>61</v>
      </c>
      <c r="K74" s="72">
        <v>61</v>
      </c>
      <c r="L74" s="72">
        <v>61</v>
      </c>
      <c r="M74" s="83">
        <v>58</v>
      </c>
      <c r="N74" s="83">
        <v>52.5</v>
      </c>
      <c r="O74" s="83">
        <v>64.400000000000006</v>
      </c>
      <c r="P74" s="83">
        <v>63</v>
      </c>
      <c r="Q74" s="83">
        <v>15</v>
      </c>
      <c r="R74" s="83">
        <v>0</v>
      </c>
      <c r="S74" s="83">
        <v>9</v>
      </c>
      <c r="T74" s="83">
        <v>9</v>
      </c>
      <c r="U74" s="83">
        <v>9</v>
      </c>
      <c r="V74" s="83">
        <v>10.8</v>
      </c>
      <c r="W74" s="83">
        <v>10.8</v>
      </c>
      <c r="X74" s="83">
        <v>10.8</v>
      </c>
      <c r="Y74" s="83">
        <v>10</v>
      </c>
      <c r="Z74" s="83">
        <v>10</v>
      </c>
      <c r="AA74" s="83">
        <v>10</v>
      </c>
      <c r="AB74" s="72">
        <v>15.5</v>
      </c>
      <c r="AC74" s="72">
        <v>15.6</v>
      </c>
      <c r="AD74" s="72">
        <v>51.2</v>
      </c>
      <c r="AE74" s="72">
        <v>58.7</v>
      </c>
      <c r="AF74" s="72">
        <v>55.9</v>
      </c>
      <c r="AG74" s="82"/>
      <c r="AH74" s="52">
        <f t="shared" si="2"/>
        <v>64.400000000000006</v>
      </c>
      <c r="AI74" s="53">
        <f t="shared" si="3"/>
        <v>0</v>
      </c>
      <c r="AK74" s="54"/>
    </row>
    <row r="75" spans="1:40" x14ac:dyDescent="0.25">
      <c r="A75" s="60" t="s">
        <v>79</v>
      </c>
      <c r="B75" s="50">
        <v>25</v>
      </c>
      <c r="C75" s="50">
        <v>25</v>
      </c>
      <c r="D75" s="50">
        <v>24</v>
      </c>
      <c r="E75" s="50">
        <v>24</v>
      </c>
      <c r="F75" s="50">
        <v>24</v>
      </c>
      <c r="G75" s="50">
        <v>24</v>
      </c>
      <c r="H75" s="50">
        <v>24.9</v>
      </c>
      <c r="I75" s="50">
        <v>24.9</v>
      </c>
      <c r="J75" s="50">
        <v>24.9</v>
      </c>
      <c r="K75" s="50">
        <v>24.9</v>
      </c>
      <c r="L75" s="50">
        <v>24.9</v>
      </c>
      <c r="M75" s="50">
        <v>29</v>
      </c>
      <c r="N75" s="50">
        <v>36</v>
      </c>
      <c r="O75" s="50">
        <v>32.1</v>
      </c>
      <c r="P75" s="50">
        <v>36.9</v>
      </c>
      <c r="Q75" s="50">
        <v>36.799999999999997</v>
      </c>
      <c r="R75" s="50">
        <v>36.799999999999997</v>
      </c>
      <c r="S75" s="50">
        <v>37.1</v>
      </c>
      <c r="T75" s="50">
        <v>35</v>
      </c>
      <c r="U75" s="50">
        <v>25.9</v>
      </c>
      <c r="V75" s="50">
        <v>25.9</v>
      </c>
      <c r="W75" s="50">
        <v>25.9</v>
      </c>
      <c r="X75" s="50">
        <v>25.9</v>
      </c>
      <c r="Y75" s="50">
        <v>0</v>
      </c>
      <c r="Z75" s="50">
        <v>67</v>
      </c>
      <c r="AA75" s="50">
        <v>19</v>
      </c>
      <c r="AB75" s="50">
        <v>21.5</v>
      </c>
      <c r="AC75" s="50">
        <v>21.5</v>
      </c>
      <c r="AD75" s="50">
        <v>22.8</v>
      </c>
      <c r="AE75" s="50">
        <v>23.3</v>
      </c>
      <c r="AF75" s="50">
        <v>0</v>
      </c>
      <c r="AG75" s="82"/>
      <c r="AH75" s="52">
        <f t="shared" ref="AH75:AH117" si="19">MAX(B75:AF75)</f>
        <v>67</v>
      </c>
      <c r="AI75" s="53">
        <f t="shared" ref="AI75:AI117" si="20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9"/>
        <v>0</v>
      </c>
      <c r="AI76" s="53">
        <f t="shared" si="20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9"/>
        <v>0</v>
      </c>
      <c r="AI77" s="53">
        <f t="shared" si="20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9"/>
        <v>0</v>
      </c>
      <c r="AI78" s="53">
        <f t="shared" si="2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9"/>
        <v>0</v>
      </c>
      <c r="AI79" s="53">
        <f t="shared" si="20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9"/>
        <v>0</v>
      </c>
      <c r="AI80" s="53">
        <f t="shared" si="20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9"/>
        <v>0</v>
      </c>
      <c r="AI81" s="53">
        <f t="shared" si="2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21">SUMIF(B71:B81,"&gt;0")</f>
        <v>496</v>
      </c>
      <c r="C82" s="67">
        <f t="shared" si="21"/>
        <v>505</v>
      </c>
      <c r="D82" s="67">
        <f t="shared" si="21"/>
        <v>520</v>
      </c>
      <c r="E82" s="67">
        <f t="shared" ref="E82:H82" si="22">SUMIF(E71:E81,"&gt;0")</f>
        <v>520</v>
      </c>
      <c r="F82" s="67">
        <f t="shared" si="22"/>
        <v>530</v>
      </c>
      <c r="G82" s="67">
        <f t="shared" si="22"/>
        <v>525</v>
      </c>
      <c r="H82" s="67">
        <f t="shared" si="22"/>
        <v>510.9</v>
      </c>
      <c r="I82" s="67">
        <f t="shared" ref="I82:J82" si="23">SUMIF(I71:I81,"&gt;0")</f>
        <v>510.9</v>
      </c>
      <c r="J82" s="67">
        <f t="shared" si="23"/>
        <v>473.9</v>
      </c>
      <c r="K82" s="67">
        <f t="shared" si="21"/>
        <v>460.9</v>
      </c>
      <c r="L82" s="67">
        <f t="shared" si="21"/>
        <v>471.19999999999993</v>
      </c>
      <c r="M82" s="67">
        <f t="shared" si="21"/>
        <v>486</v>
      </c>
      <c r="N82" s="67">
        <f t="shared" si="21"/>
        <v>497.1</v>
      </c>
      <c r="O82" s="67">
        <f t="shared" si="21"/>
        <v>529.5</v>
      </c>
      <c r="P82" s="67">
        <f t="shared" si="21"/>
        <v>520</v>
      </c>
      <c r="Q82" s="67">
        <f t="shared" si="21"/>
        <v>451.8</v>
      </c>
      <c r="R82" s="67">
        <f t="shared" si="21"/>
        <v>468.90000000000003</v>
      </c>
      <c r="S82" s="67">
        <f t="shared" si="21"/>
        <v>444.1</v>
      </c>
      <c r="T82" s="67">
        <f t="shared" si="21"/>
        <v>454.5</v>
      </c>
      <c r="U82" s="67">
        <f t="shared" si="21"/>
        <v>436.9</v>
      </c>
      <c r="V82" s="67">
        <f t="shared" si="21"/>
        <v>347.7</v>
      </c>
      <c r="W82" s="67">
        <f t="shared" si="21"/>
        <v>345.7</v>
      </c>
      <c r="X82" s="67">
        <f t="shared" si="21"/>
        <v>305.7</v>
      </c>
      <c r="Y82" s="67">
        <f t="shared" si="21"/>
        <v>363.8</v>
      </c>
      <c r="Z82" s="67">
        <f t="shared" si="21"/>
        <v>462.1</v>
      </c>
      <c r="AA82" s="67">
        <f t="shared" si="21"/>
        <v>379.3</v>
      </c>
      <c r="AB82" s="67">
        <f t="shared" si="21"/>
        <v>410.29999999999995</v>
      </c>
      <c r="AC82" s="67">
        <f t="shared" si="21"/>
        <v>404.90000000000003</v>
      </c>
      <c r="AD82" s="67">
        <f t="shared" si="21"/>
        <v>434.90000000000003</v>
      </c>
      <c r="AE82" s="67">
        <f t="shared" si="21"/>
        <v>409.9</v>
      </c>
      <c r="AF82" s="67">
        <f t="shared" si="21"/>
        <v>395.9</v>
      </c>
      <c r="AG82" s="95">
        <f>SUM(AG71:AG81)</f>
        <v>0</v>
      </c>
      <c r="AH82" s="52">
        <f t="shared" si="19"/>
        <v>530</v>
      </c>
      <c r="AI82" s="53">
        <f t="shared" si="20"/>
        <v>305.7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9"/>
        <v>0</v>
      </c>
      <c r="AI83" s="53">
        <f t="shared" si="20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9"/>
        <v>0</v>
      </c>
      <c r="AI84" s="53">
        <f t="shared" si="20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9"/>
        <v>0</v>
      </c>
      <c r="AI85" s="53">
        <f t="shared" si="20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9"/>
        <v>0</v>
      </c>
      <c r="AI86" s="53">
        <f t="shared" si="2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24">B48+B52+B70+B66+B82+B86</f>
        <v>1125.44</v>
      </c>
      <c r="C87" s="102">
        <f t="shared" si="24"/>
        <v>1046.44</v>
      </c>
      <c r="D87" s="102">
        <f t="shared" si="24"/>
        <v>1041.44</v>
      </c>
      <c r="E87" s="102">
        <f t="shared" ref="E87:H87" si="25">E48+E52+E70+E66+E82+E86</f>
        <v>1036.44</v>
      </c>
      <c r="F87" s="102">
        <f t="shared" si="25"/>
        <v>1045.44</v>
      </c>
      <c r="G87" s="102">
        <f t="shared" si="25"/>
        <v>1016.44</v>
      </c>
      <c r="H87" s="102">
        <f t="shared" si="25"/>
        <v>1103.3400000000001</v>
      </c>
      <c r="I87" s="102">
        <f t="shared" ref="I87:J87" si="26">I48+I52+I70+I66+I82+I86</f>
        <v>1103.3400000000001</v>
      </c>
      <c r="J87" s="102">
        <f t="shared" si="26"/>
        <v>1139.8400000000001</v>
      </c>
      <c r="K87" s="102">
        <f t="shared" si="24"/>
        <v>1166.8400000000001</v>
      </c>
      <c r="L87" s="102">
        <f t="shared" si="24"/>
        <v>1241.44</v>
      </c>
      <c r="M87" s="102">
        <f t="shared" si="24"/>
        <v>1260.6399999999999</v>
      </c>
      <c r="N87" s="102">
        <f t="shared" si="24"/>
        <v>1225.3400000000001</v>
      </c>
      <c r="O87" s="102">
        <f t="shared" si="24"/>
        <v>1258.6400000000001</v>
      </c>
      <c r="P87" s="102">
        <f t="shared" si="24"/>
        <v>1321.94</v>
      </c>
      <c r="Q87" s="102">
        <f t="shared" si="24"/>
        <v>1217.5400000000002</v>
      </c>
      <c r="R87" s="102">
        <f t="shared" si="24"/>
        <v>1135.94</v>
      </c>
      <c r="S87" s="102">
        <f t="shared" si="24"/>
        <v>1150.24</v>
      </c>
      <c r="T87" s="102">
        <f t="shared" si="24"/>
        <v>1140.04</v>
      </c>
      <c r="U87" s="102">
        <f t="shared" si="24"/>
        <v>1091.1399999999999</v>
      </c>
      <c r="V87" s="102">
        <f t="shared" si="24"/>
        <v>1010.1399999999999</v>
      </c>
      <c r="W87" s="102">
        <f t="shared" si="24"/>
        <v>1023.8399999999999</v>
      </c>
      <c r="X87" s="102">
        <f t="shared" si="24"/>
        <v>1026.54</v>
      </c>
      <c r="Y87" s="102">
        <f t="shared" si="24"/>
        <v>1080.24</v>
      </c>
      <c r="Z87" s="102">
        <f t="shared" si="24"/>
        <v>1236.44</v>
      </c>
      <c r="AA87" s="102">
        <f t="shared" si="24"/>
        <v>1147.6400000000001</v>
      </c>
      <c r="AB87" s="102">
        <f t="shared" si="24"/>
        <v>1109.94</v>
      </c>
      <c r="AC87" s="102">
        <f t="shared" si="24"/>
        <v>1100.54</v>
      </c>
      <c r="AD87" s="102">
        <f t="shared" si="24"/>
        <v>1097.74</v>
      </c>
      <c r="AE87" s="102">
        <f t="shared" si="24"/>
        <v>989.34</v>
      </c>
      <c r="AF87" s="102">
        <f t="shared" si="24"/>
        <v>987.34</v>
      </c>
      <c r="AG87" s="68">
        <f t="shared" si="24"/>
        <v>2065.09</v>
      </c>
      <c r="AH87" s="52">
        <f>MAX(B87:AF87)</f>
        <v>1321.94</v>
      </c>
      <c r="AI87" s="53">
        <f>MIN(B87:AF87)</f>
        <v>987.34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>
        <v>150</v>
      </c>
      <c r="K88" s="104">
        <v>150</v>
      </c>
      <c r="L88" s="104">
        <v>150</v>
      </c>
      <c r="M88" s="104">
        <v>150</v>
      </c>
      <c r="N88" s="104">
        <v>150</v>
      </c>
      <c r="O88" s="104"/>
      <c r="P88" s="104"/>
      <c r="Q88" s="104"/>
      <c r="R88" s="104"/>
      <c r="S88" s="104"/>
      <c r="T88" s="104"/>
      <c r="U88" s="104"/>
      <c r="V88" s="104"/>
      <c r="W88" s="104"/>
      <c r="X88" s="104">
        <v>120</v>
      </c>
      <c r="Y88" s="104">
        <v>80</v>
      </c>
      <c r="Z88" s="104">
        <v>80</v>
      </c>
      <c r="AA88" s="104"/>
      <c r="AB88" s="104"/>
      <c r="AC88" s="104"/>
      <c r="AD88" s="104"/>
      <c r="AE88" s="104"/>
      <c r="AF88" s="104"/>
      <c r="AG88" s="95"/>
      <c r="AH88" s="52">
        <f t="shared" si="19"/>
        <v>150</v>
      </c>
      <c r="AI88" s="53">
        <f t="shared" si="20"/>
        <v>80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27">B87+B88</f>
        <v>1125.44</v>
      </c>
      <c r="C89" s="102">
        <f t="shared" si="27"/>
        <v>1046.44</v>
      </c>
      <c r="D89" s="102">
        <f t="shared" si="27"/>
        <v>1041.44</v>
      </c>
      <c r="E89" s="102">
        <f t="shared" ref="E89:H89" si="28">E87+E88</f>
        <v>1036.44</v>
      </c>
      <c r="F89" s="102">
        <f t="shared" si="28"/>
        <v>1045.44</v>
      </c>
      <c r="G89" s="102">
        <f t="shared" si="28"/>
        <v>1016.44</v>
      </c>
      <c r="H89" s="102">
        <f t="shared" si="28"/>
        <v>1103.3400000000001</v>
      </c>
      <c r="I89" s="102">
        <f t="shared" ref="I89:J89" si="29">I87+I88</f>
        <v>1103.3400000000001</v>
      </c>
      <c r="J89" s="102">
        <f t="shared" si="29"/>
        <v>1289.8400000000001</v>
      </c>
      <c r="K89" s="102">
        <f t="shared" si="27"/>
        <v>1316.8400000000001</v>
      </c>
      <c r="L89" s="102">
        <f t="shared" si="27"/>
        <v>1391.44</v>
      </c>
      <c r="M89" s="102">
        <f t="shared" si="27"/>
        <v>1410.6399999999999</v>
      </c>
      <c r="N89" s="102">
        <f t="shared" si="27"/>
        <v>1375.3400000000001</v>
      </c>
      <c r="O89" s="102">
        <f t="shared" si="27"/>
        <v>1258.6400000000001</v>
      </c>
      <c r="P89" s="102">
        <f t="shared" si="27"/>
        <v>1321.94</v>
      </c>
      <c r="Q89" s="102">
        <f t="shared" si="27"/>
        <v>1217.5400000000002</v>
      </c>
      <c r="R89" s="102">
        <f t="shared" si="27"/>
        <v>1135.94</v>
      </c>
      <c r="S89" s="102">
        <f t="shared" si="27"/>
        <v>1150.24</v>
      </c>
      <c r="T89" s="102">
        <f t="shared" si="27"/>
        <v>1140.04</v>
      </c>
      <c r="U89" s="102">
        <f t="shared" si="27"/>
        <v>1091.1399999999999</v>
      </c>
      <c r="V89" s="102">
        <f t="shared" si="27"/>
        <v>1010.1399999999999</v>
      </c>
      <c r="W89" s="102">
        <f t="shared" si="27"/>
        <v>1023.8399999999999</v>
      </c>
      <c r="X89" s="102">
        <f t="shared" si="27"/>
        <v>1146.54</v>
      </c>
      <c r="Y89" s="102">
        <f t="shared" si="27"/>
        <v>1160.24</v>
      </c>
      <c r="Z89" s="102">
        <f t="shared" si="27"/>
        <v>1316.44</v>
      </c>
      <c r="AA89" s="102">
        <f t="shared" si="27"/>
        <v>1147.6400000000001</v>
      </c>
      <c r="AB89" s="102">
        <f t="shared" si="27"/>
        <v>1109.94</v>
      </c>
      <c r="AC89" s="102">
        <f t="shared" si="27"/>
        <v>1100.54</v>
      </c>
      <c r="AD89" s="102">
        <f t="shared" si="27"/>
        <v>1097.74</v>
      </c>
      <c r="AE89" s="102">
        <f t="shared" si="27"/>
        <v>989.34</v>
      </c>
      <c r="AF89" s="102">
        <f t="shared" si="27"/>
        <v>987.34</v>
      </c>
      <c r="AG89" s="95">
        <f>AG86+AG82+AG70+AG66+AG48+AG88</f>
        <v>1526.99</v>
      </c>
      <c r="AH89" s="52">
        <f t="shared" si="19"/>
        <v>1410.6399999999999</v>
      </c>
      <c r="AI89" s="53">
        <f t="shared" si="20"/>
        <v>987.34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30">B89-B97</f>
        <v>1125.44</v>
      </c>
      <c r="C90" s="102">
        <f t="shared" si="30"/>
        <v>1046.44</v>
      </c>
      <c r="D90" s="102">
        <f t="shared" si="30"/>
        <v>1041.44</v>
      </c>
      <c r="E90" s="102">
        <f t="shared" ref="E90:H90" si="31">E89-E97</f>
        <v>1036.44</v>
      </c>
      <c r="F90" s="102">
        <f t="shared" si="31"/>
        <v>1045.44</v>
      </c>
      <c r="G90" s="102">
        <f t="shared" si="31"/>
        <v>1016.44</v>
      </c>
      <c r="H90" s="102">
        <f t="shared" si="31"/>
        <v>1103.3400000000001</v>
      </c>
      <c r="I90" s="102">
        <f t="shared" ref="I90:J90" si="32">I89-I97</f>
        <v>1103.3400000000001</v>
      </c>
      <c r="J90" s="102">
        <f t="shared" si="32"/>
        <v>1289.8400000000001</v>
      </c>
      <c r="K90" s="102">
        <f t="shared" si="30"/>
        <v>1316.8400000000001</v>
      </c>
      <c r="L90" s="102">
        <f t="shared" si="30"/>
        <v>1391.44</v>
      </c>
      <c r="M90" s="102">
        <f t="shared" si="30"/>
        <v>1410.6399999999999</v>
      </c>
      <c r="N90" s="102">
        <f t="shared" si="30"/>
        <v>1375.3400000000001</v>
      </c>
      <c r="O90" s="102">
        <f t="shared" si="30"/>
        <v>1258.6400000000001</v>
      </c>
      <c r="P90" s="102">
        <f t="shared" si="30"/>
        <v>1321.94</v>
      </c>
      <c r="Q90" s="102">
        <f t="shared" si="30"/>
        <v>1217.5400000000002</v>
      </c>
      <c r="R90" s="102">
        <f t="shared" si="30"/>
        <v>1135.94</v>
      </c>
      <c r="S90" s="102">
        <f t="shared" si="30"/>
        <v>1150.24</v>
      </c>
      <c r="T90" s="102">
        <f t="shared" si="30"/>
        <v>1140.04</v>
      </c>
      <c r="U90" s="102">
        <f t="shared" si="30"/>
        <v>1091.1399999999999</v>
      </c>
      <c r="V90" s="102">
        <f t="shared" si="30"/>
        <v>1010.1399999999999</v>
      </c>
      <c r="W90" s="102">
        <f t="shared" si="30"/>
        <v>1023.8399999999999</v>
      </c>
      <c r="X90" s="102">
        <f t="shared" si="30"/>
        <v>1146.54</v>
      </c>
      <c r="Y90" s="102">
        <f t="shared" si="30"/>
        <v>1160.24</v>
      </c>
      <c r="Z90" s="102">
        <f t="shared" si="30"/>
        <v>1316.44</v>
      </c>
      <c r="AA90" s="102">
        <f t="shared" si="30"/>
        <v>1147.6400000000001</v>
      </c>
      <c r="AB90" s="102">
        <f t="shared" si="30"/>
        <v>1109.94</v>
      </c>
      <c r="AC90" s="102">
        <f t="shared" si="30"/>
        <v>1100.54</v>
      </c>
      <c r="AD90" s="102">
        <f t="shared" si="30"/>
        <v>1097.74</v>
      </c>
      <c r="AE90" s="102">
        <f t="shared" si="30"/>
        <v>989.34</v>
      </c>
      <c r="AF90" s="102">
        <f t="shared" si="30"/>
        <v>987.34</v>
      </c>
      <c r="AG90" s="95"/>
      <c r="AH90" s="52">
        <f t="shared" si="19"/>
        <v>1410.6399999999999</v>
      </c>
      <c r="AI90" s="53">
        <f t="shared" si="20"/>
        <v>987.34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9"/>
        <v>0</v>
      </c>
      <c r="AI91" s="53">
        <f t="shared" si="2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9"/>
        <v>0</v>
      </c>
      <c r="AI92" s="53">
        <f t="shared" si="2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9"/>
        <v>0</v>
      </c>
      <c r="AI93" s="53">
        <f t="shared" si="2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9"/>
        <v>0</v>
      </c>
      <c r="AI94" s="53">
        <f t="shared" si="2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9"/>
        <v>0</v>
      </c>
      <c r="AI95" s="53">
        <f t="shared" si="2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9"/>
        <v>0</v>
      </c>
      <c r="AI96" s="53">
        <f t="shared" si="2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9"/>
        <v>0</v>
      </c>
      <c r="AI97" s="53">
        <f t="shared" si="20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33">B82-B97</f>
        <v>496</v>
      </c>
      <c r="C98" s="67">
        <f t="shared" si="33"/>
        <v>505</v>
      </c>
      <c r="D98" s="67">
        <f t="shared" si="33"/>
        <v>520</v>
      </c>
      <c r="E98" s="67">
        <f t="shared" ref="E98:H98" si="34">E82-E97</f>
        <v>520</v>
      </c>
      <c r="F98" s="67">
        <f t="shared" si="34"/>
        <v>530</v>
      </c>
      <c r="G98" s="67">
        <f t="shared" si="34"/>
        <v>525</v>
      </c>
      <c r="H98" s="67">
        <f t="shared" si="34"/>
        <v>510.9</v>
      </c>
      <c r="I98" s="67">
        <f t="shared" ref="I98:J98" si="35">I82-I97</f>
        <v>510.9</v>
      </c>
      <c r="J98" s="67">
        <f t="shared" si="35"/>
        <v>473.9</v>
      </c>
      <c r="K98" s="67">
        <f t="shared" si="33"/>
        <v>460.9</v>
      </c>
      <c r="L98" s="67">
        <f t="shared" si="33"/>
        <v>471.19999999999993</v>
      </c>
      <c r="M98" s="67">
        <f t="shared" si="33"/>
        <v>486</v>
      </c>
      <c r="N98" s="67">
        <f t="shared" si="33"/>
        <v>497.1</v>
      </c>
      <c r="O98" s="67">
        <f t="shared" si="33"/>
        <v>529.5</v>
      </c>
      <c r="P98" s="67">
        <f t="shared" si="33"/>
        <v>520</v>
      </c>
      <c r="Q98" s="67">
        <f t="shared" si="33"/>
        <v>451.8</v>
      </c>
      <c r="R98" s="67">
        <f t="shared" si="33"/>
        <v>468.90000000000003</v>
      </c>
      <c r="S98" s="67">
        <f t="shared" si="33"/>
        <v>444.1</v>
      </c>
      <c r="T98" s="67">
        <f t="shared" si="33"/>
        <v>454.5</v>
      </c>
      <c r="U98" s="67">
        <f t="shared" si="33"/>
        <v>436.9</v>
      </c>
      <c r="V98" s="67">
        <f t="shared" si="33"/>
        <v>347.7</v>
      </c>
      <c r="W98" s="67">
        <f t="shared" si="33"/>
        <v>345.7</v>
      </c>
      <c r="X98" s="67">
        <f t="shared" si="33"/>
        <v>305.7</v>
      </c>
      <c r="Y98" s="67">
        <f t="shared" si="33"/>
        <v>363.8</v>
      </c>
      <c r="Z98" s="67">
        <f t="shared" si="33"/>
        <v>462.1</v>
      </c>
      <c r="AA98" s="67">
        <f t="shared" si="33"/>
        <v>379.3</v>
      </c>
      <c r="AB98" s="67">
        <f t="shared" si="33"/>
        <v>410.29999999999995</v>
      </c>
      <c r="AC98" s="67">
        <f t="shared" si="33"/>
        <v>404.90000000000003</v>
      </c>
      <c r="AD98" s="67">
        <f t="shared" si="33"/>
        <v>434.90000000000003</v>
      </c>
      <c r="AE98" s="67">
        <f t="shared" si="33"/>
        <v>409.9</v>
      </c>
      <c r="AF98" s="67">
        <f t="shared" si="33"/>
        <v>395.9</v>
      </c>
      <c r="AG98" s="95"/>
      <c r="AH98" s="52">
        <f t="shared" si="19"/>
        <v>530</v>
      </c>
      <c r="AI98" s="53">
        <f t="shared" si="20"/>
        <v>305.7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50.02</v>
      </c>
      <c r="C99" s="108">
        <v>50</v>
      </c>
      <c r="D99" s="108">
        <v>49.95</v>
      </c>
      <c r="E99" s="108">
        <v>50.1</v>
      </c>
      <c r="F99" s="108">
        <v>49.96</v>
      </c>
      <c r="G99" s="108">
        <v>49.9</v>
      </c>
      <c r="H99" s="108">
        <v>50.1</v>
      </c>
      <c r="I99" s="108">
        <v>50.06</v>
      </c>
      <c r="J99" s="108">
        <v>50.02</v>
      </c>
      <c r="K99" s="108">
        <v>50.06</v>
      </c>
      <c r="L99" s="108">
        <v>50.06</v>
      </c>
      <c r="M99" s="108">
        <v>50.07</v>
      </c>
      <c r="N99" s="108">
        <v>50.124000000000002</v>
      </c>
      <c r="O99" s="108">
        <v>50.027000000000001</v>
      </c>
      <c r="P99" s="108">
        <v>49.985999999999997</v>
      </c>
      <c r="Q99" s="108">
        <v>49.999000000000002</v>
      </c>
      <c r="R99" s="108">
        <v>50.118000000000002</v>
      </c>
      <c r="S99" s="108">
        <v>49.878999999999998</v>
      </c>
      <c r="T99" s="108">
        <v>49.917000000000002</v>
      </c>
      <c r="U99" s="108">
        <v>49.94</v>
      </c>
      <c r="V99" s="108">
        <v>50.1</v>
      </c>
      <c r="W99" s="108">
        <v>49.966999999999999</v>
      </c>
      <c r="X99" s="108">
        <v>49.966000000000001</v>
      </c>
      <c r="Y99" s="108">
        <v>50.005000000000003</v>
      </c>
      <c r="Z99" s="108">
        <v>49.933999999999997</v>
      </c>
      <c r="AA99" s="108">
        <v>49.908999999999999</v>
      </c>
      <c r="AB99" s="108">
        <v>49.982999999999997</v>
      </c>
      <c r="AC99" s="108">
        <v>49.997999999999998</v>
      </c>
      <c r="AD99" s="108">
        <v>49.89</v>
      </c>
      <c r="AE99" s="108">
        <v>50.05</v>
      </c>
      <c r="AF99" s="108">
        <v>50.04</v>
      </c>
      <c r="AG99" s="109"/>
      <c r="AH99" s="52">
        <f t="shared" si="19"/>
        <v>50.124000000000002</v>
      </c>
      <c r="AI99" s="53">
        <f t="shared" si="20"/>
        <v>49.878999999999998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131</v>
      </c>
      <c r="C100" s="72">
        <v>131</v>
      </c>
      <c r="D100" s="72">
        <v>131</v>
      </c>
      <c r="E100" s="72">
        <v>131</v>
      </c>
      <c r="F100" s="72">
        <v>131</v>
      </c>
      <c r="G100" s="72">
        <v>131</v>
      </c>
      <c r="H100" s="72">
        <v>129.19999999999999</v>
      </c>
      <c r="I100" s="72">
        <v>129.19999999999999</v>
      </c>
      <c r="J100" s="72">
        <v>129.19999999999999</v>
      </c>
      <c r="K100" s="72">
        <v>128.19999999999999</v>
      </c>
      <c r="L100" s="72">
        <v>129</v>
      </c>
      <c r="M100" s="72">
        <v>128</v>
      </c>
      <c r="N100" s="72">
        <v>127.2</v>
      </c>
      <c r="O100" s="72">
        <v>127.2</v>
      </c>
      <c r="P100" s="72">
        <v>125.8</v>
      </c>
      <c r="Q100" s="72">
        <v>125.8</v>
      </c>
      <c r="R100" s="72">
        <v>125.8</v>
      </c>
      <c r="S100" s="72">
        <v>128.4</v>
      </c>
      <c r="T100" s="72">
        <v>126</v>
      </c>
      <c r="U100" s="72">
        <v>127.3</v>
      </c>
      <c r="V100" s="72">
        <v>127</v>
      </c>
      <c r="W100" s="72">
        <v>127.8</v>
      </c>
      <c r="X100" s="72">
        <v>128.80000000000001</v>
      </c>
      <c r="Y100" s="72">
        <v>125.5</v>
      </c>
      <c r="Z100" s="72">
        <v>126.8</v>
      </c>
      <c r="AA100" s="72">
        <v>125.9</v>
      </c>
      <c r="AB100" s="72">
        <v>126.2</v>
      </c>
      <c r="AC100" s="72">
        <v>126</v>
      </c>
      <c r="AD100" s="72">
        <v>126.1</v>
      </c>
      <c r="AE100" s="72">
        <v>126.4</v>
      </c>
      <c r="AF100" s="72">
        <v>126.8</v>
      </c>
      <c r="AG100" s="111"/>
      <c r="AH100" s="52">
        <f t="shared" si="19"/>
        <v>131</v>
      </c>
      <c r="AI100" s="53">
        <f t="shared" si="20"/>
        <v>125.5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134</v>
      </c>
      <c r="C101" s="72">
        <v>134</v>
      </c>
      <c r="D101" s="72">
        <v>134</v>
      </c>
      <c r="E101" s="72">
        <v>134</v>
      </c>
      <c r="F101" s="72">
        <v>134</v>
      </c>
      <c r="G101" s="72">
        <v>134</v>
      </c>
      <c r="H101" s="72">
        <v>132.30000000000001</v>
      </c>
      <c r="I101" s="72">
        <v>132.30000000000001</v>
      </c>
      <c r="J101" s="72">
        <v>132.30000000000001</v>
      </c>
      <c r="K101" s="72">
        <v>129.69999999999999</v>
      </c>
      <c r="L101" s="72">
        <v>130.5</v>
      </c>
      <c r="M101" s="72">
        <v>129.6</v>
      </c>
      <c r="N101" s="72">
        <v>128.80000000000001</v>
      </c>
      <c r="O101" s="72">
        <v>128.80000000000001</v>
      </c>
      <c r="P101" s="72">
        <v>129</v>
      </c>
      <c r="Q101" s="72">
        <v>129</v>
      </c>
      <c r="R101" s="72">
        <v>129</v>
      </c>
      <c r="S101" s="72">
        <v>131</v>
      </c>
      <c r="T101" s="72">
        <v>129.4</v>
      </c>
      <c r="U101" s="72">
        <v>130</v>
      </c>
      <c r="V101" s="72">
        <v>130</v>
      </c>
      <c r="W101" s="72">
        <v>130.69999999999999</v>
      </c>
      <c r="X101" s="72">
        <v>131.4</v>
      </c>
      <c r="Y101" s="72">
        <v>128</v>
      </c>
      <c r="Z101" s="72">
        <v>128.6</v>
      </c>
      <c r="AA101" s="72">
        <v>128.4</v>
      </c>
      <c r="AB101" s="72">
        <v>129.4</v>
      </c>
      <c r="AC101" s="72">
        <v>129.9</v>
      </c>
      <c r="AD101" s="72">
        <v>130.19999999999999</v>
      </c>
      <c r="AE101" s="72">
        <v>130.30000000000001</v>
      </c>
      <c r="AF101" s="72">
        <v>130.5</v>
      </c>
      <c r="AG101" s="111"/>
      <c r="AH101" s="52">
        <f t="shared" si="19"/>
        <v>134</v>
      </c>
      <c r="AI101" s="53">
        <f t="shared" si="20"/>
        <v>128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</v>
      </c>
      <c r="C102" s="72">
        <v>130</v>
      </c>
      <c r="D102" s="72">
        <v>130</v>
      </c>
      <c r="E102" s="72">
        <v>130</v>
      </c>
      <c r="F102" s="72">
        <v>130</v>
      </c>
      <c r="G102" s="72">
        <v>130</v>
      </c>
      <c r="H102" s="72">
        <v>132.9</v>
      </c>
      <c r="I102" s="72">
        <v>132.9</v>
      </c>
      <c r="J102" s="72">
        <v>132.9</v>
      </c>
      <c r="K102" s="72">
        <v>126.5</v>
      </c>
      <c r="L102" s="72">
        <v>129.1</v>
      </c>
      <c r="M102" s="72">
        <v>127</v>
      </c>
      <c r="N102" s="72">
        <v>129.5</v>
      </c>
      <c r="O102" s="72">
        <v>129.5</v>
      </c>
      <c r="P102" s="72">
        <v>125.9</v>
      </c>
      <c r="Q102" s="72">
        <v>125.9</v>
      </c>
      <c r="R102" s="72">
        <v>125.9</v>
      </c>
      <c r="S102" s="72">
        <v>128.4</v>
      </c>
      <c r="T102" s="72">
        <v>131.6</v>
      </c>
      <c r="U102" s="72">
        <v>132.5</v>
      </c>
      <c r="V102" s="72">
        <v>131.9</v>
      </c>
      <c r="W102" s="72">
        <v>130</v>
      </c>
      <c r="X102" s="72">
        <v>134.1</v>
      </c>
      <c r="Y102" s="72">
        <v>128.30000000000001</v>
      </c>
      <c r="Z102" s="72">
        <v>131.69999999999999</v>
      </c>
      <c r="AA102" s="72">
        <v>128.6</v>
      </c>
      <c r="AB102" s="72">
        <v>130.69999999999999</v>
      </c>
      <c r="AC102" s="72">
        <v>131.6</v>
      </c>
      <c r="AD102" s="72">
        <v>132.1</v>
      </c>
      <c r="AE102" s="72">
        <v>132.19999999999999</v>
      </c>
      <c r="AF102" s="72">
        <v>133.30000000000001</v>
      </c>
      <c r="AG102" s="111"/>
      <c r="AH102" s="52">
        <f t="shared" si="19"/>
        <v>134.1</v>
      </c>
      <c r="AI102" s="53">
        <f t="shared" si="20"/>
        <v>125.9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9"/>
        <v>0</v>
      </c>
      <c r="AI103" s="53">
        <f t="shared" si="2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134</v>
      </c>
      <c r="C104" s="113">
        <v>134</v>
      </c>
      <c r="D104" s="113">
        <v>134</v>
      </c>
      <c r="E104" s="113">
        <v>134</v>
      </c>
      <c r="F104" s="113">
        <v>134</v>
      </c>
      <c r="G104" s="113">
        <v>134</v>
      </c>
      <c r="H104" s="113">
        <v>137</v>
      </c>
      <c r="I104" s="113">
        <v>137</v>
      </c>
      <c r="J104" s="113">
        <v>137</v>
      </c>
      <c r="K104" s="113">
        <v>131.80000000000001</v>
      </c>
      <c r="L104" s="113">
        <v>132</v>
      </c>
      <c r="M104" s="113">
        <v>132</v>
      </c>
      <c r="N104" s="113">
        <v>131.9</v>
      </c>
      <c r="O104" s="113">
        <v>131.9</v>
      </c>
      <c r="P104" s="113">
        <v>133.80000000000001</v>
      </c>
      <c r="Q104" s="113">
        <v>133.80000000000001</v>
      </c>
      <c r="R104" s="113">
        <v>133.80000000000001</v>
      </c>
      <c r="S104" s="113">
        <v>133.6</v>
      </c>
      <c r="T104" s="113">
        <v>134.6</v>
      </c>
      <c r="U104" s="113">
        <v>136</v>
      </c>
      <c r="V104" s="113">
        <v>133.5</v>
      </c>
      <c r="W104" s="113">
        <v>130.9</v>
      </c>
      <c r="X104" s="113">
        <v>133</v>
      </c>
      <c r="Y104" s="113">
        <v>132.9</v>
      </c>
      <c r="Z104" s="113">
        <v>131.69999999999999</v>
      </c>
      <c r="AA104" s="113">
        <v>137</v>
      </c>
      <c r="AB104" s="113">
        <v>135.5</v>
      </c>
      <c r="AC104" s="113">
        <v>137.6</v>
      </c>
      <c r="AD104" s="113">
        <v>134.5</v>
      </c>
      <c r="AE104" s="113">
        <v>133.69999999999999</v>
      </c>
      <c r="AF104" s="113">
        <v>134</v>
      </c>
      <c r="AG104" s="114"/>
      <c r="AH104" s="52">
        <f t="shared" si="19"/>
        <v>137.6</v>
      </c>
      <c r="AI104" s="53">
        <f t="shared" si="20"/>
        <v>130.9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130</v>
      </c>
      <c r="C105" s="72">
        <v>130</v>
      </c>
      <c r="D105" s="72">
        <v>130</v>
      </c>
      <c r="E105" s="72">
        <v>130</v>
      </c>
      <c r="F105" s="72">
        <v>132.4</v>
      </c>
      <c r="G105" s="72">
        <v>132</v>
      </c>
      <c r="H105" s="72">
        <v>127.1</v>
      </c>
      <c r="I105" s="72">
        <v>127.1</v>
      </c>
      <c r="J105" s="72">
        <v>127.1</v>
      </c>
      <c r="K105" s="72">
        <v>130.4</v>
      </c>
      <c r="L105" s="72">
        <v>129.30000000000001</v>
      </c>
      <c r="M105" s="72">
        <v>129</v>
      </c>
      <c r="N105" s="72">
        <v>128.80000000000001</v>
      </c>
      <c r="O105" s="72">
        <v>128.80000000000001</v>
      </c>
      <c r="P105" s="72">
        <v>133.30000000000001</v>
      </c>
      <c r="Q105" s="72">
        <v>133.30000000000001</v>
      </c>
      <c r="R105" s="72">
        <v>133.30000000000001</v>
      </c>
      <c r="S105" s="72">
        <v>127.7</v>
      </c>
      <c r="T105" s="72">
        <v>127.7</v>
      </c>
      <c r="U105" s="72">
        <v>129</v>
      </c>
      <c r="V105" s="72"/>
      <c r="W105" s="72">
        <v>129.9</v>
      </c>
      <c r="X105" s="72">
        <v>130.9</v>
      </c>
      <c r="Y105" s="72">
        <v>134.1</v>
      </c>
      <c r="Z105" s="72">
        <v>134.6</v>
      </c>
      <c r="AA105" s="72">
        <v>134.6</v>
      </c>
      <c r="AB105" s="72">
        <v>129.19999999999999</v>
      </c>
      <c r="AC105" s="72">
        <v>131</v>
      </c>
      <c r="AD105" s="72">
        <v>133</v>
      </c>
      <c r="AE105" s="72">
        <v>132</v>
      </c>
      <c r="AF105" s="72">
        <v>129.6</v>
      </c>
      <c r="AG105" s="111"/>
      <c r="AH105" s="52">
        <f t="shared" si="19"/>
        <v>134.6</v>
      </c>
      <c r="AI105" s="53">
        <f t="shared" si="20"/>
        <v>127.1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67</v>
      </c>
      <c r="C106" s="99">
        <v>67</v>
      </c>
      <c r="D106" s="99">
        <v>67</v>
      </c>
      <c r="E106" s="99">
        <v>67</v>
      </c>
      <c r="F106" s="99">
        <v>67</v>
      </c>
      <c r="G106" s="99">
        <v>66.900000000000006</v>
      </c>
      <c r="H106" s="99">
        <v>66.599999999999994</v>
      </c>
      <c r="I106" s="99">
        <v>66.599999999999994</v>
      </c>
      <c r="J106" s="99">
        <v>66.599999999999994</v>
      </c>
      <c r="K106" s="99">
        <v>65.099999999999994</v>
      </c>
      <c r="L106" s="99">
        <v>65.599999999999994</v>
      </c>
      <c r="M106" s="99">
        <v>65</v>
      </c>
      <c r="N106" s="99">
        <v>64.599999999999994</v>
      </c>
      <c r="O106" s="99">
        <v>64.599999999999994</v>
      </c>
      <c r="P106" s="99">
        <v>64.8</v>
      </c>
      <c r="Q106" s="99">
        <v>64.8</v>
      </c>
      <c r="R106" s="99">
        <v>64.8</v>
      </c>
      <c r="S106" s="99">
        <v>65.3</v>
      </c>
      <c r="T106" s="99">
        <v>64.8</v>
      </c>
      <c r="U106" s="99">
        <v>65.099999999999994</v>
      </c>
      <c r="V106" s="99">
        <v>65.2</v>
      </c>
      <c r="W106" s="99">
        <v>65.599999999999994</v>
      </c>
      <c r="X106" s="99">
        <v>66.099999999999994</v>
      </c>
      <c r="Y106" s="99">
        <v>64.2</v>
      </c>
      <c r="Z106" s="99">
        <v>64.5</v>
      </c>
      <c r="AA106" s="99">
        <v>64.599999999999994</v>
      </c>
      <c r="AB106" s="99">
        <v>65.2</v>
      </c>
      <c r="AC106" s="99">
        <v>65</v>
      </c>
      <c r="AD106" s="99">
        <v>65.5</v>
      </c>
      <c r="AE106" s="99">
        <v>65.7</v>
      </c>
      <c r="AF106" s="99">
        <v>65.5</v>
      </c>
      <c r="AG106" s="115"/>
      <c r="AH106" s="52">
        <f t="shared" si="19"/>
        <v>67</v>
      </c>
      <c r="AI106" s="53">
        <f t="shared" si="20"/>
        <v>64.2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9"/>
        <v>0</v>
      </c>
      <c r="AI107" s="53">
        <f t="shared" si="20"/>
        <v>0</v>
      </c>
    </row>
    <row r="108" spans="1:88" ht="15.75" thickBot="1" x14ac:dyDescent="0.3">
      <c r="A108" s="117" t="s">
        <v>112</v>
      </c>
      <c r="B108" s="118">
        <f t="shared" ref="B108:AF108" si="36">SUM(B18,B24,B27:B28,B56,B58:B59,B61,B63,B109:B113,B135,B141,B147,B156,B158,B170,B177,B180:B181,B188,B190,B192,B196:B198,B200:B202,B207,B213:B214,B216:B218,B226,B231)</f>
        <v>130.5</v>
      </c>
      <c r="C108" s="118">
        <f t="shared" si="36"/>
        <v>119.44</v>
      </c>
      <c r="D108" s="118">
        <f t="shared" si="36"/>
        <v>114.44</v>
      </c>
      <c r="E108" s="118">
        <f t="shared" ref="E108:H108" si="37">SUM(E18,E24,E27:E28,E56,E58:E59,E61,E63,E109:E113,E135,E141,E147,E156,E158,E170,E177,E180:E181,E188,E190,E192,E196:E198,E200:E202,E207,E213:E214,E216:E218,E226,E231)</f>
        <v>104.44</v>
      </c>
      <c r="F108" s="118">
        <f t="shared" si="37"/>
        <v>103.44</v>
      </c>
      <c r="G108" s="118">
        <f t="shared" si="37"/>
        <v>111.44</v>
      </c>
      <c r="H108" s="118">
        <f t="shared" si="37"/>
        <v>151.84</v>
      </c>
      <c r="I108" s="118">
        <f t="shared" ref="I108:J108" si="38">SUM(I18,I24,I27:I28,I56,I58:I59,I61,I63,I109:I113,I135,I141,I147,I156,I158,I170,I177,I180:I181,I188,I190,I192,I196:I198,I200:I202,I207,I213:I214,I216:I218,I226,I231)</f>
        <v>162.13999999999999</v>
      </c>
      <c r="J108" s="118">
        <f t="shared" si="38"/>
        <v>176.54</v>
      </c>
      <c r="K108" s="118">
        <f t="shared" si="36"/>
        <v>260.33999999999997</v>
      </c>
      <c r="L108" s="118">
        <f t="shared" si="36"/>
        <v>269.53999999999996</v>
      </c>
      <c r="M108" s="118">
        <f t="shared" si="36"/>
        <v>306.84000000000003</v>
      </c>
      <c r="N108" s="118">
        <f t="shared" si="36"/>
        <v>293.83999999999997</v>
      </c>
      <c r="O108" s="118">
        <f t="shared" si="36"/>
        <v>279.83999999999997</v>
      </c>
      <c r="P108" s="118">
        <v>42</v>
      </c>
      <c r="Q108" s="118">
        <f t="shared" si="36"/>
        <v>265.40000000000003</v>
      </c>
      <c r="R108" s="118">
        <f t="shared" si="36"/>
        <v>280.5</v>
      </c>
      <c r="S108" s="118">
        <f t="shared" si="36"/>
        <v>272</v>
      </c>
      <c r="T108" s="118">
        <f t="shared" si="36"/>
        <v>278.2</v>
      </c>
      <c r="U108" s="118">
        <f t="shared" si="36"/>
        <v>269.79999999999995</v>
      </c>
      <c r="V108" s="118">
        <f t="shared" si="36"/>
        <v>261.7</v>
      </c>
      <c r="W108" s="118">
        <f t="shared" si="36"/>
        <v>269.89999999999998</v>
      </c>
      <c r="X108" s="118">
        <f t="shared" si="36"/>
        <v>270.90000000000003</v>
      </c>
      <c r="Y108" s="118">
        <f t="shared" si="36"/>
        <v>294</v>
      </c>
      <c r="Z108" s="118">
        <f t="shared" si="36"/>
        <v>329.4</v>
      </c>
      <c r="AA108" s="118">
        <f t="shared" si="36"/>
        <v>305.89999999999998</v>
      </c>
      <c r="AB108" s="118">
        <f t="shared" si="36"/>
        <v>262.60000000000002</v>
      </c>
      <c r="AC108" s="118">
        <f t="shared" si="36"/>
        <v>239.1</v>
      </c>
      <c r="AD108" s="118">
        <f t="shared" si="36"/>
        <v>201.60000000000002</v>
      </c>
      <c r="AE108" s="118">
        <f t="shared" si="36"/>
        <v>157.10000000000002</v>
      </c>
      <c r="AF108" s="118">
        <f t="shared" si="36"/>
        <v>116.1</v>
      </c>
      <c r="AG108" s="119"/>
      <c r="AH108" s="52">
        <f t="shared" si="19"/>
        <v>329.4</v>
      </c>
      <c r="AI108" s="53">
        <f t="shared" si="20"/>
        <v>42</v>
      </c>
    </row>
    <row r="109" spans="1:88" x14ac:dyDescent="0.25">
      <c r="A109" s="107" t="s">
        <v>113</v>
      </c>
      <c r="B109" s="120">
        <v>0</v>
      </c>
      <c r="C109" s="120">
        <v>-24</v>
      </c>
      <c r="D109" s="120">
        <v>-26</v>
      </c>
      <c r="E109" s="120">
        <v>-26</v>
      </c>
      <c r="F109" s="120">
        <v>-26</v>
      </c>
      <c r="G109" s="120">
        <v>-26</v>
      </c>
      <c r="H109" s="120">
        <v>-5.2</v>
      </c>
      <c r="I109" s="120">
        <v>-3.2</v>
      </c>
      <c r="J109" s="120">
        <v>1.2</v>
      </c>
      <c r="K109" s="120">
        <v>11.4</v>
      </c>
      <c r="L109" s="120">
        <v>13.8</v>
      </c>
      <c r="M109" s="120">
        <v>13.2</v>
      </c>
      <c r="N109" s="120">
        <v>13</v>
      </c>
      <c r="O109" s="120">
        <v>10.5</v>
      </c>
      <c r="P109" s="120">
        <v>15.5</v>
      </c>
      <c r="Q109" s="120">
        <v>28</v>
      </c>
      <c r="R109" s="120">
        <v>27.1</v>
      </c>
      <c r="S109" s="120">
        <v>33</v>
      </c>
      <c r="T109" s="120">
        <v>29.1</v>
      </c>
      <c r="U109" s="120">
        <v>32.9</v>
      </c>
      <c r="V109" s="120">
        <v>34.5</v>
      </c>
      <c r="W109" s="120">
        <v>30.3</v>
      </c>
      <c r="X109" s="120">
        <v>32.5</v>
      </c>
      <c r="Y109" s="120">
        <v>34.299999999999997</v>
      </c>
      <c r="Z109" s="120">
        <v>29.5</v>
      </c>
      <c r="AA109" s="120">
        <v>30.8</v>
      </c>
      <c r="AB109" s="120">
        <v>32.1</v>
      </c>
      <c r="AC109" s="120">
        <v>26.7</v>
      </c>
      <c r="AD109" s="120">
        <v>17.7</v>
      </c>
      <c r="AE109" s="120">
        <v>3.8</v>
      </c>
      <c r="AF109" s="120">
        <v>-8.8000000000000007</v>
      </c>
      <c r="AG109" s="121">
        <v>75</v>
      </c>
      <c r="AH109" s="52">
        <f t="shared" si="19"/>
        <v>34.5</v>
      </c>
      <c r="AI109" s="53">
        <f t="shared" si="20"/>
        <v>-26</v>
      </c>
    </row>
    <row r="110" spans="1:88" x14ac:dyDescent="0.25">
      <c r="A110" s="110" t="s">
        <v>114</v>
      </c>
      <c r="B110" s="122">
        <v>2</v>
      </c>
      <c r="C110" s="122">
        <v>-27</v>
      </c>
      <c r="D110" s="122">
        <v>-30</v>
      </c>
      <c r="E110" s="122">
        <v>-30</v>
      </c>
      <c r="F110" s="122">
        <v>-30</v>
      </c>
      <c r="G110" s="122">
        <v>-30</v>
      </c>
      <c r="H110" s="122">
        <v>-6.3</v>
      </c>
      <c r="I110" s="122">
        <v>-5.2</v>
      </c>
      <c r="J110" s="122">
        <v>2.1</v>
      </c>
      <c r="K110" s="122">
        <v>10.1</v>
      </c>
      <c r="L110" s="122">
        <v>13.6</v>
      </c>
      <c r="M110" s="122">
        <v>11.9</v>
      </c>
      <c r="N110" s="122">
        <v>12.6</v>
      </c>
      <c r="O110" s="122">
        <v>11.8</v>
      </c>
      <c r="P110" s="122">
        <v>21.7</v>
      </c>
      <c r="Q110" s="122">
        <v>41</v>
      </c>
      <c r="R110" s="122">
        <v>35.299999999999997</v>
      </c>
      <c r="S110" s="122">
        <v>46.8</v>
      </c>
      <c r="T110" s="122">
        <v>40.799999999999997</v>
      </c>
      <c r="U110" s="122">
        <v>48</v>
      </c>
      <c r="V110" s="122">
        <v>51.7</v>
      </c>
      <c r="W110" s="122">
        <v>41.2</v>
      </c>
      <c r="X110" s="122">
        <v>44.5</v>
      </c>
      <c r="Y110" s="122">
        <v>48.4</v>
      </c>
      <c r="Z110" s="122">
        <v>38.299999999999997</v>
      </c>
      <c r="AA110" s="122">
        <v>40.6</v>
      </c>
      <c r="AB110" s="122">
        <v>49.5</v>
      </c>
      <c r="AC110" s="122">
        <v>42</v>
      </c>
      <c r="AD110" s="122">
        <v>25.5</v>
      </c>
      <c r="AE110" s="122">
        <v>6.7</v>
      </c>
      <c r="AF110" s="122">
        <v>-5</v>
      </c>
      <c r="AG110" s="121">
        <v>240</v>
      </c>
      <c r="AH110" s="52">
        <f t="shared" si="19"/>
        <v>51.7</v>
      </c>
      <c r="AI110" s="53">
        <f t="shared" si="20"/>
        <v>-30</v>
      </c>
    </row>
    <row r="111" spans="1:88" x14ac:dyDescent="0.25">
      <c r="A111" s="110" t="s">
        <v>115</v>
      </c>
      <c r="B111" s="122">
        <v>-35</v>
      </c>
      <c r="C111" s="122">
        <v>-24</v>
      </c>
      <c r="D111" s="122">
        <v>-24</v>
      </c>
      <c r="E111" s="122">
        <v>-34</v>
      </c>
      <c r="F111" s="122">
        <v>-44</v>
      </c>
      <c r="G111" s="122">
        <v>-42.8</v>
      </c>
      <c r="H111" s="122">
        <f>-34.9-6.4</f>
        <v>-41.3</v>
      </c>
      <c r="I111" s="122">
        <v>-42</v>
      </c>
      <c r="J111" s="122">
        <f t="shared" ref="J111" si="39">-34.9-6.4</f>
        <v>-41.3</v>
      </c>
      <c r="K111" s="122">
        <f>-12.2+19.2</f>
        <v>7</v>
      </c>
      <c r="L111" s="122">
        <f>-10.9+20.7</f>
        <v>9.7999999999999989</v>
      </c>
      <c r="M111" s="122">
        <v>47.9</v>
      </c>
      <c r="N111" s="122">
        <v>43.5</v>
      </c>
      <c r="O111" s="122">
        <v>23.3</v>
      </c>
      <c r="P111" s="122">
        <v>7.4</v>
      </c>
      <c r="Q111" s="122">
        <v>-4.5</v>
      </c>
      <c r="R111" s="122">
        <v>23.8</v>
      </c>
      <c r="S111" s="122">
        <v>0.7</v>
      </c>
      <c r="T111" s="122">
        <v>10</v>
      </c>
      <c r="U111" s="122">
        <v>1.2</v>
      </c>
      <c r="V111" s="122">
        <v>-18</v>
      </c>
      <c r="W111" s="122">
        <v>1.4</v>
      </c>
      <c r="X111" s="122">
        <v>1.9</v>
      </c>
      <c r="Y111" s="122">
        <f>5.5+4.9</f>
        <v>10.4</v>
      </c>
      <c r="Z111" s="122">
        <f>18.6+20.5</f>
        <v>39.1</v>
      </c>
      <c r="AA111" s="122">
        <f>7.8+8.8</f>
        <v>16.600000000000001</v>
      </c>
      <c r="AB111" s="122">
        <v>-20.8</v>
      </c>
      <c r="AC111" s="122">
        <v>-29</v>
      </c>
      <c r="AD111" s="122">
        <f>-17.1-19.9</f>
        <v>-37</v>
      </c>
      <c r="AE111" s="122">
        <f>-22.6-24.4</f>
        <v>-47</v>
      </c>
      <c r="AF111" s="122">
        <f>-27.6-30.1</f>
        <v>-57.7</v>
      </c>
      <c r="AG111" s="121">
        <v>240</v>
      </c>
      <c r="AH111" s="52">
        <f t="shared" si="19"/>
        <v>47.9</v>
      </c>
      <c r="AI111" s="53">
        <f t="shared" si="20"/>
        <v>-57.7</v>
      </c>
    </row>
    <row r="112" spans="1:88" x14ac:dyDescent="0.25">
      <c r="A112" s="110" t="s">
        <v>116</v>
      </c>
      <c r="B112" s="122">
        <v>21</v>
      </c>
      <c r="C112" s="122">
        <v>29</v>
      </c>
      <c r="D112" s="122">
        <v>29</v>
      </c>
      <c r="E112" s="122">
        <v>29</v>
      </c>
      <c r="F112" s="122">
        <v>30</v>
      </c>
      <c r="G112" s="122">
        <v>32.799999999999997</v>
      </c>
      <c r="H112" s="122">
        <v>37.1</v>
      </c>
      <c r="I112" s="122">
        <v>45</v>
      </c>
      <c r="J112" s="122">
        <v>47</v>
      </c>
      <c r="K112" s="122">
        <v>48.8</v>
      </c>
      <c r="L112" s="122">
        <v>51.1</v>
      </c>
      <c r="M112" s="122">
        <v>50.3</v>
      </c>
      <c r="N112" s="122">
        <v>41.9</v>
      </c>
      <c r="O112" s="122">
        <v>44.5</v>
      </c>
      <c r="P112" s="122">
        <v>40</v>
      </c>
      <c r="Q112" s="122">
        <v>27.9</v>
      </c>
      <c r="R112" s="122">
        <v>11</v>
      </c>
      <c r="S112" s="122">
        <v>12.3</v>
      </c>
      <c r="T112" s="122">
        <v>14.1</v>
      </c>
      <c r="U112" s="122">
        <v>16.100000000000001</v>
      </c>
      <c r="V112" s="122">
        <v>22.6</v>
      </c>
      <c r="W112" s="122">
        <v>19</v>
      </c>
      <c r="X112" s="122">
        <v>12.3</v>
      </c>
      <c r="Y112" s="122">
        <v>14.7</v>
      </c>
      <c r="Z112" s="122">
        <v>17.5</v>
      </c>
      <c r="AA112" s="122">
        <v>16.100000000000001</v>
      </c>
      <c r="AB112" s="122">
        <v>7.8</v>
      </c>
      <c r="AC112" s="122">
        <v>4.9000000000000004</v>
      </c>
      <c r="AD112" s="122">
        <v>1.7</v>
      </c>
      <c r="AE112" s="122">
        <v>-1</v>
      </c>
      <c r="AF112" s="122">
        <v>-7.4</v>
      </c>
      <c r="AG112" s="121">
        <v>60</v>
      </c>
      <c r="AH112" s="52">
        <f t="shared" si="19"/>
        <v>51.1</v>
      </c>
      <c r="AI112" s="53">
        <f t="shared" si="20"/>
        <v>-7.4</v>
      </c>
    </row>
    <row r="113" spans="1:37" x14ac:dyDescent="0.25">
      <c r="A113" s="123" t="s">
        <v>117</v>
      </c>
      <c r="B113" s="124">
        <v>58</v>
      </c>
      <c r="C113" s="124">
        <v>80</v>
      </c>
      <c r="D113" s="124">
        <v>80</v>
      </c>
      <c r="E113" s="124">
        <v>80</v>
      </c>
      <c r="F113" s="124">
        <v>88</v>
      </c>
      <c r="G113" s="124">
        <v>92</v>
      </c>
      <c r="H113" s="124">
        <v>82.1</v>
      </c>
      <c r="I113" s="124">
        <v>82.1</v>
      </c>
      <c r="J113" s="124">
        <v>82.1</v>
      </c>
      <c r="K113" s="124">
        <v>97.6</v>
      </c>
      <c r="L113" s="124">
        <v>95.8</v>
      </c>
      <c r="M113" s="124">
        <v>98.3</v>
      </c>
      <c r="N113" s="124">
        <v>97.6</v>
      </c>
      <c r="O113" s="124">
        <v>104.5</v>
      </c>
      <c r="P113" s="124">
        <v>98.5</v>
      </c>
      <c r="Q113" s="124">
        <v>88.7</v>
      </c>
      <c r="R113" s="124">
        <v>99</v>
      </c>
      <c r="S113" s="124">
        <v>94.9</v>
      </c>
      <c r="T113" s="124">
        <v>99.9</v>
      </c>
      <c r="U113" s="124">
        <v>87.3</v>
      </c>
      <c r="V113" s="124">
        <v>80.400000000000006</v>
      </c>
      <c r="W113" s="124">
        <v>87.5</v>
      </c>
      <c r="X113" s="124">
        <v>89.2</v>
      </c>
      <c r="Y113" s="124">
        <v>95.7</v>
      </c>
      <c r="Z113" s="124">
        <v>109.5</v>
      </c>
      <c r="AA113" s="124">
        <v>106.3</v>
      </c>
      <c r="AB113" s="124">
        <v>98.5</v>
      </c>
      <c r="AC113" s="124">
        <v>99</v>
      </c>
      <c r="AD113" s="124">
        <v>91.3</v>
      </c>
      <c r="AE113" s="124">
        <v>93.5</v>
      </c>
      <c r="AF113" s="124">
        <v>93.7</v>
      </c>
      <c r="AG113" s="125">
        <v>120</v>
      </c>
      <c r="AH113" s="52">
        <f t="shared" si="19"/>
        <v>109.5</v>
      </c>
      <c r="AI113" s="53">
        <f t="shared" si="20"/>
        <v>58</v>
      </c>
    </row>
    <row r="114" spans="1:37" x14ac:dyDescent="0.25">
      <c r="A114" s="123" t="s">
        <v>118</v>
      </c>
      <c r="B114" s="124">
        <v>65</v>
      </c>
      <c r="C114" s="124">
        <v>88</v>
      </c>
      <c r="D114" s="124">
        <v>88</v>
      </c>
      <c r="E114" s="124">
        <v>76</v>
      </c>
      <c r="F114" s="124">
        <v>94</v>
      </c>
      <c r="G114" s="124">
        <v>88</v>
      </c>
      <c r="H114" s="124">
        <v>80.8</v>
      </c>
      <c r="I114" s="124">
        <v>80.8</v>
      </c>
      <c r="J114" s="124">
        <v>80.8</v>
      </c>
      <c r="K114" s="124">
        <v>79</v>
      </c>
      <c r="L114" s="124">
        <v>71.599999999999994</v>
      </c>
      <c r="M114" s="124">
        <v>72.599999999999994</v>
      </c>
      <c r="N114" s="124">
        <v>78.599999999999994</v>
      </c>
      <c r="O114" s="124">
        <v>93.8</v>
      </c>
      <c r="P114" s="124">
        <v>86.5</v>
      </c>
      <c r="Q114" s="124">
        <v>60.8</v>
      </c>
      <c r="R114" s="124">
        <v>93.8</v>
      </c>
      <c r="S114" s="124">
        <v>81.2</v>
      </c>
      <c r="T114" s="124">
        <v>82.6</v>
      </c>
      <c r="U114" s="124">
        <v>90.1</v>
      </c>
      <c r="V114" s="124">
        <v>51.7</v>
      </c>
      <c r="W114" s="124">
        <v>62.1</v>
      </c>
      <c r="X114" s="124">
        <v>58.5</v>
      </c>
      <c r="Y114" s="124">
        <v>81.2</v>
      </c>
      <c r="Z114" s="124">
        <v>57.5</v>
      </c>
      <c r="AA114" s="124">
        <v>84.7</v>
      </c>
      <c r="AB114" s="124">
        <v>87.9</v>
      </c>
      <c r="AC114" s="124">
        <v>92.4</v>
      </c>
      <c r="AD114" s="124">
        <v>89.5</v>
      </c>
      <c r="AE114" s="124">
        <v>96.8</v>
      </c>
      <c r="AF114" s="124">
        <v>98.7</v>
      </c>
      <c r="AG114" s="125"/>
      <c r="AH114" s="52">
        <f t="shared" si="19"/>
        <v>98.7</v>
      </c>
      <c r="AI114" s="53">
        <f t="shared" si="20"/>
        <v>51.7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>
        <v>25.3</v>
      </c>
      <c r="P115" s="124">
        <v>13.7</v>
      </c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9"/>
        <v>25.3</v>
      </c>
      <c r="AI115" s="53">
        <f t="shared" si="20"/>
        <v>13.7</v>
      </c>
    </row>
    <row r="116" spans="1:37" x14ac:dyDescent="0.25">
      <c r="A116" s="127" t="s">
        <v>120</v>
      </c>
      <c r="B116" s="113">
        <v>21</v>
      </c>
      <c r="C116" s="113">
        <v>9</v>
      </c>
      <c r="D116" s="113">
        <v>9</v>
      </c>
      <c r="E116" s="113">
        <v>9</v>
      </c>
      <c r="F116" s="113">
        <v>4.5999999999999996</v>
      </c>
      <c r="G116" s="113">
        <v>-14</v>
      </c>
      <c r="H116" s="113">
        <v>-28.5</v>
      </c>
      <c r="I116" s="113">
        <v>-30.4</v>
      </c>
      <c r="J116" s="113">
        <v>-32</v>
      </c>
      <c r="K116" s="113">
        <v>-56.8</v>
      </c>
      <c r="L116" s="113">
        <v>-66.099999999999994</v>
      </c>
      <c r="M116" s="113">
        <v>-32.299999999999997</v>
      </c>
      <c r="N116" s="113">
        <v>-54.2</v>
      </c>
      <c r="O116" s="113">
        <v>-63.2</v>
      </c>
      <c r="P116" s="113">
        <v>-60.3</v>
      </c>
      <c r="Q116" s="113">
        <v>-49.8</v>
      </c>
      <c r="R116" s="113">
        <v>45.3</v>
      </c>
      <c r="S116" s="113">
        <v>-44.9</v>
      </c>
      <c r="T116" s="113">
        <v>-47.6</v>
      </c>
      <c r="U116" s="113">
        <v>-38</v>
      </c>
      <c r="V116" s="113">
        <v>-44.1</v>
      </c>
      <c r="W116" s="113">
        <v>-81.5</v>
      </c>
      <c r="X116" s="113">
        <v>-31</v>
      </c>
      <c r="Y116" s="113">
        <v>16.100000000000001</v>
      </c>
      <c r="Z116" s="113">
        <v>53.3</v>
      </c>
      <c r="AA116" s="113">
        <v>60.1</v>
      </c>
      <c r="AB116" s="113">
        <v>73.5</v>
      </c>
      <c r="AC116" s="113">
        <v>52.9</v>
      </c>
      <c r="AD116" s="113">
        <v>33.4</v>
      </c>
      <c r="AE116" s="113">
        <v>47</v>
      </c>
      <c r="AF116" s="113">
        <v>43</v>
      </c>
      <c r="AG116" s="126"/>
      <c r="AH116" s="52">
        <f t="shared" si="19"/>
        <v>73.5</v>
      </c>
      <c r="AI116" s="53">
        <f t="shared" si="20"/>
        <v>-81.5</v>
      </c>
    </row>
    <row r="117" spans="1:37" ht="15.75" thickBot="1" x14ac:dyDescent="0.3">
      <c r="A117" s="127" t="s">
        <v>121</v>
      </c>
      <c r="B117" s="113">
        <v>89</v>
      </c>
      <c r="C117" s="113">
        <v>90</v>
      </c>
      <c r="D117" s="113">
        <v>90</v>
      </c>
      <c r="E117" s="113">
        <v>88</v>
      </c>
      <c r="F117" s="113">
        <v>83</v>
      </c>
      <c r="G117" s="113">
        <v>82</v>
      </c>
      <c r="H117" s="113">
        <v>78</v>
      </c>
      <c r="I117" s="113">
        <v>74</v>
      </c>
      <c r="J117" s="113">
        <v>78</v>
      </c>
      <c r="K117" s="113">
        <v>80.7</v>
      </c>
      <c r="L117" s="113">
        <v>83.6</v>
      </c>
      <c r="M117" s="113">
        <v>84.6</v>
      </c>
      <c r="N117" s="113">
        <v>80.2</v>
      </c>
      <c r="O117" s="113">
        <v>100.6</v>
      </c>
      <c r="P117" s="113">
        <v>110.4</v>
      </c>
      <c r="Q117" s="113">
        <v>107.8</v>
      </c>
      <c r="R117" s="113">
        <v>106.5</v>
      </c>
      <c r="S117" s="113">
        <v>107</v>
      </c>
      <c r="T117" s="113">
        <v>103.6</v>
      </c>
      <c r="U117" s="113">
        <v>91.5</v>
      </c>
      <c r="V117" s="113">
        <v>80.5</v>
      </c>
      <c r="W117" s="113">
        <v>80</v>
      </c>
      <c r="X117" s="113">
        <v>64.900000000000006</v>
      </c>
      <c r="Y117" s="113">
        <v>63.4</v>
      </c>
      <c r="Z117" s="113">
        <v>76</v>
      </c>
      <c r="AA117" s="113">
        <v>57.3</v>
      </c>
      <c r="AB117" s="113">
        <v>53.4</v>
      </c>
      <c r="AC117" s="113">
        <v>57.1</v>
      </c>
      <c r="AD117" s="113">
        <v>46</v>
      </c>
      <c r="AE117" s="113">
        <v>36.299999999999997</v>
      </c>
      <c r="AF117" s="113">
        <v>29.6</v>
      </c>
      <c r="AG117" s="126"/>
      <c r="AH117" s="52">
        <f t="shared" si="19"/>
        <v>110.4</v>
      </c>
      <c r="AI117" s="53">
        <f t="shared" si="20"/>
        <v>29.6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40">SUM(B119:B223)</f>
        <v>0</v>
      </c>
      <c r="C224" s="144">
        <f t="shared" si="40"/>
        <v>0</v>
      </c>
      <c r="D224" s="144">
        <f t="shared" si="40"/>
        <v>0</v>
      </c>
      <c r="E224" s="144">
        <f t="shared" si="40"/>
        <v>0</v>
      </c>
      <c r="F224" s="144">
        <f t="shared" si="40"/>
        <v>0</v>
      </c>
      <c r="G224" s="144">
        <f t="shared" si="40"/>
        <v>0</v>
      </c>
      <c r="H224" s="144">
        <f t="shared" si="40"/>
        <v>0</v>
      </c>
      <c r="I224" s="144">
        <f t="shared" si="40"/>
        <v>0</v>
      </c>
      <c r="J224" s="144">
        <f t="shared" si="40"/>
        <v>0</v>
      </c>
      <c r="K224" s="144">
        <f t="shared" si="40"/>
        <v>0</v>
      </c>
      <c r="L224" s="144">
        <f t="shared" si="40"/>
        <v>0</v>
      </c>
      <c r="M224" s="144">
        <f t="shared" si="40"/>
        <v>0</v>
      </c>
      <c r="N224" s="144">
        <f t="shared" si="40"/>
        <v>0</v>
      </c>
      <c r="O224" s="144">
        <f t="shared" si="40"/>
        <v>0</v>
      </c>
      <c r="P224" s="144">
        <f t="shared" si="40"/>
        <v>0</v>
      </c>
      <c r="Q224" s="144">
        <f t="shared" si="40"/>
        <v>0</v>
      </c>
      <c r="R224" s="144">
        <f t="shared" si="40"/>
        <v>0</v>
      </c>
      <c r="S224" s="144">
        <f t="shared" si="40"/>
        <v>0</v>
      </c>
      <c r="T224" s="144">
        <f t="shared" si="40"/>
        <v>0</v>
      </c>
      <c r="U224" s="144">
        <f t="shared" si="40"/>
        <v>0</v>
      </c>
      <c r="V224" s="144">
        <f t="shared" si="40"/>
        <v>0</v>
      </c>
      <c r="W224" s="144">
        <f t="shared" si="40"/>
        <v>0</v>
      </c>
      <c r="X224" s="144">
        <f t="shared" si="40"/>
        <v>0</v>
      </c>
      <c r="Y224" s="144">
        <f t="shared" si="40"/>
        <v>0</v>
      </c>
      <c r="Z224" s="144">
        <f t="shared" si="40"/>
        <v>0</v>
      </c>
      <c r="AA224" s="144">
        <f t="shared" si="40"/>
        <v>0</v>
      </c>
      <c r="AB224" s="144">
        <f t="shared" si="40"/>
        <v>0</v>
      </c>
      <c r="AC224" s="144">
        <f t="shared" si="40"/>
        <v>0</v>
      </c>
      <c r="AD224" s="144">
        <f t="shared" si="40"/>
        <v>0</v>
      </c>
      <c r="AE224" s="144">
        <f t="shared" si="40"/>
        <v>0</v>
      </c>
      <c r="AF224" s="145">
        <f t="shared" si="40"/>
        <v>0</v>
      </c>
      <c r="AG224" s="146">
        <f t="shared" si="40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41">AF226</f>
        <v>0</v>
      </c>
      <c r="C226" s="149">
        <v>0.3</v>
      </c>
      <c r="D226" s="149">
        <f t="shared" ref="D226:P231" si="42">C226</f>
        <v>0.3</v>
      </c>
      <c r="E226" s="149">
        <f t="shared" si="42"/>
        <v>0.3</v>
      </c>
      <c r="F226" s="149">
        <f t="shared" si="42"/>
        <v>0.3</v>
      </c>
      <c r="G226" s="149">
        <f t="shared" si="42"/>
        <v>0.3</v>
      </c>
      <c r="H226" s="149">
        <f t="shared" si="42"/>
        <v>0.3</v>
      </c>
      <c r="I226" s="149">
        <f t="shared" si="42"/>
        <v>0.3</v>
      </c>
      <c r="J226" s="149">
        <f t="shared" si="42"/>
        <v>0.3</v>
      </c>
      <c r="K226" s="149">
        <f t="shared" si="42"/>
        <v>0.3</v>
      </c>
      <c r="L226" s="149">
        <f t="shared" si="42"/>
        <v>0.3</v>
      </c>
      <c r="M226" s="149">
        <f t="shared" si="42"/>
        <v>0.3</v>
      </c>
      <c r="N226" s="149">
        <f t="shared" si="42"/>
        <v>0.3</v>
      </c>
      <c r="O226" s="149">
        <f t="shared" si="42"/>
        <v>0.3</v>
      </c>
      <c r="P226" s="149">
        <f t="shared" si="42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41"/>
        <v>0</v>
      </c>
      <c r="C227" s="136">
        <v>0.4</v>
      </c>
      <c r="D227" s="136">
        <f t="shared" si="42"/>
        <v>0.4</v>
      </c>
      <c r="E227" s="136">
        <f t="shared" si="42"/>
        <v>0.4</v>
      </c>
      <c r="F227" s="136">
        <f t="shared" si="42"/>
        <v>0.4</v>
      </c>
      <c r="G227" s="136">
        <f t="shared" si="42"/>
        <v>0.4</v>
      </c>
      <c r="H227" s="136">
        <f t="shared" si="42"/>
        <v>0.4</v>
      </c>
      <c r="I227" s="136">
        <f t="shared" si="42"/>
        <v>0.4</v>
      </c>
      <c r="J227" s="136">
        <f t="shared" si="42"/>
        <v>0.4</v>
      </c>
      <c r="K227" s="136">
        <f t="shared" si="42"/>
        <v>0.4</v>
      </c>
      <c r="L227" s="136">
        <f t="shared" si="42"/>
        <v>0.4</v>
      </c>
      <c r="M227" s="136">
        <f t="shared" si="42"/>
        <v>0.4</v>
      </c>
      <c r="N227" s="136">
        <f t="shared" si="42"/>
        <v>0.4</v>
      </c>
      <c r="O227" s="136">
        <f t="shared" si="42"/>
        <v>0.4</v>
      </c>
      <c r="P227" s="136">
        <f t="shared" si="42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41"/>
        <v>0</v>
      </c>
      <c r="C228" s="136">
        <v>1.5</v>
      </c>
      <c r="D228" s="136">
        <f t="shared" si="42"/>
        <v>1.5</v>
      </c>
      <c r="E228" s="136">
        <f t="shared" si="42"/>
        <v>1.5</v>
      </c>
      <c r="F228" s="136">
        <f t="shared" si="42"/>
        <v>1.5</v>
      </c>
      <c r="G228" s="136">
        <f t="shared" si="42"/>
        <v>1.5</v>
      </c>
      <c r="H228" s="136">
        <f t="shared" si="42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2"/>
        <v>1.5</v>
      </c>
      <c r="K228" s="136">
        <f t="shared" ca="1" si="42"/>
        <v>1.5</v>
      </c>
      <c r="L228" s="136">
        <f t="shared" ca="1" si="42"/>
        <v>1.5</v>
      </c>
      <c r="M228" s="136">
        <f t="shared" ca="1" si="42"/>
        <v>1.5</v>
      </c>
      <c r="N228" s="136">
        <f t="shared" ca="1" si="42"/>
        <v>1.5</v>
      </c>
      <c r="O228" s="136">
        <f t="shared" ca="1" si="42"/>
        <v>1.5</v>
      </c>
      <c r="P228" s="136">
        <f t="shared" ca="1" si="42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41"/>
        <v>0</v>
      </c>
      <c r="C229" s="136">
        <v>0.3</v>
      </c>
      <c r="D229" s="136">
        <f t="shared" si="42"/>
        <v>0.3</v>
      </c>
      <c r="E229" s="136">
        <f t="shared" si="42"/>
        <v>0.3</v>
      </c>
      <c r="F229" s="136">
        <f t="shared" si="42"/>
        <v>0.3</v>
      </c>
      <c r="G229" s="136">
        <f t="shared" si="42"/>
        <v>0.3</v>
      </c>
      <c r="H229" s="136">
        <f t="shared" si="42"/>
        <v>0.3</v>
      </c>
      <c r="I229" s="136">
        <f t="shared" si="42"/>
        <v>0.3</v>
      </c>
      <c r="J229" s="136">
        <f t="shared" si="42"/>
        <v>0.3</v>
      </c>
      <c r="K229" s="136">
        <f t="shared" si="42"/>
        <v>0.3</v>
      </c>
      <c r="L229" s="136">
        <f t="shared" si="42"/>
        <v>0.3</v>
      </c>
      <c r="M229" s="136">
        <f t="shared" si="42"/>
        <v>0.3</v>
      </c>
      <c r="N229" s="136">
        <f t="shared" si="42"/>
        <v>0.3</v>
      </c>
      <c r="O229" s="136">
        <f t="shared" si="42"/>
        <v>0.3</v>
      </c>
      <c r="P229" s="136">
        <f t="shared" si="42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41"/>
        <v>0</v>
      </c>
      <c r="C230" s="136">
        <v>0.4</v>
      </c>
      <c r="D230" s="136">
        <f t="shared" si="42"/>
        <v>0.4</v>
      </c>
      <c r="E230" s="136">
        <f t="shared" si="42"/>
        <v>0.4</v>
      </c>
      <c r="F230" s="136">
        <f t="shared" si="42"/>
        <v>0.4</v>
      </c>
      <c r="G230" s="136">
        <f t="shared" si="42"/>
        <v>0.4</v>
      </c>
      <c r="H230" s="136">
        <f t="shared" si="42"/>
        <v>0.4</v>
      </c>
      <c r="I230" s="136">
        <f t="shared" si="42"/>
        <v>0.4</v>
      </c>
      <c r="J230" s="136">
        <f t="shared" si="42"/>
        <v>0.4</v>
      </c>
      <c r="K230" s="136">
        <f t="shared" si="42"/>
        <v>0.4</v>
      </c>
      <c r="L230" s="136">
        <f t="shared" si="42"/>
        <v>0.4</v>
      </c>
      <c r="M230" s="136">
        <f t="shared" si="42"/>
        <v>0.4</v>
      </c>
      <c r="N230" s="136">
        <f t="shared" si="42"/>
        <v>0.4</v>
      </c>
      <c r="O230" s="136">
        <f t="shared" si="42"/>
        <v>0.4</v>
      </c>
      <c r="P230" s="136">
        <f t="shared" si="42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41"/>
        <v>0</v>
      </c>
      <c r="C231" s="140">
        <v>0.64</v>
      </c>
      <c r="D231" s="140">
        <f t="shared" si="42"/>
        <v>0.64</v>
      </c>
      <c r="E231" s="140">
        <f t="shared" si="42"/>
        <v>0.64</v>
      </c>
      <c r="F231" s="140">
        <f t="shared" si="42"/>
        <v>0.64</v>
      </c>
      <c r="G231" s="140">
        <f t="shared" si="42"/>
        <v>0.64</v>
      </c>
      <c r="H231" s="140">
        <f t="shared" si="42"/>
        <v>0.64</v>
      </c>
      <c r="I231" s="140">
        <f t="shared" si="42"/>
        <v>0.64</v>
      </c>
      <c r="J231" s="140">
        <f t="shared" si="42"/>
        <v>0.64</v>
      </c>
      <c r="K231" s="140">
        <f t="shared" si="42"/>
        <v>0.64</v>
      </c>
      <c r="L231" s="140">
        <f t="shared" si="42"/>
        <v>0.64</v>
      </c>
      <c r="M231" s="140">
        <f t="shared" si="42"/>
        <v>0.64</v>
      </c>
      <c r="N231" s="140">
        <f t="shared" si="42"/>
        <v>0.64</v>
      </c>
      <c r="O231" s="140">
        <f t="shared" si="42"/>
        <v>0.64</v>
      </c>
      <c r="P231" s="140">
        <f t="shared" si="42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43">SUM(B226:B231)</f>
        <v>0</v>
      </c>
      <c r="C232" s="144">
        <f t="shared" si="43"/>
        <v>3.54</v>
      </c>
      <c r="D232" s="144">
        <f t="shared" si="43"/>
        <v>3.54</v>
      </c>
      <c r="E232" s="144">
        <f t="shared" si="43"/>
        <v>3.54</v>
      </c>
      <c r="F232" s="144">
        <f t="shared" si="43"/>
        <v>3.54</v>
      </c>
      <c r="G232" s="144">
        <f t="shared" si="43"/>
        <v>3.54</v>
      </c>
      <c r="H232" s="144">
        <f t="shared" si="43"/>
        <v>3.54</v>
      </c>
      <c r="I232" s="144">
        <f t="shared" ca="1" si="43"/>
        <v>3.54</v>
      </c>
      <c r="J232" s="144">
        <f t="shared" ca="1" si="43"/>
        <v>3.54</v>
      </c>
      <c r="K232" s="144">
        <f t="shared" ca="1" si="43"/>
        <v>3.54</v>
      </c>
      <c r="L232" s="144">
        <f t="shared" ca="1" si="43"/>
        <v>3.54</v>
      </c>
      <c r="M232" s="144">
        <f t="shared" ca="1" si="43"/>
        <v>3.54</v>
      </c>
      <c r="N232" s="144">
        <f t="shared" ca="1" si="43"/>
        <v>3.54</v>
      </c>
      <c r="O232" s="144">
        <f t="shared" ca="1" si="43"/>
        <v>3.54</v>
      </c>
      <c r="P232" s="144">
        <f t="shared" ca="1" si="43"/>
        <v>3.54</v>
      </c>
      <c r="Q232" s="144">
        <f t="shared" si="43"/>
        <v>0</v>
      </c>
      <c r="R232" s="144">
        <f t="shared" si="43"/>
        <v>0</v>
      </c>
      <c r="S232" s="144">
        <f t="shared" si="43"/>
        <v>0</v>
      </c>
      <c r="T232" s="144">
        <f t="shared" si="43"/>
        <v>0</v>
      </c>
      <c r="U232" s="144">
        <f t="shared" si="43"/>
        <v>0</v>
      </c>
      <c r="V232" s="144">
        <f t="shared" si="43"/>
        <v>0</v>
      </c>
      <c r="W232" s="144">
        <f t="shared" si="43"/>
        <v>0</v>
      </c>
      <c r="X232" s="144">
        <f t="shared" si="43"/>
        <v>0</v>
      </c>
      <c r="Y232" s="144">
        <f t="shared" si="43"/>
        <v>0</v>
      </c>
      <c r="Z232" s="144">
        <f t="shared" si="43"/>
        <v>0</v>
      </c>
      <c r="AA232" s="144">
        <f t="shared" si="43"/>
        <v>0</v>
      </c>
      <c r="AB232" s="144">
        <f t="shared" si="43"/>
        <v>0</v>
      </c>
      <c r="AC232" s="144">
        <f t="shared" si="43"/>
        <v>0</v>
      </c>
      <c r="AD232" s="144">
        <f t="shared" si="43"/>
        <v>0</v>
      </c>
      <c r="AE232" s="144">
        <f t="shared" si="43"/>
        <v>0</v>
      </c>
      <c r="AF232" s="144">
        <f t="shared" si="43"/>
        <v>0</v>
      </c>
      <c r="AG232" s="154">
        <f t="shared" si="43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1410.6399999999999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17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2079/12/17)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2079/12/17)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44">B89</f>
        <v>1125.44</v>
      </c>
      <c r="U246" s="180">
        <f t="shared" si="44"/>
        <v>1046.44</v>
      </c>
      <c r="V246" s="180">
        <f t="shared" si="44"/>
        <v>1041.44</v>
      </c>
      <c r="W246" s="180">
        <f t="shared" si="44"/>
        <v>1036.44</v>
      </c>
      <c r="X246" s="180">
        <f t="shared" si="44"/>
        <v>1045.44</v>
      </c>
      <c r="Y246" s="180">
        <f t="shared" si="44"/>
        <v>1016.44</v>
      </c>
      <c r="Z246" s="180">
        <f t="shared" si="44"/>
        <v>1103.3400000000001</v>
      </c>
      <c r="AA246" s="180">
        <f t="shared" si="44"/>
        <v>1103.3400000000001</v>
      </c>
      <c r="AB246" s="180">
        <f t="shared" si="44"/>
        <v>1289.8400000000001</v>
      </c>
      <c r="AC246" s="180">
        <f t="shared" si="44"/>
        <v>1316.8400000000001</v>
      </c>
      <c r="AD246" s="180">
        <f t="shared" si="44"/>
        <v>1391.44</v>
      </c>
      <c r="AE246" s="180">
        <f t="shared" si="44"/>
        <v>1410.6399999999999</v>
      </c>
      <c r="AF246" s="180">
        <f t="shared" si="44"/>
        <v>1375.3400000000001</v>
      </c>
      <c r="AG246" s="180">
        <f t="shared" si="44"/>
        <v>1258.6400000000001</v>
      </c>
      <c r="AH246" s="180">
        <f t="shared" si="44"/>
        <v>1321.94</v>
      </c>
      <c r="AI246" s="180">
        <f t="shared" si="44"/>
        <v>1217.5400000000002</v>
      </c>
      <c r="AJ246" s="180">
        <f t="shared" si="44"/>
        <v>1135.94</v>
      </c>
      <c r="AK246" s="180">
        <f t="shared" si="44"/>
        <v>1150.24</v>
      </c>
      <c r="AL246" s="180">
        <f t="shared" si="44"/>
        <v>1140.04</v>
      </c>
      <c r="AM246" s="180">
        <f t="shared" si="44"/>
        <v>1091.1399999999999</v>
      </c>
      <c r="AN246" s="180">
        <f t="shared" si="44"/>
        <v>1010.1399999999999</v>
      </c>
      <c r="AO246" s="180">
        <f t="shared" si="44"/>
        <v>1023.8399999999999</v>
      </c>
      <c r="AP246" s="180">
        <f t="shared" si="44"/>
        <v>1146.54</v>
      </c>
      <c r="AQ246" s="180">
        <f t="shared" si="44"/>
        <v>1160.24</v>
      </c>
      <c r="AR246" s="180">
        <f t="shared" si="44"/>
        <v>1316.44</v>
      </c>
      <c r="AS246" s="180">
        <f t="shared" si="44"/>
        <v>1147.6400000000001</v>
      </c>
      <c r="AT246" s="180">
        <f t="shared" si="44"/>
        <v>1109.94</v>
      </c>
      <c r="AU246" s="180">
        <f t="shared" si="44"/>
        <v>1100.54</v>
      </c>
      <c r="AV246" s="180">
        <f t="shared" si="44"/>
        <v>1097.74</v>
      </c>
      <c r="AW246" s="180">
        <f t="shared" si="44"/>
        <v>989.34</v>
      </c>
      <c r="AX246" s="180">
        <f t="shared" si="44"/>
        <v>987.34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45">C231</f>
        <v>0.64</v>
      </c>
      <c r="C267" s="183">
        <f t="shared" si="45"/>
        <v>0.64</v>
      </c>
      <c r="D267" s="183">
        <f t="shared" si="45"/>
        <v>0.64</v>
      </c>
      <c r="E267" s="183">
        <f t="shared" si="45"/>
        <v>0.64</v>
      </c>
      <c r="F267" s="183">
        <f t="shared" si="45"/>
        <v>0.64</v>
      </c>
      <c r="G267" s="183">
        <f t="shared" si="45"/>
        <v>0.64</v>
      </c>
      <c r="H267" s="183">
        <f t="shared" si="45"/>
        <v>0.64</v>
      </c>
      <c r="I267" s="183">
        <f t="shared" si="45"/>
        <v>0.64</v>
      </c>
      <c r="J267" s="183">
        <f t="shared" si="45"/>
        <v>0.64</v>
      </c>
      <c r="K267" s="183">
        <f t="shared" si="45"/>
        <v>0.64</v>
      </c>
      <c r="L267" s="183">
        <f t="shared" si="45"/>
        <v>0.64</v>
      </c>
      <c r="M267" s="183">
        <f t="shared" si="45"/>
        <v>0.64</v>
      </c>
      <c r="N267" s="183">
        <f t="shared" si="45"/>
        <v>0.64</v>
      </c>
      <c r="O267" s="183">
        <f t="shared" si="45"/>
        <v>0.64</v>
      </c>
      <c r="P267" s="183">
        <f t="shared" si="45"/>
        <v>0</v>
      </c>
      <c r="Q267" s="183">
        <f t="shared" si="45"/>
        <v>0</v>
      </c>
      <c r="R267" s="183">
        <f t="shared" si="45"/>
        <v>0</v>
      </c>
      <c r="S267" s="183">
        <f t="shared" si="45"/>
        <v>0</v>
      </c>
      <c r="T267" s="183">
        <f t="shared" si="45"/>
        <v>0</v>
      </c>
      <c r="U267" s="183">
        <f t="shared" si="45"/>
        <v>0</v>
      </c>
      <c r="V267" s="183">
        <f t="shared" si="45"/>
        <v>0</v>
      </c>
      <c r="W267" s="183">
        <f t="shared" si="45"/>
        <v>0</v>
      </c>
      <c r="X267" s="183">
        <f t="shared" si="45"/>
        <v>0</v>
      </c>
      <c r="Y267" s="183">
        <f t="shared" si="45"/>
        <v>0</v>
      </c>
      <c r="Z267" s="183">
        <f t="shared" si="45"/>
        <v>0</v>
      </c>
      <c r="AA267" s="183">
        <f t="shared" si="45"/>
        <v>0</v>
      </c>
      <c r="AB267" s="183">
        <f t="shared" si="45"/>
        <v>0</v>
      </c>
      <c r="AC267" s="183">
        <f t="shared" si="45"/>
        <v>0</v>
      </c>
      <c r="AD267" s="183">
        <f t="shared" si="45"/>
        <v>0</v>
      </c>
      <c r="AE267" s="183">
        <f t="shared" si="45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6">IF(B235&lt;100,"",B235-520)</f>
        <v/>
      </c>
      <c r="C268" s="184" t="str">
        <f t="shared" si="46"/>
        <v/>
      </c>
      <c r="D268" s="184" t="str">
        <f t="shared" si="46"/>
        <v/>
      </c>
      <c r="E268" s="184" t="str">
        <f t="shared" si="46"/>
        <v/>
      </c>
      <c r="F268" s="184" t="str">
        <f t="shared" si="46"/>
        <v/>
      </c>
      <c r="G268" s="184" t="str">
        <f t="shared" si="46"/>
        <v/>
      </c>
      <c r="H268" s="184" t="str">
        <f t="shared" si="46"/>
        <v/>
      </c>
      <c r="I268" s="184" t="str">
        <f t="shared" si="46"/>
        <v/>
      </c>
      <c r="J268" s="184" t="str">
        <f t="shared" si="46"/>
        <v/>
      </c>
      <c r="K268" s="184" t="str">
        <f t="shared" si="46"/>
        <v/>
      </c>
      <c r="L268" s="184" t="str">
        <f t="shared" si="46"/>
        <v/>
      </c>
      <c r="M268" s="184" t="str">
        <f t="shared" si="46"/>
        <v/>
      </c>
      <c r="N268" s="184" t="str">
        <f t="shared" si="46"/>
        <v/>
      </c>
      <c r="O268" s="184" t="str">
        <f t="shared" si="46"/>
        <v/>
      </c>
      <c r="P268" s="184" t="str">
        <f t="shared" si="46"/>
        <v/>
      </c>
      <c r="Q268" s="184" t="str">
        <f t="shared" si="46"/>
        <v/>
      </c>
      <c r="R268" s="184" t="str">
        <f t="shared" si="46"/>
        <v/>
      </c>
      <c r="S268" s="184" t="str">
        <f t="shared" si="46"/>
        <v/>
      </c>
      <c r="T268" s="184" t="str">
        <f t="shared" si="46"/>
        <v/>
      </c>
      <c r="U268" s="184" t="str">
        <f t="shared" si="46"/>
        <v/>
      </c>
      <c r="V268" s="184" t="str">
        <f t="shared" si="46"/>
        <v/>
      </c>
      <c r="W268" s="184" t="str">
        <f t="shared" si="46"/>
        <v/>
      </c>
      <c r="X268" s="184" t="str">
        <f t="shared" si="46"/>
        <v/>
      </c>
      <c r="Y268" s="184" t="str">
        <f t="shared" si="46"/>
        <v/>
      </c>
      <c r="Z268" s="184" t="str">
        <f t="shared" si="46"/>
        <v/>
      </c>
      <c r="AA268" s="184" t="str">
        <f t="shared" si="46"/>
        <v/>
      </c>
      <c r="AB268" s="184" t="str">
        <f t="shared" si="46"/>
        <v/>
      </c>
      <c r="AC268" s="184" t="str">
        <f t="shared" si="46"/>
        <v/>
      </c>
      <c r="AD268" s="184" t="str">
        <f t="shared" si="46"/>
        <v/>
      </c>
      <c r="AE268" s="184" t="str">
        <f t="shared" si="46"/>
        <v/>
      </c>
      <c r="AF268" s="184" t="str">
        <f t="shared" si="46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7">IF(B236&lt;100,"",B236-620)</f>
        <v/>
      </c>
      <c r="C269" s="184" t="str">
        <f t="shared" si="47"/>
        <v/>
      </c>
      <c r="D269" s="184" t="str">
        <f t="shared" si="47"/>
        <v/>
      </c>
      <c r="E269" s="184" t="str">
        <f t="shared" si="47"/>
        <v/>
      </c>
      <c r="F269" s="184" t="str">
        <f t="shared" si="47"/>
        <v/>
      </c>
      <c r="G269" s="184" t="str">
        <f t="shared" si="47"/>
        <v/>
      </c>
      <c r="H269" s="184" t="str">
        <f t="shared" si="47"/>
        <v/>
      </c>
      <c r="I269" s="184" t="str">
        <f t="shared" si="47"/>
        <v/>
      </c>
      <c r="J269" s="184" t="str">
        <f t="shared" si="47"/>
        <v/>
      </c>
      <c r="K269" s="184" t="str">
        <f t="shared" si="47"/>
        <v/>
      </c>
      <c r="L269" s="184" t="str">
        <f t="shared" si="47"/>
        <v/>
      </c>
      <c r="M269" s="184" t="str">
        <f t="shared" si="47"/>
        <v/>
      </c>
      <c r="N269" s="184" t="str">
        <f t="shared" si="47"/>
        <v/>
      </c>
      <c r="O269" s="184" t="str">
        <f t="shared" si="47"/>
        <v/>
      </c>
      <c r="P269" s="184" t="str">
        <f t="shared" si="47"/>
        <v/>
      </c>
      <c r="Q269" s="184" t="str">
        <f t="shared" si="47"/>
        <v/>
      </c>
      <c r="R269" s="184" t="str">
        <f t="shared" si="47"/>
        <v/>
      </c>
      <c r="S269" s="184" t="str">
        <f t="shared" si="47"/>
        <v/>
      </c>
      <c r="T269" s="184" t="str">
        <f t="shared" si="47"/>
        <v/>
      </c>
      <c r="U269" s="184" t="str">
        <f t="shared" si="47"/>
        <v/>
      </c>
      <c r="V269" s="184" t="str">
        <f t="shared" si="47"/>
        <v/>
      </c>
      <c r="W269" s="184" t="str">
        <f t="shared" si="47"/>
        <v/>
      </c>
      <c r="X269" s="184" t="str">
        <f t="shared" si="47"/>
        <v/>
      </c>
      <c r="Y269" s="184" t="str">
        <f t="shared" si="47"/>
        <v/>
      </c>
      <c r="Z269" s="184" t="str">
        <f t="shared" si="47"/>
        <v/>
      </c>
      <c r="AA269" s="184" t="str">
        <f t="shared" si="47"/>
        <v/>
      </c>
      <c r="AB269" s="184" t="str">
        <f t="shared" si="47"/>
        <v/>
      </c>
      <c r="AC269" s="184" t="str">
        <f t="shared" si="47"/>
        <v/>
      </c>
      <c r="AD269" s="184" t="str">
        <f t="shared" si="47"/>
        <v/>
      </c>
      <c r="AE269" s="184" t="str">
        <f t="shared" si="47"/>
        <v/>
      </c>
      <c r="AF269" s="184" t="str">
        <f t="shared" si="47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48">IF(B237&lt;100,"",B237-330)</f>
        <v/>
      </c>
      <c r="C270" s="184" t="str">
        <f t="shared" si="48"/>
        <v/>
      </c>
      <c r="D270" s="184" t="str">
        <f t="shared" si="48"/>
        <v/>
      </c>
      <c r="E270" s="184" t="str">
        <f t="shared" si="48"/>
        <v/>
      </c>
      <c r="F270" s="184" t="str">
        <f t="shared" si="48"/>
        <v/>
      </c>
      <c r="G270" s="184" t="str">
        <f t="shared" si="48"/>
        <v/>
      </c>
      <c r="H270" s="184" t="str">
        <f t="shared" si="48"/>
        <v/>
      </c>
      <c r="I270" s="184" t="str">
        <f t="shared" si="48"/>
        <v/>
      </c>
      <c r="J270" s="184" t="str">
        <f t="shared" si="48"/>
        <v/>
      </c>
      <c r="K270" s="184" t="str">
        <f t="shared" si="48"/>
        <v/>
      </c>
      <c r="L270" s="184" t="str">
        <f t="shared" si="48"/>
        <v/>
      </c>
      <c r="M270" s="184" t="str">
        <f t="shared" si="48"/>
        <v/>
      </c>
      <c r="N270" s="184" t="str">
        <f t="shared" si="48"/>
        <v/>
      </c>
      <c r="O270" s="184" t="str">
        <f t="shared" si="48"/>
        <v/>
      </c>
      <c r="P270" s="184" t="str">
        <f t="shared" si="48"/>
        <v/>
      </c>
      <c r="Q270" s="184" t="str">
        <f t="shared" si="48"/>
        <v/>
      </c>
      <c r="R270" s="184" t="str">
        <f t="shared" si="48"/>
        <v/>
      </c>
      <c r="S270" s="184" t="str">
        <f t="shared" si="48"/>
        <v/>
      </c>
      <c r="T270" s="184" t="str">
        <f t="shared" si="48"/>
        <v/>
      </c>
      <c r="U270" s="184" t="str">
        <f t="shared" si="48"/>
        <v/>
      </c>
      <c r="V270" s="184" t="str">
        <f t="shared" si="48"/>
        <v/>
      </c>
      <c r="W270" s="184" t="str">
        <f t="shared" si="48"/>
        <v/>
      </c>
      <c r="X270" s="184" t="str">
        <f t="shared" si="48"/>
        <v/>
      </c>
      <c r="Y270" s="184" t="str">
        <f t="shared" si="48"/>
        <v/>
      </c>
      <c r="Z270" s="184" t="str">
        <f t="shared" si="48"/>
        <v/>
      </c>
      <c r="AA270" s="184" t="str">
        <f t="shared" si="48"/>
        <v/>
      </c>
      <c r="AB270" s="184" t="str">
        <f t="shared" si="48"/>
        <v/>
      </c>
      <c r="AC270" s="184" t="str">
        <f t="shared" si="48"/>
        <v/>
      </c>
      <c r="AD270" s="184" t="str">
        <f t="shared" si="48"/>
        <v/>
      </c>
      <c r="AE270" s="184" t="str">
        <f t="shared" si="48"/>
        <v/>
      </c>
      <c r="AF270" s="184" t="str">
        <f t="shared" si="48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49">IF(B238&lt;100,"",B238-1500)</f>
        <v/>
      </c>
      <c r="C271" s="184" t="str">
        <f t="shared" si="49"/>
        <v/>
      </c>
      <c r="D271" s="184" t="str">
        <f t="shared" si="49"/>
        <v/>
      </c>
      <c r="E271" s="184" t="str">
        <f t="shared" si="49"/>
        <v/>
      </c>
      <c r="F271" s="184" t="str">
        <f t="shared" si="49"/>
        <v/>
      </c>
      <c r="G271" s="184" t="str">
        <f t="shared" si="49"/>
        <v/>
      </c>
      <c r="H271" s="184" t="str">
        <f t="shared" si="49"/>
        <v/>
      </c>
      <c r="I271" s="184" t="str">
        <f t="shared" si="49"/>
        <v/>
      </c>
      <c r="J271" s="184" t="str">
        <f t="shared" si="49"/>
        <v/>
      </c>
      <c r="K271" s="184" t="str">
        <f t="shared" si="49"/>
        <v/>
      </c>
      <c r="L271" s="184" t="str">
        <f t="shared" si="49"/>
        <v/>
      </c>
      <c r="M271" s="184" t="str">
        <f t="shared" si="49"/>
        <v/>
      </c>
      <c r="N271" s="184" t="str">
        <f t="shared" si="49"/>
        <v/>
      </c>
      <c r="O271" s="184" t="str">
        <f t="shared" si="49"/>
        <v/>
      </c>
      <c r="P271" s="184" t="str">
        <f t="shared" si="49"/>
        <v/>
      </c>
      <c r="Q271" s="184" t="str">
        <f t="shared" si="49"/>
        <v/>
      </c>
      <c r="R271" s="184" t="str">
        <f t="shared" si="49"/>
        <v/>
      </c>
      <c r="S271" s="184" t="str">
        <f t="shared" si="49"/>
        <v/>
      </c>
      <c r="T271" s="184" t="str">
        <f t="shared" si="49"/>
        <v/>
      </c>
      <c r="U271" s="184" t="str">
        <f t="shared" si="49"/>
        <v/>
      </c>
      <c r="V271" s="184" t="str">
        <f t="shared" si="49"/>
        <v/>
      </c>
      <c r="W271" s="184" t="str">
        <f t="shared" si="49"/>
        <v/>
      </c>
      <c r="X271" s="184" t="str">
        <f t="shared" si="49"/>
        <v/>
      </c>
      <c r="Y271" s="184" t="str">
        <f t="shared" si="49"/>
        <v/>
      </c>
      <c r="Z271" s="184" t="str">
        <f t="shared" si="49"/>
        <v/>
      </c>
      <c r="AA271" s="184" t="str">
        <f t="shared" si="49"/>
        <v/>
      </c>
      <c r="AB271" s="184" t="str">
        <f t="shared" si="49"/>
        <v/>
      </c>
      <c r="AC271" s="184" t="str">
        <f t="shared" si="49"/>
        <v/>
      </c>
      <c r="AD271" s="184" t="str">
        <f t="shared" si="49"/>
        <v/>
      </c>
      <c r="AE271" s="184" t="str">
        <f t="shared" si="49"/>
        <v/>
      </c>
      <c r="AF271" s="184" t="str">
        <f t="shared" si="49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K109:AF109 K111:AF116">
    <cfRule type="expression" dxfId="6065" priority="344">
      <formula>B$9&gt;=20/24</formula>
    </cfRule>
    <cfRule type="expression" dxfId="6064" priority="345">
      <formula>AND(B$9&gt;=14/24,B$9&lt;20/24)</formula>
    </cfRule>
    <cfRule type="expression" dxfId="6063" priority="346">
      <formula>AND(B$9&gt;=8/24,B$9&lt;14/24)</formula>
    </cfRule>
    <cfRule type="expression" dxfId="6062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6061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6060" priority="341">
      <formula>$AH12=0</formula>
    </cfRule>
  </conditionalFormatting>
  <conditionalFormatting sqref="A114">
    <cfRule type="expression" dxfId="6059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058" priority="338">
      <formula>$AH45=0</formula>
    </cfRule>
  </conditionalFormatting>
  <conditionalFormatting sqref="A98">
    <cfRule type="expression" dxfId="6057" priority="337">
      <formula>$AH98=0</formula>
    </cfRule>
  </conditionalFormatting>
  <conditionalFormatting sqref="A18">
    <cfRule type="expression" dxfId="6056" priority="336">
      <formula>$AH18=0</formula>
    </cfRule>
  </conditionalFormatting>
  <conditionalFormatting sqref="A196:A201">
    <cfRule type="expression" dxfId="6055" priority="335">
      <formula>$AH196=0</formula>
    </cfRule>
  </conditionalFormatting>
  <conditionalFormatting sqref="A190:A195">
    <cfRule type="expression" dxfId="6054" priority="334">
      <formula>$AH190=0</formula>
    </cfRule>
  </conditionalFormatting>
  <conditionalFormatting sqref="A58">
    <cfRule type="expression" dxfId="6053" priority="333">
      <formula>$AH58=0</formula>
    </cfRule>
  </conditionalFormatting>
  <conditionalFormatting sqref="A94">
    <cfRule type="expression" dxfId="6052" priority="332">
      <formula>$AH94=0</formula>
    </cfRule>
  </conditionalFormatting>
  <conditionalFormatting sqref="AD99:AF99 K99:X99">
    <cfRule type="expression" dxfId="6051" priority="328">
      <formula>K$9&gt;=20/24</formula>
    </cfRule>
    <cfRule type="expression" dxfId="6050" priority="329">
      <formula>AND(K$9&gt;=14/24,K$9&lt;20/24)</formula>
    </cfRule>
    <cfRule type="expression" dxfId="6049" priority="330">
      <formula>AND(K$9&gt;=8/24,K$9&lt;14/24)</formula>
    </cfRule>
    <cfRule type="expression" dxfId="6048" priority="331">
      <formula>K$9&lt;8/24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047" priority="350">
      <formula>C$9&gt;=20/24</formula>
    </cfRule>
    <cfRule type="expression" dxfId="6046" priority="351">
      <formula>AND(C$9&gt;=14/24,C$9&lt;20/24)</formula>
    </cfRule>
    <cfRule type="expression" dxfId="6045" priority="352">
      <formula>AND(C$9&gt;=8/24,C$9&lt;14/24)</formula>
    </cfRule>
    <cfRule type="expression" dxfId="6044" priority="353">
      <formula>C$9&lt;8/24</formula>
    </cfRule>
  </conditionalFormatting>
  <conditionalFormatting sqref="A233">
    <cfRule type="expression" dxfId="6043" priority="354">
      <formula>$AH233=0</formula>
    </cfRule>
  </conditionalFormatting>
  <conditionalFormatting sqref="AG245">
    <cfRule type="expression" dxfId="6042" priority="355">
      <formula>B$9&gt;=20/24</formula>
    </cfRule>
    <cfRule type="expression" dxfId="6041" priority="356">
      <formula>AND(B$9&gt;=14/24,B$9&lt;20/24)</formula>
    </cfRule>
    <cfRule type="expression" dxfId="6040" priority="357">
      <formula>AND(B$9&gt;=8/24,B$9&lt;14/24)</formula>
    </cfRule>
    <cfRule type="expression" dxfId="6039" priority="358">
      <formula>B$9&lt;8/24</formula>
    </cfRule>
  </conditionalFormatting>
  <conditionalFormatting sqref="S8">
    <cfRule type="expression" dxfId="6038" priority="323">
      <formula>U$9&gt;=20/24</formula>
    </cfRule>
    <cfRule type="expression" dxfId="6037" priority="324">
      <formula>AND(U$9&gt;=14/24,U$9&lt;20/24)</formula>
    </cfRule>
    <cfRule type="expression" dxfId="6036" priority="325">
      <formula>AND(U$9&gt;=8/24,U$9&lt;14/24)</formula>
    </cfRule>
    <cfRule type="expression" dxfId="6035" priority="326">
      <formula>U$9&lt;8/24</formula>
    </cfRule>
  </conditionalFormatting>
  <conditionalFormatting sqref="AB8">
    <cfRule type="expression" dxfId="6034" priority="319">
      <formula>AD$9&gt;=20/24</formula>
    </cfRule>
    <cfRule type="expression" dxfId="6033" priority="320">
      <formula>AND(AD$9&gt;=14/24,AD$9&lt;20/24)</formula>
    </cfRule>
    <cfRule type="expression" dxfId="6032" priority="321">
      <formula>AND(AD$9&gt;=8/24,AD$9&lt;14/24)</formula>
    </cfRule>
    <cfRule type="expression" dxfId="6031" priority="322">
      <formula>AD$9&lt;8/24</formula>
    </cfRule>
  </conditionalFormatting>
  <conditionalFormatting sqref="AH245:AX245">
    <cfRule type="expression" dxfId="6030" priority="359">
      <formula>AG$9&gt;=20/24</formula>
    </cfRule>
    <cfRule type="expression" dxfId="6029" priority="360">
      <formula>AND(AG$9&gt;=14/24,AG$9&lt;20/24)</formula>
    </cfRule>
    <cfRule type="expression" dxfId="6028" priority="361">
      <formula>AND(AG$9&gt;=8/24,AG$9&lt;14/24)</formula>
    </cfRule>
    <cfRule type="expression" dxfId="6027" priority="362">
      <formula>AG$9&lt;8/24</formula>
    </cfRule>
  </conditionalFormatting>
  <conditionalFormatting sqref="T245">
    <cfRule type="expression" dxfId="6026" priority="363">
      <formula>AX$9&gt;=20/24</formula>
    </cfRule>
    <cfRule type="expression" dxfId="6025" priority="364">
      <formula>AND(AX$9&gt;=14/24,AX$9&lt;20/24)</formula>
    </cfRule>
    <cfRule type="expression" dxfId="6024" priority="365">
      <formula>AND(AX$9&gt;=8/24,AX$9&lt;14/24)</formula>
    </cfRule>
    <cfRule type="expression" dxfId="6023" priority="366">
      <formula>AX$9&lt;8/24</formula>
    </cfRule>
  </conditionalFormatting>
  <conditionalFormatting sqref="A115:A116">
    <cfRule type="expression" dxfId="6022" priority="318">
      <formula>$AH115=0</formula>
    </cfRule>
  </conditionalFormatting>
  <conditionalFormatting sqref="M54:T57 AD54:AF57 AB54:AC55 U57:AC57 K71:AF71">
    <cfRule type="expression" dxfId="6021" priority="314">
      <formula>K$9&gt;=20/24</formula>
    </cfRule>
    <cfRule type="expression" dxfId="6020" priority="315">
      <formula>AND(K$9&gt;=14/24,K$9&lt;20/24)</formula>
    </cfRule>
    <cfRule type="expression" dxfId="6019" priority="316">
      <formula>AND(K$9&gt;=8/24,K$9&lt;14/24)</formula>
    </cfRule>
    <cfRule type="expression" dxfId="6018" priority="317">
      <formula>K$9&lt;8/24</formula>
    </cfRule>
  </conditionalFormatting>
  <conditionalFormatting sqref="M53:T53 AB53:AF53">
    <cfRule type="expression" dxfId="6017" priority="310">
      <formula>M$9&gt;=20/24</formula>
    </cfRule>
    <cfRule type="expression" dxfId="6016" priority="311">
      <formula>AND(M$9&gt;=14/24,M$9&lt;20/24)</formula>
    </cfRule>
    <cfRule type="expression" dxfId="6015" priority="312">
      <formula>AND(M$9&gt;=8/24,M$9&lt;14/24)</formula>
    </cfRule>
    <cfRule type="expression" dxfId="6014" priority="313">
      <formula>M$9&lt;8/24</formula>
    </cfRule>
  </conditionalFormatting>
  <conditionalFormatting sqref="M53:T57 AD53:AF57 AB53:AC55 U57:AC57">
    <cfRule type="expression" dxfId="6013" priority="309">
      <formula>M53&gt;$AG53</formula>
    </cfRule>
  </conditionalFormatting>
  <conditionalFormatting sqref="X96:AF96 AD100:AF106 X47:AF47 D86:AF86 M100:X106 K72:AA73 AB67:AF69 AB72:AF74">
    <cfRule type="expression" dxfId="6012" priority="305">
      <formula>D$9&gt;=20/24</formula>
    </cfRule>
    <cfRule type="expression" dxfId="6011" priority="306">
      <formula>AND(D$9&gt;=14/24,D$9&lt;20/24)</formula>
    </cfRule>
    <cfRule type="expression" dxfId="6010" priority="307">
      <formula>AND(D$9&gt;=8/24,D$9&lt;14/24)</formula>
    </cfRule>
    <cfRule type="expression" dxfId="6009" priority="308">
      <formula>D$9&lt;8/24</formula>
    </cfRule>
  </conditionalFormatting>
  <conditionalFormatting sqref="X47:AF47 AB67:AF69">
    <cfRule type="expression" dxfId="6008" priority="304">
      <formula>X47&gt;$AG47</formula>
    </cfRule>
  </conditionalFormatting>
  <conditionalFormatting sqref="U53:AA56 AB56:AC56">
    <cfRule type="expression" dxfId="6007" priority="300">
      <formula>U$9&gt;=20/24</formula>
    </cfRule>
    <cfRule type="expression" dxfId="6006" priority="301">
      <formula>AND(U$9&gt;=14/24,U$9&lt;20/24)</formula>
    </cfRule>
    <cfRule type="expression" dxfId="6005" priority="302">
      <formula>AND(U$9&gt;=8/24,U$9&lt;14/24)</formula>
    </cfRule>
    <cfRule type="expression" dxfId="6004" priority="303">
      <formula>U$9&lt;8/24</formula>
    </cfRule>
  </conditionalFormatting>
  <conditionalFormatting sqref="U53:AA56 AB56:AC56">
    <cfRule type="expression" dxfId="6003" priority="299">
      <formula>U53&gt;$AG53</formula>
    </cfRule>
  </conditionalFormatting>
  <conditionalFormatting sqref="C97:AF97 D88:AF88">
    <cfRule type="expression" dxfId="6002" priority="295">
      <formula>C$9&gt;=20/24</formula>
    </cfRule>
    <cfRule type="expression" dxfId="6001" priority="296">
      <formula>AND(C$9&gt;=14/24,C$9&lt;20/24)</formula>
    </cfRule>
    <cfRule type="expression" dxfId="6000" priority="297">
      <formula>AND(C$9&gt;=8/24,C$9&lt;14/24)</formula>
    </cfRule>
    <cfRule type="expression" dxfId="5999" priority="298">
      <formula>C$9&lt;8/24</formula>
    </cfRule>
  </conditionalFormatting>
  <conditionalFormatting sqref="T47:W47">
    <cfRule type="expression" dxfId="5998" priority="291">
      <formula>T$9&gt;=20/24</formula>
    </cfRule>
    <cfRule type="expression" dxfId="5997" priority="292">
      <formula>AND(T$9&gt;=14/24,T$9&lt;20/24)</formula>
    </cfRule>
    <cfRule type="expression" dxfId="5996" priority="293">
      <formula>AND(T$9&gt;=8/24,T$9&lt;14/24)</formula>
    </cfRule>
    <cfRule type="expression" dxfId="5995" priority="294">
      <formula>T$9&lt;8/24</formula>
    </cfRule>
  </conditionalFormatting>
  <conditionalFormatting sqref="T47:W47">
    <cfRule type="expression" dxfId="5994" priority="290">
      <formula>T47&gt;$AG47</formula>
    </cfRule>
  </conditionalFormatting>
  <conditionalFormatting sqref="L53">
    <cfRule type="expression" dxfId="5993" priority="282">
      <formula>L$9&gt;=20/24</formula>
    </cfRule>
    <cfRule type="expression" dxfId="5992" priority="283">
      <formula>AND(L$9&gt;=14/24,L$9&lt;20/24)</formula>
    </cfRule>
    <cfRule type="expression" dxfId="5991" priority="284">
      <formula>AND(L$9&gt;=8/24,L$9&lt;14/24)</formula>
    </cfRule>
    <cfRule type="expression" dxfId="5990" priority="285">
      <formula>L$9&lt;8/24</formula>
    </cfRule>
  </conditionalFormatting>
  <conditionalFormatting sqref="L53">
    <cfRule type="expression" dxfId="5989" priority="281">
      <formula>L53&gt;$AG53</formula>
    </cfRule>
  </conditionalFormatting>
  <conditionalFormatting sqref="AG70 AG87 K100:L106 R67:AA69">
    <cfRule type="expression" dxfId="5988" priority="277">
      <formula>K$9&gt;=20/24</formula>
    </cfRule>
    <cfRule type="expression" dxfId="5987" priority="278">
      <formula>AND(K$9&gt;=14/24,K$9&lt;20/24)</formula>
    </cfRule>
    <cfRule type="expression" dxfId="5986" priority="279">
      <formula>AND(K$9&gt;=8/24,K$9&lt;14/24)</formula>
    </cfRule>
    <cfRule type="expression" dxfId="5985" priority="280">
      <formula>K$9&lt;8/24</formula>
    </cfRule>
  </conditionalFormatting>
  <conditionalFormatting sqref="AG48 AG66 AG70 R67:AA69">
    <cfRule type="expression" dxfId="5984" priority="276">
      <formula>R48&gt;$AG48</formula>
    </cfRule>
  </conditionalFormatting>
  <conditionalFormatting sqref="AD58:AF58">
    <cfRule type="expression" dxfId="5983" priority="272">
      <formula>AD$9&gt;=20/24</formula>
    </cfRule>
    <cfRule type="expression" dxfId="5982" priority="273">
      <formula>AND(AD$9&gt;=14/24,AD$9&lt;20/24)</formula>
    </cfRule>
    <cfRule type="expression" dxfId="5981" priority="274">
      <formula>AND(AD$9&gt;=8/24,AD$9&lt;14/24)</formula>
    </cfRule>
    <cfRule type="expression" dxfId="5980" priority="275">
      <formula>AD$9&lt;8/24</formula>
    </cfRule>
  </conditionalFormatting>
  <conditionalFormatting sqref="AD58:AF58">
    <cfRule type="expression" dxfId="5979" priority="271">
      <formula>AD58&gt;$AG58</formula>
    </cfRule>
  </conditionalFormatting>
  <conditionalFormatting sqref="A43">
    <cfRule type="expression" dxfId="5978" priority="270">
      <formula>$AH43=0</formula>
    </cfRule>
  </conditionalFormatting>
  <conditionalFormatting sqref="X91:AF95">
    <cfRule type="expression" dxfId="5977" priority="266">
      <formula>X$9&gt;=20/24</formula>
    </cfRule>
    <cfRule type="expression" dxfId="5976" priority="267">
      <formula>AND(X$9&gt;=14/24,X$9&lt;20/24)</formula>
    </cfRule>
    <cfRule type="expression" dxfId="5975" priority="268">
      <formula>AND(X$9&gt;=8/24,X$9&lt;14/24)</formula>
    </cfRule>
    <cfRule type="expression" dxfId="5974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L49:T49 U49:AF51">
    <cfRule type="expression" dxfId="5973" priority="262">
      <formula>L$9&gt;=20/24</formula>
    </cfRule>
    <cfRule type="expression" dxfId="5972" priority="263">
      <formula>AND(L$9&gt;=14/24,L$9&lt;20/24)</formula>
    </cfRule>
    <cfRule type="expression" dxfId="5971" priority="264">
      <formula>AND(L$9&gt;=8/24,L$9&lt;14/24)</formula>
    </cfRule>
    <cfRule type="expression" dxfId="5970" priority="265">
      <formula>L$9&lt;8/24</formula>
    </cfRule>
  </conditionalFormatting>
  <conditionalFormatting sqref="L49:T49 U49:AF51">
    <cfRule type="expression" dxfId="5969" priority="261">
      <formula>L49&gt;$AG49</formula>
    </cfRule>
  </conditionalFormatting>
  <conditionalFormatting sqref="AG52">
    <cfRule type="expression" dxfId="5968" priority="257">
      <formula>AG$9&gt;=20/24</formula>
    </cfRule>
    <cfRule type="expression" dxfId="5967" priority="258">
      <formula>AND(AG$9&gt;=14/24,AG$9&lt;20/24)</formula>
    </cfRule>
    <cfRule type="expression" dxfId="5966" priority="259">
      <formula>AND(AG$9&gt;=8/24,AG$9&lt;14/24)</formula>
    </cfRule>
    <cfRule type="expression" dxfId="5965" priority="260">
      <formula>AG$9&lt;8/24</formula>
    </cfRule>
  </conditionalFormatting>
  <conditionalFormatting sqref="AG52">
    <cfRule type="expression" dxfId="5964" priority="256">
      <formula>AG52&gt;$AG52</formula>
    </cfRule>
  </conditionalFormatting>
  <conditionalFormatting sqref="C107:AF107">
    <cfRule type="expression" dxfId="5963" priority="252">
      <formula>C$9&gt;=20/24</formula>
    </cfRule>
    <cfRule type="expression" dxfId="5962" priority="253">
      <formula>AND(C$9&gt;=14/24,C$9&lt;20/24)</formula>
    </cfRule>
    <cfRule type="expression" dxfId="5961" priority="254">
      <formula>AND(C$9&gt;=8/24,C$9&lt;14/24)</formula>
    </cfRule>
    <cfRule type="expression" dxfId="5960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959" priority="250">
      <formula>$AH40=0</formula>
    </cfRule>
  </conditionalFormatting>
  <conditionalFormatting sqref="A90">
    <cfRule type="expression" dxfId="5958" priority="248">
      <formula>$AH90=0</formula>
    </cfRule>
  </conditionalFormatting>
  <conditionalFormatting sqref="A87">
    <cfRule type="expression" dxfId="5957" priority="249">
      <formula>$AH87=0</formula>
    </cfRule>
  </conditionalFormatting>
  <conditionalFormatting sqref="K110:AF110">
    <cfRule type="expression" dxfId="5956" priority="244">
      <formula>K$9&gt;=20/24</formula>
    </cfRule>
    <cfRule type="expression" dxfId="5955" priority="245">
      <formula>AND(K$9&gt;=14/24,K$9&lt;20/24)</formula>
    </cfRule>
    <cfRule type="expression" dxfId="5954" priority="246">
      <formula>AND(K$9&gt;=8/24,K$9&lt;14/24)</formula>
    </cfRule>
    <cfRule type="expression" dxfId="5953" priority="247">
      <formula>K$9&lt;8/24</formula>
    </cfRule>
  </conditionalFormatting>
  <conditionalFormatting sqref="A110">
    <cfRule type="expression" dxfId="5952" priority="243">
      <formula>$AH110=0</formula>
    </cfRule>
  </conditionalFormatting>
  <conditionalFormatting sqref="A21">
    <cfRule type="expression" dxfId="5951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950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5949" priority="235">
      <formula>Y$9&gt;=20/24</formula>
    </cfRule>
    <cfRule type="expression" dxfId="5948" priority="236">
      <formula>AND(Y$9&gt;=14/24,Y$9&lt;20/24)</formula>
    </cfRule>
    <cfRule type="expression" dxfId="5947" priority="237">
      <formula>AND(Y$9&gt;=8/24,Y$9&lt;14/24)</formula>
    </cfRule>
    <cfRule type="expression" dxfId="5946" priority="238">
      <formula>Y$9&lt;8/24</formula>
    </cfRule>
  </conditionalFormatting>
  <conditionalFormatting sqref="Y100:AC106">
    <cfRule type="expression" dxfId="5945" priority="231">
      <formula>Y$9&gt;=20/24</formula>
    </cfRule>
    <cfRule type="expression" dxfId="5944" priority="232">
      <formula>AND(Y$9&gt;=14/24,Y$9&lt;20/24)</formula>
    </cfRule>
    <cfRule type="expression" dxfId="5943" priority="233">
      <formula>AND(Y$9&gt;=8/24,Y$9&lt;14/24)</formula>
    </cfRule>
    <cfRule type="expression" dxfId="5942" priority="234">
      <formula>Y$9&lt;8/24</formula>
    </cfRule>
  </conditionalFormatting>
  <conditionalFormatting sqref="C109:J109 C111:J116 AD17:AF32">
    <cfRule type="expression" dxfId="5941" priority="227">
      <formula>C$9&gt;=20/24</formula>
    </cfRule>
    <cfRule type="expression" dxfId="5940" priority="228">
      <formula>AND(C$9&gt;=14/24,C$9&lt;20/24)</formula>
    </cfRule>
    <cfRule type="expression" dxfId="5939" priority="229">
      <formula>AND(C$9&gt;=8/24,C$9&lt;14/24)</formula>
    </cfRule>
    <cfRule type="expression" dxfId="5938" priority="230">
      <formula>C$9&lt;8/24</formula>
    </cfRule>
  </conditionalFormatting>
  <conditionalFormatting sqref="C47:S47">
    <cfRule type="expression" dxfId="5937" priority="223">
      <formula>C$9&gt;=20/24</formula>
    </cfRule>
    <cfRule type="expression" dxfId="5936" priority="224">
      <formula>AND(C$9&gt;=14/24,C$9&lt;20/24)</formula>
    </cfRule>
    <cfRule type="expression" dxfId="5935" priority="225">
      <formula>AND(C$9&gt;=8/24,C$9&lt;14/24)</formula>
    </cfRule>
    <cfRule type="expression" dxfId="5934" priority="226">
      <formula>C$9&lt;8/24</formula>
    </cfRule>
  </conditionalFormatting>
  <conditionalFormatting sqref="C47:S47 AD17:AF32">
    <cfRule type="expression" dxfId="5933" priority="222">
      <formula>C17&gt;$AG17</formula>
    </cfRule>
  </conditionalFormatting>
  <conditionalFormatting sqref="C99:J99">
    <cfRule type="expression" dxfId="5932" priority="218">
      <formula>C$9&gt;=20/24</formula>
    </cfRule>
    <cfRule type="expression" dxfId="5931" priority="219">
      <formula>AND(C$9&gt;=14/24,C$9&lt;20/24)</formula>
    </cfRule>
    <cfRule type="expression" dxfId="5930" priority="220">
      <formula>AND(C$9&gt;=8/24,C$9&lt;14/24)</formula>
    </cfRule>
    <cfRule type="expression" dxfId="5929" priority="221">
      <formula>C$9&lt;8/24</formula>
    </cfRule>
  </conditionalFormatting>
  <conditionalFormatting sqref="C86 C96:W96 C83:AF85 L67:M67 N67:Q69 M74:AA75 AB75:AE76 AE77:AE81 AF75:AF81">
    <cfRule type="expression" dxfId="5928" priority="214">
      <formula>C$9&gt;=20/24</formula>
    </cfRule>
    <cfRule type="expression" dxfId="5927" priority="215">
      <formula>AND(C$9&gt;=14/24,C$9&lt;20/24)</formula>
    </cfRule>
    <cfRule type="expression" dxfId="5926" priority="216">
      <formula>AND(C$9&gt;=8/24,C$9&lt;14/24)</formula>
    </cfRule>
    <cfRule type="expression" dxfId="5925" priority="217">
      <formula>C$9&lt;8/24</formula>
    </cfRule>
  </conditionalFormatting>
  <conditionalFormatting sqref="L67:M67 N67:Q69">
    <cfRule type="expression" dxfId="5924" priority="213">
      <formula>L67&gt;$AG67</formula>
    </cfRule>
  </conditionalFormatting>
  <conditionalFormatting sqref="B71:J71 B54:L57">
    <cfRule type="expression" dxfId="5923" priority="132">
      <formula>B$9&gt;=20/24</formula>
    </cfRule>
    <cfRule type="expression" dxfId="5922" priority="133">
      <formula>AND(B$9&gt;=14/24,B$9&lt;20/24)</formula>
    </cfRule>
    <cfRule type="expression" dxfId="5921" priority="134">
      <formula>AND(B$9&gt;=8/24,B$9&lt;14/24)</formula>
    </cfRule>
    <cfRule type="expression" dxfId="5920" priority="135">
      <formula>B$9&lt;8/24</formula>
    </cfRule>
  </conditionalFormatting>
  <conditionalFormatting sqref="P46:AF46">
    <cfRule type="expression" dxfId="5919" priority="204">
      <formula>P$9&gt;=20/24</formula>
    </cfRule>
    <cfRule type="expression" dxfId="5918" priority="205">
      <formula>AND(P$9&gt;=14/24,P$9&lt;20/24)</formula>
    </cfRule>
    <cfRule type="expression" dxfId="5917" priority="206">
      <formula>AND(P$9&gt;=8/24,P$9&lt;14/24)</formula>
    </cfRule>
    <cfRule type="expression" dxfId="5916" priority="207">
      <formula>P$9&lt;8/24</formula>
    </cfRule>
  </conditionalFormatting>
  <conditionalFormatting sqref="P46:AF46">
    <cfRule type="expression" dxfId="5915" priority="203">
      <formula>P46&gt;$AG46</formula>
    </cfRule>
  </conditionalFormatting>
  <conditionalFormatting sqref="C87:AF87 C89:AF89 C98:AF98 C70:AF70">
    <cfRule type="expression" dxfId="5914" priority="199">
      <formula>C$9&gt;=20/24</formula>
    </cfRule>
    <cfRule type="expression" dxfId="5913" priority="200">
      <formula>AND(C$9&gt;=14/24,C$9&lt;20/24)</formula>
    </cfRule>
    <cfRule type="expression" dxfId="5912" priority="201">
      <formula>AND(C$9&gt;=8/24,C$9&lt;14/24)</formula>
    </cfRule>
    <cfRule type="expression" dxfId="5911" priority="202">
      <formula>C$9&lt;8/24</formula>
    </cfRule>
  </conditionalFormatting>
  <conditionalFormatting sqref="C70:AF70 C65:AF66 C48:AF48">
    <cfRule type="expression" dxfId="5910" priority="198">
      <formula>C48&gt;$AG48</formula>
    </cfRule>
  </conditionalFormatting>
  <conditionalFormatting sqref="C82:AF82">
    <cfRule type="expression" dxfId="5909" priority="194">
      <formula>C$9&gt;=20/24</formula>
    </cfRule>
    <cfRule type="expression" dxfId="5908" priority="195">
      <formula>AND(C$9&gt;=14/24,C$9&lt;20/24)</formula>
    </cfRule>
    <cfRule type="expression" dxfId="5907" priority="196">
      <formula>AND(C$9&gt;=8/24,C$9&lt;14/24)</formula>
    </cfRule>
    <cfRule type="expression" dxfId="5906" priority="197">
      <formula>C$9&lt;8/24</formula>
    </cfRule>
  </conditionalFormatting>
  <conditionalFormatting sqref="C91:W95">
    <cfRule type="expression" dxfId="5905" priority="190">
      <formula>C$9&gt;=20/24</formula>
    </cfRule>
    <cfRule type="expression" dxfId="5904" priority="191">
      <formula>AND(C$9&gt;=14/24,C$9&lt;20/24)</formula>
    </cfRule>
    <cfRule type="expression" dxfId="5903" priority="192">
      <formula>AND(C$9&gt;=8/24,C$9&lt;14/24)</formula>
    </cfRule>
    <cfRule type="expression" dxfId="5902" priority="193">
      <formula>C$9&lt;8/24</formula>
    </cfRule>
  </conditionalFormatting>
  <conditionalFormatting sqref="C52:AF52">
    <cfRule type="expression" dxfId="5901" priority="186">
      <formula>C$9&gt;=20/24</formula>
    </cfRule>
    <cfRule type="expression" dxfId="5900" priority="187">
      <formula>AND(C$9&gt;=14/24,C$9&lt;20/24)</formula>
    </cfRule>
    <cfRule type="expression" dxfId="5899" priority="188">
      <formula>AND(C$9&gt;=8/24,C$9&lt;14/24)</formula>
    </cfRule>
    <cfRule type="expression" dxfId="5898" priority="189">
      <formula>C$9&lt;8/24</formula>
    </cfRule>
  </conditionalFormatting>
  <conditionalFormatting sqref="C52:AF52">
    <cfRule type="expression" dxfId="5897" priority="185">
      <formula>C52&gt;$AG52</formula>
    </cfRule>
  </conditionalFormatting>
  <conditionalFormatting sqref="B49:K51 L50:T51">
    <cfRule type="expression" dxfId="5896" priority="100">
      <formula>B$9&gt;=20/24</formula>
    </cfRule>
    <cfRule type="expression" dxfId="5895" priority="101">
      <formula>AND(B$9&gt;=14/24,B$9&lt;20/24)</formula>
    </cfRule>
    <cfRule type="expression" dxfId="5894" priority="102">
      <formula>AND(B$9&gt;=8/24,B$9&lt;14/24)</formula>
    </cfRule>
    <cfRule type="expression" dxfId="5893" priority="103">
      <formula>B$9&lt;8/24</formula>
    </cfRule>
  </conditionalFormatting>
  <conditionalFormatting sqref="C110:J110">
    <cfRule type="expression" dxfId="5892" priority="177">
      <formula>C$9&gt;=20/24</formula>
    </cfRule>
    <cfRule type="expression" dxfId="5891" priority="178">
      <formula>AND(C$9&gt;=14/24,C$9&lt;20/24)</formula>
    </cfRule>
    <cfRule type="expression" dxfId="5890" priority="179">
      <formula>AND(C$9&gt;=8/24,C$9&lt;14/24)</formula>
    </cfRule>
    <cfRule type="expression" dxfId="5889" priority="180">
      <formula>C$9&lt;8/24</formula>
    </cfRule>
  </conditionalFormatting>
  <conditionalFormatting sqref="AD59:AF64">
    <cfRule type="expression" dxfId="5888" priority="173">
      <formula>AD$9&gt;=20/24</formula>
    </cfRule>
    <cfRule type="expression" dxfId="5887" priority="174">
      <formula>AND(AD$9&gt;=14/24,AD$9&lt;20/24)</formula>
    </cfRule>
    <cfRule type="expression" dxfId="5886" priority="175">
      <formula>AND(AD$9&gt;=8/24,AD$9&lt;14/24)</formula>
    </cfRule>
    <cfRule type="expression" dxfId="5885" priority="176">
      <formula>AD$9&lt;8/24</formula>
    </cfRule>
  </conditionalFormatting>
  <conditionalFormatting sqref="AD59:AF64">
    <cfRule type="expression" dxfId="5884" priority="172">
      <formula>AD59&gt;$AG59</formula>
    </cfRule>
  </conditionalFormatting>
  <conditionalFormatting sqref="AD13:AF15">
    <cfRule type="expression" dxfId="5883" priority="171">
      <formula>AD13&gt;$AG13</formula>
    </cfRule>
  </conditionalFormatting>
  <conditionalFormatting sqref="AD12:AF12">
    <cfRule type="expression" dxfId="5882" priority="167">
      <formula>AD$9&gt;=20/24</formula>
    </cfRule>
    <cfRule type="expression" dxfId="5881" priority="168">
      <formula>AND(AD$9&gt;=14/24,AD$9&lt;20/24)</formula>
    </cfRule>
    <cfRule type="expression" dxfId="5880" priority="169">
      <formula>AND(AD$9&gt;=8/24,AD$9&lt;14/24)</formula>
    </cfRule>
    <cfRule type="expression" dxfId="5879" priority="170">
      <formula>AD$9&lt;8/24</formula>
    </cfRule>
  </conditionalFormatting>
  <conditionalFormatting sqref="AD12:AF12">
    <cfRule type="expression" dxfId="5878" priority="166">
      <formula>AD12&gt;$AG12</formula>
    </cfRule>
  </conditionalFormatting>
  <conditionalFormatting sqref="AD13:AF15">
    <cfRule type="expression" dxfId="5877" priority="162">
      <formula>AD$9&gt;=20/24</formula>
    </cfRule>
    <cfRule type="expression" dxfId="5876" priority="163">
      <formula>AND(AD$9&gt;=14/24,AD$9&lt;20/24)</formula>
    </cfRule>
    <cfRule type="expression" dxfId="5875" priority="164">
      <formula>AND(AD$9&gt;=8/24,AD$9&lt;14/24)</formula>
    </cfRule>
    <cfRule type="expression" dxfId="5874" priority="165">
      <formula>AD$9&lt;8/24</formula>
    </cfRule>
  </conditionalFormatting>
  <conditionalFormatting sqref="K81:W81 W80 Y81:AB81 X80:X81 AB77:AB80 Y80:AA80 AC77:AD81">
    <cfRule type="expression" dxfId="5873" priority="154">
      <formula>K$9&gt;=20/24</formula>
    </cfRule>
    <cfRule type="expression" dxfId="5872" priority="155">
      <formula>AND(K$9&gt;=14/24,K$9&lt;20/24)</formula>
    </cfRule>
    <cfRule type="expression" dxfId="5871" priority="156">
      <formula>AND(K$9&gt;=8/24,K$9&lt;14/24)</formula>
    </cfRule>
    <cfRule type="expression" dxfId="5870" priority="157">
      <formula>K$9&lt;8/24</formula>
    </cfRule>
  </conditionalFormatting>
  <conditionalFormatting sqref="AL78:AN78 AL84:AN84 AN79:AN80">
    <cfRule type="expression" dxfId="5869" priority="150">
      <formula>AL$9&gt;=20/24</formula>
    </cfRule>
    <cfRule type="expression" dxfId="5868" priority="151">
      <formula>AND(AL$9&gt;=14/24,AL$9&lt;20/24)</formula>
    </cfRule>
    <cfRule type="expression" dxfId="5867" priority="152">
      <formula>AND(AL$9&gt;=8/24,AL$9&lt;14/24)</formula>
    </cfRule>
    <cfRule type="expression" dxfId="5866" priority="153">
      <formula>AL$9&lt;8/24</formula>
    </cfRule>
  </conditionalFormatting>
  <conditionalFormatting sqref="AN81:AN82">
    <cfRule type="expression" dxfId="5865" priority="146">
      <formula>AN$9&gt;=20/24</formula>
    </cfRule>
    <cfRule type="expression" dxfId="5864" priority="147">
      <formula>AND(AN$9&gt;=14/24,AN$9&lt;20/24)</formula>
    </cfRule>
    <cfRule type="expression" dxfId="5863" priority="148">
      <formula>AND(AN$9&gt;=8/24,AN$9&lt;14/24)</formula>
    </cfRule>
    <cfRule type="expression" dxfId="5862" priority="149">
      <formula>AN$9&lt;8/24</formula>
    </cfRule>
  </conditionalFormatting>
  <conditionalFormatting sqref="AL79:AM83">
    <cfRule type="expression" dxfId="5861" priority="368">
      <formula>AJ$9&gt;=20/24</formula>
    </cfRule>
    <cfRule type="expression" dxfId="5860" priority="369">
      <formula>AND(AJ$9&gt;=14/24,AJ$9&lt;20/24)</formula>
    </cfRule>
    <cfRule type="expression" dxfId="5859" priority="370">
      <formula>AND(AJ$9&gt;=8/24,AJ$9&lt;14/24)</formula>
    </cfRule>
    <cfRule type="expression" dxfId="5858" priority="371">
      <formula>AJ$9&lt;8/24</formula>
    </cfRule>
  </conditionalFormatting>
  <conditionalFormatting sqref="A117">
    <cfRule type="expression" dxfId="5857" priority="145">
      <formula>$AH117=0</formula>
    </cfRule>
  </conditionalFormatting>
  <conditionalFormatting sqref="B109 B111:B116 B12:AC15 B17:AC32 B34:AF43 B45:AF45">
    <cfRule type="expression" dxfId="5856" priority="141">
      <formula>B$9&gt;=20/24</formula>
    </cfRule>
    <cfRule type="expression" dxfId="5855" priority="142">
      <formula>AND(B$9&gt;=14/24,B$9&lt;20/24)</formula>
    </cfRule>
    <cfRule type="expression" dxfId="5854" priority="143">
      <formula>AND(B$9&gt;=8/24,B$9&lt;14/24)</formula>
    </cfRule>
    <cfRule type="expression" dxfId="5853" priority="144">
      <formula>B$9&lt;8/24</formula>
    </cfRule>
  </conditionalFormatting>
  <conditionalFormatting sqref="B12:AC15 B17:AC32 B34:AF43 B45:AF45">
    <cfRule type="expression" dxfId="5852" priority="140">
      <formula>B12&gt;$AG12</formula>
    </cfRule>
  </conditionalFormatting>
  <conditionalFormatting sqref="B99">
    <cfRule type="expression" dxfId="5851" priority="136">
      <formula>B$9&gt;=20/24</formula>
    </cfRule>
    <cfRule type="expression" dxfId="5850" priority="137">
      <formula>AND(B$9&gt;=14/24,B$9&lt;20/24)</formula>
    </cfRule>
    <cfRule type="expression" dxfId="5849" priority="138">
      <formula>AND(B$9&gt;=8/24,B$9&lt;14/24)</formula>
    </cfRule>
    <cfRule type="expression" dxfId="5848" priority="139">
      <formula>B$9&lt;8/24</formula>
    </cfRule>
  </conditionalFormatting>
  <conditionalFormatting sqref="B53:K53">
    <cfRule type="expression" dxfId="5847" priority="128">
      <formula>B$9&gt;=20/24</formula>
    </cfRule>
    <cfRule type="expression" dxfId="5846" priority="129">
      <formula>AND(B$9&gt;=14/24,B$9&lt;20/24)</formula>
    </cfRule>
    <cfRule type="expression" dxfId="5845" priority="130">
      <formula>AND(B$9&gt;=8/24,B$9&lt;14/24)</formula>
    </cfRule>
    <cfRule type="expression" dxfId="5844" priority="131">
      <formula>B$9&lt;8/24</formula>
    </cfRule>
  </conditionalFormatting>
  <conditionalFormatting sqref="B53:K57 L54:L57">
    <cfRule type="expression" dxfId="5843" priority="127">
      <formula>B53&gt;$AG53</formula>
    </cfRule>
  </conditionalFormatting>
  <conditionalFormatting sqref="B96 B86 B47 B72:J74 B100:J106 B67:K69 K74:L74 L68:M69">
    <cfRule type="expression" dxfId="5842" priority="123">
      <formula>B$9&gt;=20/24</formula>
    </cfRule>
    <cfRule type="expression" dxfId="5841" priority="124">
      <formula>AND(B$9&gt;=14/24,B$9&lt;20/24)</formula>
    </cfRule>
    <cfRule type="expression" dxfId="5840" priority="125">
      <formula>AND(B$9&gt;=8/24,B$9&lt;14/24)</formula>
    </cfRule>
    <cfRule type="expression" dxfId="5839" priority="126">
      <formula>B$9&lt;8/24</formula>
    </cfRule>
  </conditionalFormatting>
  <conditionalFormatting sqref="B47 B67:K69 L68:M69">
    <cfRule type="expression" dxfId="5838" priority="122">
      <formula>B47&gt;$AG47</formula>
    </cfRule>
  </conditionalFormatting>
  <conditionalFormatting sqref="B97 B88:C88">
    <cfRule type="expression" dxfId="5837" priority="118">
      <formula>B$9&gt;=20/24</formula>
    </cfRule>
    <cfRule type="expression" dxfId="5836" priority="119">
      <formula>AND(B$9&gt;=14/24,B$9&lt;20/24)</formula>
    </cfRule>
    <cfRule type="expression" dxfId="5835" priority="120">
      <formula>AND(B$9&gt;=8/24,B$9&lt;14/24)</formula>
    </cfRule>
    <cfRule type="expression" dxfId="5834" priority="121">
      <formula>B$9&lt;8/24</formula>
    </cfRule>
  </conditionalFormatting>
  <conditionalFormatting sqref="B46:O46">
    <cfRule type="expression" dxfId="5833" priority="114">
      <formula>B$9&gt;=20/24</formula>
    </cfRule>
    <cfRule type="expression" dxfId="5832" priority="115">
      <formula>AND(B$9&gt;=14/24,B$9&lt;20/24)</formula>
    </cfRule>
    <cfRule type="expression" dxfId="5831" priority="116">
      <formula>AND(B$9&gt;=8/24,B$9&lt;14/24)</formula>
    </cfRule>
    <cfRule type="expression" dxfId="5830" priority="117">
      <formula>B$9&lt;8/24</formula>
    </cfRule>
  </conditionalFormatting>
  <conditionalFormatting sqref="B46:O46">
    <cfRule type="expression" dxfId="5829" priority="113">
      <formula>B46&gt;$AG46</formula>
    </cfRule>
  </conditionalFormatting>
  <conditionalFormatting sqref="B58:AC58">
    <cfRule type="expression" dxfId="5828" priority="109">
      <formula>B$9&gt;=20/24</formula>
    </cfRule>
    <cfRule type="expression" dxfId="5827" priority="110">
      <formula>AND(B$9&gt;=14/24,B$9&lt;20/24)</formula>
    </cfRule>
    <cfRule type="expression" dxfId="5826" priority="111">
      <formula>AND(B$9&gt;=8/24,B$9&lt;14/24)</formula>
    </cfRule>
    <cfRule type="expression" dxfId="5825" priority="112">
      <formula>B$9&lt;8/24</formula>
    </cfRule>
  </conditionalFormatting>
  <conditionalFormatting sqref="B58:AC58">
    <cfRule type="expression" dxfId="5824" priority="108">
      <formula>B58&gt;$AG58</formula>
    </cfRule>
  </conditionalFormatting>
  <conditionalFormatting sqref="B91:B95">
    <cfRule type="expression" dxfId="5823" priority="104">
      <formula>B$9&gt;=20/24</formula>
    </cfRule>
    <cfRule type="expression" dxfId="5822" priority="105">
      <formula>AND(B$9&gt;=14/24,B$9&lt;20/24)</formula>
    </cfRule>
    <cfRule type="expression" dxfId="5821" priority="106">
      <formula>AND(B$9&gt;=8/24,B$9&lt;14/24)</formula>
    </cfRule>
    <cfRule type="expression" dxfId="5820" priority="107">
      <formula>B$9&lt;8/24</formula>
    </cfRule>
  </conditionalFormatting>
  <conditionalFormatting sqref="B49:K51 L50:T51">
    <cfRule type="expression" dxfId="5819" priority="99">
      <formula>B49&gt;$AG49</formula>
    </cfRule>
  </conditionalFormatting>
  <conditionalFormatting sqref="B107">
    <cfRule type="expression" dxfId="5818" priority="95">
      <formula>B$9&gt;=20/24</formula>
    </cfRule>
    <cfRule type="expression" dxfId="5817" priority="96">
      <formula>AND(B$9&gt;=14/24,B$9&lt;20/24)</formula>
    </cfRule>
    <cfRule type="expression" dxfId="5816" priority="97">
      <formula>AND(B$9&gt;=8/24,B$9&lt;14/24)</formula>
    </cfRule>
    <cfRule type="expression" dxfId="5815" priority="98">
      <formula>B$9&lt;8/24</formula>
    </cfRule>
  </conditionalFormatting>
  <conditionalFormatting sqref="B110">
    <cfRule type="expression" dxfId="5814" priority="91">
      <formula>B$9&gt;=20/24</formula>
    </cfRule>
    <cfRule type="expression" dxfId="5813" priority="92">
      <formula>AND(B$9&gt;=14/24,B$9&lt;20/24)</formula>
    </cfRule>
    <cfRule type="expression" dxfId="5812" priority="93">
      <formula>AND(B$9&gt;=8/24,B$9&lt;14/24)</formula>
    </cfRule>
    <cfRule type="expression" dxfId="5811" priority="94">
      <formula>B$9&lt;8/24</formula>
    </cfRule>
  </conditionalFormatting>
  <conditionalFormatting sqref="B83:B85 B75:L76 M76:AA76">
    <cfRule type="expression" dxfId="5810" priority="87">
      <formula>B$9&gt;=20/24</formula>
    </cfRule>
    <cfRule type="expression" dxfId="5809" priority="88">
      <formula>AND(B$9&gt;=14/24,B$9&lt;20/24)</formula>
    </cfRule>
    <cfRule type="expression" dxfId="5808" priority="89">
      <formula>AND(B$9&gt;=8/24,B$9&lt;14/24)</formula>
    </cfRule>
    <cfRule type="expression" dxfId="5807" priority="90">
      <formula>B$9&lt;8/24</formula>
    </cfRule>
  </conditionalFormatting>
  <conditionalFormatting sqref="B89 B98 B70 B87">
    <cfRule type="expression" dxfId="5806" priority="83">
      <formula>B$9&gt;=20/24</formula>
    </cfRule>
    <cfRule type="expression" dxfId="5805" priority="84">
      <formula>AND(B$9&gt;=14/24,B$9&lt;20/24)</formula>
    </cfRule>
    <cfRule type="expression" dxfId="5804" priority="85">
      <formula>AND(B$9&gt;=8/24,B$9&lt;14/24)</formula>
    </cfRule>
    <cfRule type="expression" dxfId="5803" priority="86">
      <formula>B$9&lt;8/24</formula>
    </cfRule>
  </conditionalFormatting>
  <conditionalFormatting sqref="B48 B65:B66 B70">
    <cfRule type="expression" dxfId="5802" priority="82">
      <formula>B48&gt;$AG48</formula>
    </cfRule>
  </conditionalFormatting>
  <conditionalFormatting sqref="B82">
    <cfRule type="expression" dxfId="5801" priority="78">
      <formula>B$9&gt;=20/24</formula>
    </cfRule>
    <cfRule type="expression" dxfId="5800" priority="79">
      <formula>AND(B$9&gt;=14/24,B$9&lt;20/24)</formula>
    </cfRule>
    <cfRule type="expression" dxfId="5799" priority="80">
      <formula>AND(B$9&gt;=8/24,B$9&lt;14/24)</formula>
    </cfRule>
    <cfRule type="expression" dxfId="5798" priority="81">
      <formula>B$9&lt;8/24</formula>
    </cfRule>
  </conditionalFormatting>
  <conditionalFormatting sqref="B52">
    <cfRule type="expression" dxfId="5797" priority="74">
      <formula>B$9&gt;=20/24</formula>
    </cfRule>
    <cfRule type="expression" dxfId="5796" priority="75">
      <formula>AND(B$9&gt;=14/24,B$9&lt;20/24)</formula>
    </cfRule>
    <cfRule type="expression" dxfId="5795" priority="76">
      <formula>AND(B$9&gt;=8/24,B$9&lt;14/24)</formula>
    </cfRule>
    <cfRule type="expression" dxfId="5794" priority="77">
      <formula>B$9&lt;8/24</formula>
    </cfRule>
  </conditionalFormatting>
  <conditionalFormatting sqref="B52">
    <cfRule type="expression" dxfId="5793" priority="73">
      <formula>B52&gt;$AG52</formula>
    </cfRule>
  </conditionalFormatting>
  <conditionalFormatting sqref="B59:AC64">
    <cfRule type="expression" dxfId="5792" priority="65">
      <formula>B$9&gt;=20/24</formula>
    </cfRule>
    <cfRule type="expression" dxfId="5791" priority="66">
      <formula>AND(B$9&gt;=14/24,B$9&lt;20/24)</formula>
    </cfRule>
    <cfRule type="expression" dxfId="5790" priority="67">
      <formula>AND(B$9&gt;=8/24,B$9&lt;14/24)</formula>
    </cfRule>
    <cfRule type="expression" dxfId="5789" priority="68">
      <formula>B$9&lt;8/24</formula>
    </cfRule>
  </conditionalFormatting>
  <conditionalFormatting sqref="B59:AC64">
    <cfRule type="expression" dxfId="5788" priority="64">
      <formula>B59&gt;$AG59</formula>
    </cfRule>
  </conditionalFormatting>
  <conditionalFormatting sqref="B77:J81 K77:V80 W77:AA79">
    <cfRule type="expression" dxfId="5787" priority="60">
      <formula>B$9&gt;=20/24</formula>
    </cfRule>
    <cfRule type="expression" dxfId="5786" priority="61">
      <formula>AND(B$9&gt;=14/24,B$9&lt;20/24)</formula>
    </cfRule>
    <cfRule type="expression" dxfId="5785" priority="62">
      <formula>AND(B$9&gt;=8/24,B$9&lt;14/24)</formula>
    </cfRule>
    <cfRule type="expression" dxfId="5784" priority="63">
      <formula>B$9&lt;8/24</formula>
    </cfRule>
  </conditionalFormatting>
  <conditionalFormatting sqref="A11">
    <cfRule type="expression" dxfId="5783" priority="59">
      <formula>$AH11=0</formula>
    </cfRule>
  </conditionalFormatting>
  <conditionalFormatting sqref="AD11:AF11">
    <cfRule type="expression" dxfId="5782" priority="55">
      <formula>AD$9&gt;=20/24</formula>
    </cfRule>
    <cfRule type="expression" dxfId="5781" priority="56">
      <formula>AND(AD$9&gt;=14/24,AD$9&lt;20/24)</formula>
    </cfRule>
    <cfRule type="expression" dxfId="5780" priority="57">
      <formula>AND(AD$9&gt;=8/24,AD$9&lt;14/24)</formula>
    </cfRule>
    <cfRule type="expression" dxfId="5779" priority="58">
      <formula>AD$9&lt;8/24</formula>
    </cfRule>
  </conditionalFormatting>
  <conditionalFormatting sqref="AD11:AF11">
    <cfRule type="expression" dxfId="5778" priority="54">
      <formula>AD11&gt;$AG11</formula>
    </cfRule>
  </conditionalFormatting>
  <conditionalFormatting sqref="B11:AC11">
    <cfRule type="expression" dxfId="5777" priority="50">
      <formula>B$9&gt;=20/24</formula>
    </cfRule>
    <cfRule type="expression" dxfId="5776" priority="51">
      <formula>AND(B$9&gt;=14/24,B$9&lt;20/24)</formula>
    </cfRule>
    <cfRule type="expression" dxfId="5775" priority="52">
      <formula>AND(B$9&gt;=8/24,B$9&lt;14/24)</formula>
    </cfRule>
    <cfRule type="expression" dxfId="5774" priority="53">
      <formula>B$9&lt;8/24</formula>
    </cfRule>
  </conditionalFormatting>
  <conditionalFormatting sqref="B11:AC11">
    <cfRule type="expression" dxfId="5773" priority="49">
      <formula>B11&gt;$AG11</formula>
    </cfRule>
  </conditionalFormatting>
  <conditionalFormatting sqref="A16">
    <cfRule type="expression" dxfId="5772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D16:AF16">
    <cfRule type="expression" dxfId="5771" priority="43">
      <formula>AD$9&gt;=20/24</formula>
    </cfRule>
    <cfRule type="expression" dxfId="5770" priority="44">
      <formula>AND(AD$9&gt;=14/24,AD$9&lt;20/24)</formula>
    </cfRule>
    <cfRule type="expression" dxfId="5769" priority="45">
      <formula>AND(AD$9&gt;=8/24,AD$9&lt;14/24)</formula>
    </cfRule>
    <cfRule type="expression" dxfId="5768" priority="46">
      <formula>AD$9&lt;8/24</formula>
    </cfRule>
  </conditionalFormatting>
  <conditionalFormatting sqref="AD16:AF16">
    <cfRule type="expression" dxfId="5767" priority="42">
      <formula>AD16&gt;$AG16</formula>
    </cfRule>
  </conditionalFormatting>
  <conditionalFormatting sqref="B16:AC16">
    <cfRule type="expression" dxfId="5766" priority="38">
      <formula>B$9&gt;=20/24</formula>
    </cfRule>
    <cfRule type="expression" dxfId="5765" priority="39">
      <formula>AND(B$9&gt;=14/24,B$9&lt;20/24)</formula>
    </cfRule>
    <cfRule type="expression" dxfId="5764" priority="40">
      <formula>AND(B$9&gt;=8/24,B$9&lt;14/24)</formula>
    </cfRule>
    <cfRule type="expression" dxfId="5763" priority="41">
      <formula>B$9&lt;8/24</formula>
    </cfRule>
  </conditionalFormatting>
  <conditionalFormatting sqref="B16:AC16">
    <cfRule type="expression" dxfId="5762" priority="37">
      <formula>B16&gt;$AG16</formula>
    </cfRule>
  </conditionalFormatting>
  <conditionalFormatting sqref="A33">
    <cfRule type="expression" dxfId="5761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5760" priority="26">
      <formula>B$9&gt;=20/24</formula>
    </cfRule>
    <cfRule type="expression" dxfId="5759" priority="27">
      <formula>AND(B$9&gt;=14/24,B$9&lt;20/24)</formula>
    </cfRule>
    <cfRule type="expression" dxfId="5758" priority="28">
      <formula>AND(B$9&gt;=8/24,B$9&lt;14/24)</formula>
    </cfRule>
    <cfRule type="expression" dxfId="5757" priority="29">
      <formula>B$9&lt;8/24</formula>
    </cfRule>
  </conditionalFormatting>
  <conditionalFormatting sqref="B33:AF33">
    <cfRule type="expression" dxfId="5756" priority="25">
      <formula>B33&gt;$AG33</formula>
    </cfRule>
  </conditionalFormatting>
  <conditionalFormatting sqref="A44">
    <cfRule type="expression" dxfId="5755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5754" priority="14">
      <formula>B$9&gt;=20/24</formula>
    </cfRule>
    <cfRule type="expression" dxfId="5753" priority="15">
      <formula>AND(B$9&gt;=14/24,B$9&lt;20/24)</formula>
    </cfRule>
    <cfRule type="expression" dxfId="5752" priority="16">
      <formula>AND(B$9&gt;=8/24,B$9&lt;14/24)</formula>
    </cfRule>
    <cfRule type="expression" dxfId="5751" priority="17">
      <formula>B$9&lt;8/24</formula>
    </cfRule>
  </conditionalFormatting>
  <conditionalFormatting sqref="B44:AF44">
    <cfRule type="expression" dxfId="5750" priority="13">
      <formula>B44&gt;$AG44</formula>
    </cfRule>
  </conditionalFormatting>
  <conditionalFormatting sqref="B117">
    <cfRule type="expression" dxfId="5749" priority="1">
      <formula>B$9&gt;=20/24</formula>
    </cfRule>
    <cfRule type="expression" dxfId="5748" priority="2">
      <formula>AND(B$9&gt;=14/24,B$9&lt;20/24)</formula>
    </cfRule>
    <cfRule type="expression" dxfId="5747" priority="3">
      <formula>AND(B$9&gt;=8/24,B$9&lt;14/24)</formula>
    </cfRule>
    <cfRule type="expression" dxfId="5746" priority="4">
      <formula>B$9&lt;8/24</formula>
    </cfRule>
  </conditionalFormatting>
  <conditionalFormatting sqref="K117:AF117">
    <cfRule type="expression" dxfId="5745" priority="9">
      <formula>K$9&gt;=20/24</formula>
    </cfRule>
    <cfRule type="expression" dxfId="5744" priority="10">
      <formula>AND(K$9&gt;=14/24,K$9&lt;20/24)</formula>
    </cfRule>
    <cfRule type="expression" dxfId="5743" priority="11">
      <formula>AND(K$9&gt;=8/24,K$9&lt;14/24)</formula>
    </cfRule>
    <cfRule type="expression" dxfId="5742" priority="12">
      <formula>K$9&lt;8/24</formula>
    </cfRule>
  </conditionalFormatting>
  <conditionalFormatting sqref="C117:J117">
    <cfRule type="expression" dxfId="5741" priority="5">
      <formula>C$9&gt;=20/24</formula>
    </cfRule>
    <cfRule type="expression" dxfId="5740" priority="6">
      <formula>AND(C$9&gt;=14/24,C$9&lt;20/24)</formula>
    </cfRule>
    <cfRule type="expression" dxfId="5739" priority="7">
      <formula>AND(C$9&gt;=8/24,C$9&lt;14/24)</formula>
    </cfRule>
    <cfRule type="expression" dxfId="5738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ADB97BAA-F218-4FF4-B62D-544742B1FEF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9C488E4C-D9B9-442C-AC4D-691FF328768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BD22346C-0202-4CDF-9D2F-964A62EA30D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293BCB10-6FED-4174-8818-1644F03B8FF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E615F0BB-2577-442A-B0B5-EFC62FAD900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8D12430C-F89E-46A8-95CF-4D22F738BE5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92A3F59B-6329-4BCE-8BF5-898FB4B8C20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25D4AEC4-0C97-44F6-8D8F-BD00ACD6260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56" activePane="bottomLeft" state="frozen"/>
      <selection activeCell="Z85" sqref="Z85"/>
      <selection pane="bottomLeft" activeCell="W123" sqref="W123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2079/12/18</v>
      </c>
      <c r="C4" s="196"/>
      <c r="D4" s="196"/>
      <c r="E4" s="197" t="str">
        <f ca="1">"2079/"&amp;"12/"&amp;INT(MID(CELL("filename",G6),FIND("]",CELL("filename",G6))+1,200))</f>
        <v>2079/12/18</v>
      </c>
      <c r="F4" s="197"/>
      <c r="G4" s="197"/>
      <c r="H4" s="197" t="str">
        <f ca="1">TEXT(E4,"dddd")</f>
        <v>Monday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116.4</v>
      </c>
      <c r="C5" s="33">
        <f t="shared" si="0"/>
        <v>123.6</v>
      </c>
      <c r="D5" s="33">
        <f t="shared" si="0"/>
        <v>131.70000000000002</v>
      </c>
      <c r="E5" s="33">
        <f t="shared" si="0"/>
        <v>150</v>
      </c>
      <c r="F5" s="33">
        <f t="shared" si="0"/>
        <v>169.8</v>
      </c>
      <c r="G5" s="33">
        <f t="shared" si="0"/>
        <v>158.1</v>
      </c>
      <c r="H5" s="33">
        <f t="shared" si="0"/>
        <v>140.30000000000001</v>
      </c>
      <c r="I5" s="33">
        <f t="shared" si="0"/>
        <v>168.70000000000002</v>
      </c>
      <c r="J5" s="33">
        <f t="shared" si="0"/>
        <v>197.00000000000003</v>
      </c>
      <c r="K5" s="33">
        <f t="shared" si="0"/>
        <v>187.89999999999998</v>
      </c>
      <c r="L5" s="33">
        <f t="shared" si="0"/>
        <v>174.10000000000002</v>
      </c>
      <c r="M5" s="33">
        <f t="shared" si="0"/>
        <v>199.49999999999997</v>
      </c>
      <c r="N5" s="33">
        <f t="shared" si="0"/>
        <v>176.10000000000002</v>
      </c>
      <c r="O5" s="33">
        <f t="shared" si="0"/>
        <v>166.6</v>
      </c>
      <c r="P5" s="33">
        <f t="shared" si="0"/>
        <v>180.3</v>
      </c>
      <c r="Q5" s="33">
        <f t="shared" si="0"/>
        <v>180.3</v>
      </c>
      <c r="R5" s="33">
        <f t="shared" si="0"/>
        <v>203.8</v>
      </c>
      <c r="S5" s="33">
        <f t="shared" si="0"/>
        <v>172.5</v>
      </c>
      <c r="T5" s="33">
        <f t="shared" si="0"/>
        <v>173.20000000000002</v>
      </c>
      <c r="U5" s="33">
        <f t="shared" si="0"/>
        <v>147.1</v>
      </c>
      <c r="V5" s="33">
        <f t="shared" si="0"/>
        <v>161.39999999999998</v>
      </c>
      <c r="W5" s="33">
        <f t="shared" si="0"/>
        <v>144.20000000000002</v>
      </c>
      <c r="X5" s="33">
        <f t="shared" si="0"/>
        <v>146.5</v>
      </c>
      <c r="Y5" s="33">
        <f t="shared" si="0"/>
        <v>142.4</v>
      </c>
      <c r="Z5" s="33">
        <f t="shared" si="0"/>
        <v>142.4</v>
      </c>
      <c r="AA5" s="33">
        <f t="shared" si="0"/>
        <v>147.69999999999999</v>
      </c>
      <c r="AB5" s="33">
        <f t="shared" si="0"/>
        <v>90.4</v>
      </c>
      <c r="AC5" s="33">
        <f t="shared" si="0"/>
        <v>92.6</v>
      </c>
      <c r="AD5" s="33">
        <f t="shared" si="0"/>
        <v>83.9</v>
      </c>
      <c r="AE5" s="33">
        <f t="shared" si="0"/>
        <v>60.300000000000004</v>
      </c>
      <c r="AF5" s="33">
        <f>B82</f>
        <v>401.2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1086MW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Load=801</v>
      </c>
      <c r="B7" s="38">
        <f t="shared" ref="B7:AF7" si="1">B89</f>
        <v>977.04</v>
      </c>
      <c r="C7" s="38">
        <f t="shared" si="1"/>
        <v>800.54</v>
      </c>
      <c r="D7" s="38">
        <f t="shared" si="1"/>
        <v>846.93999999999994</v>
      </c>
      <c r="E7" s="38">
        <f t="shared" si="1"/>
        <v>814.04</v>
      </c>
      <c r="F7" s="38">
        <f t="shared" si="1"/>
        <v>819.94</v>
      </c>
      <c r="G7" s="38">
        <f t="shared" si="1"/>
        <v>852.24</v>
      </c>
      <c r="H7" s="38">
        <f t="shared" si="1"/>
        <v>851.74000000000012</v>
      </c>
      <c r="I7" s="38">
        <f t="shared" si="1"/>
        <v>839.24</v>
      </c>
      <c r="J7" s="38">
        <f t="shared" si="1"/>
        <v>897.84000000000015</v>
      </c>
      <c r="K7" s="38">
        <f t="shared" si="1"/>
        <v>993.24</v>
      </c>
      <c r="L7" s="38">
        <f t="shared" si="1"/>
        <v>1059.74</v>
      </c>
      <c r="M7" s="38">
        <f t="shared" si="1"/>
        <v>1064.6399999999999</v>
      </c>
      <c r="N7" s="38">
        <f>N89</f>
        <v>1085.8400000000001</v>
      </c>
      <c r="O7" s="38">
        <f t="shared" si="1"/>
        <v>1062.44</v>
      </c>
      <c r="P7" s="38">
        <f t="shared" si="1"/>
        <v>1094.8400000000001</v>
      </c>
      <c r="Q7" s="38">
        <f t="shared" si="1"/>
        <v>1096.94</v>
      </c>
      <c r="R7" s="38">
        <f t="shared" si="1"/>
        <v>1096.94</v>
      </c>
      <c r="S7" s="38">
        <f t="shared" si="1"/>
        <v>1085.6400000000001</v>
      </c>
      <c r="T7" s="38">
        <f t="shared" si="1"/>
        <v>1077.8399999999999</v>
      </c>
      <c r="U7" s="38">
        <f t="shared" si="1"/>
        <v>1072.94</v>
      </c>
      <c r="V7" s="38">
        <f t="shared" si="1"/>
        <v>990.04</v>
      </c>
      <c r="W7" s="38">
        <f t="shared" si="1"/>
        <v>917.54</v>
      </c>
      <c r="X7" s="38">
        <f t="shared" si="1"/>
        <v>1032.1399999999999</v>
      </c>
      <c r="Y7" s="38">
        <f t="shared" si="1"/>
        <v>1122.6399999999999</v>
      </c>
      <c r="Z7" s="38">
        <f t="shared" si="1"/>
        <v>1248.74</v>
      </c>
      <c r="AA7" s="38">
        <f t="shared" si="1"/>
        <v>1130.54</v>
      </c>
      <c r="AB7" s="38">
        <f t="shared" si="1"/>
        <v>1133.24</v>
      </c>
      <c r="AC7" s="38">
        <f t="shared" si="1"/>
        <v>1040.44</v>
      </c>
      <c r="AD7" s="38">
        <f t="shared" si="1"/>
        <v>1045.94</v>
      </c>
      <c r="AE7" s="38">
        <f t="shared" si="1"/>
        <v>939.84</v>
      </c>
      <c r="AF7" s="38">
        <f t="shared" si="1"/>
        <v>846.04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29</v>
      </c>
      <c r="C11" s="50">
        <v>26</v>
      </c>
      <c r="D11" s="50">
        <v>26</v>
      </c>
      <c r="E11" s="50">
        <v>26</v>
      </c>
      <c r="F11" s="50">
        <v>26</v>
      </c>
      <c r="G11" s="50">
        <v>26</v>
      </c>
      <c r="H11" s="50">
        <v>30</v>
      </c>
      <c r="I11" s="50">
        <v>30</v>
      </c>
      <c r="J11" s="50">
        <v>30</v>
      </c>
      <c r="K11" s="50">
        <v>30</v>
      </c>
      <c r="L11" s="50">
        <v>30</v>
      </c>
      <c r="M11" s="50">
        <v>30</v>
      </c>
      <c r="N11" s="50">
        <v>30</v>
      </c>
      <c r="O11" s="50">
        <v>30</v>
      </c>
      <c r="P11" s="50">
        <v>30</v>
      </c>
      <c r="Q11" s="50">
        <v>30</v>
      </c>
      <c r="R11" s="50">
        <v>30</v>
      </c>
      <c r="S11" s="50">
        <v>30</v>
      </c>
      <c r="T11" s="50">
        <v>30</v>
      </c>
      <c r="U11" s="50">
        <v>30</v>
      </c>
      <c r="V11" s="50">
        <v>30</v>
      </c>
      <c r="W11" s="50">
        <v>30</v>
      </c>
      <c r="X11" s="50">
        <v>30</v>
      </c>
      <c r="Y11" s="50">
        <v>30</v>
      </c>
      <c r="Z11" s="50">
        <v>30</v>
      </c>
      <c r="AA11" s="50">
        <v>30</v>
      </c>
      <c r="AB11" s="50">
        <v>42</v>
      </c>
      <c r="AC11" s="50">
        <v>42</v>
      </c>
      <c r="AD11" s="50">
        <v>42</v>
      </c>
      <c r="AE11" s="50">
        <v>42</v>
      </c>
      <c r="AF11" s="50">
        <v>42</v>
      </c>
      <c r="AG11" s="51">
        <v>86</v>
      </c>
      <c r="AH11" s="52">
        <f t="shared" ref="AH11:AH74" si="2">MAX(B11:AF11)</f>
        <v>42</v>
      </c>
      <c r="AI11" s="53">
        <f t="shared" ref="AI11:AI74" si="3">MIN(B11:AF11)</f>
        <v>26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25.6</v>
      </c>
      <c r="C12" s="50">
        <v>26.1</v>
      </c>
      <c r="D12" s="50">
        <v>22</v>
      </c>
      <c r="E12" s="50">
        <v>22</v>
      </c>
      <c r="F12" s="50">
        <v>22</v>
      </c>
      <c r="G12" s="50">
        <v>22</v>
      </c>
      <c r="H12" s="50">
        <v>18</v>
      </c>
      <c r="I12" s="50">
        <v>18</v>
      </c>
      <c r="J12" s="50">
        <v>18</v>
      </c>
      <c r="K12" s="50">
        <v>18</v>
      </c>
      <c r="L12" s="50">
        <v>18</v>
      </c>
      <c r="M12" s="50">
        <v>18</v>
      </c>
      <c r="N12" s="50">
        <v>18</v>
      </c>
      <c r="O12" s="50">
        <v>18</v>
      </c>
      <c r="P12" s="50">
        <v>18</v>
      </c>
      <c r="Q12" s="50">
        <v>18</v>
      </c>
      <c r="R12" s="50">
        <v>18</v>
      </c>
      <c r="S12" s="50">
        <v>18</v>
      </c>
      <c r="T12" s="50">
        <v>25.7</v>
      </c>
      <c r="U12" s="50">
        <v>25.7</v>
      </c>
      <c r="V12" s="50">
        <v>25.7</v>
      </c>
      <c r="W12" s="50">
        <v>24.3</v>
      </c>
      <c r="X12" s="50">
        <v>24.3</v>
      </c>
      <c r="Y12" s="50">
        <v>24.3</v>
      </c>
      <c r="Z12" s="50">
        <v>25</v>
      </c>
      <c r="AA12" s="50">
        <v>25</v>
      </c>
      <c r="AB12" s="50">
        <v>35.5</v>
      </c>
      <c r="AC12" s="50">
        <v>35.5</v>
      </c>
      <c r="AD12" s="50">
        <v>35.5</v>
      </c>
      <c r="AE12" s="50">
        <v>35.5</v>
      </c>
      <c r="AF12" s="50">
        <v>35.5</v>
      </c>
      <c r="AG12" s="51">
        <v>52.4</v>
      </c>
      <c r="AH12" s="52">
        <f t="shared" si="2"/>
        <v>35.5</v>
      </c>
      <c r="AI12" s="53">
        <f t="shared" si="3"/>
        <v>18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36.200000000000003</v>
      </c>
      <c r="C13" s="50">
        <v>31.4</v>
      </c>
      <c r="D13" s="50">
        <v>31.6</v>
      </c>
      <c r="E13" s="50">
        <v>31.6</v>
      </c>
      <c r="F13" s="50">
        <v>31.6</v>
      </c>
      <c r="G13" s="50">
        <v>31.6</v>
      </c>
      <c r="H13" s="50">
        <v>28.6</v>
      </c>
      <c r="I13" s="50">
        <v>28.6</v>
      </c>
      <c r="J13" s="50">
        <v>28.6</v>
      </c>
      <c r="K13" s="50">
        <v>28.6</v>
      </c>
      <c r="L13" s="50">
        <v>28.6</v>
      </c>
      <c r="M13" s="50">
        <v>28.6</v>
      </c>
      <c r="N13" s="50">
        <v>28.6</v>
      </c>
      <c r="O13" s="50">
        <v>28.6</v>
      </c>
      <c r="P13" s="50">
        <v>28.6</v>
      </c>
      <c r="Q13" s="50">
        <v>28.6</v>
      </c>
      <c r="R13" s="50">
        <v>28.6</v>
      </c>
      <c r="S13" s="50">
        <v>28.6</v>
      </c>
      <c r="T13" s="50">
        <v>30</v>
      </c>
      <c r="U13" s="50">
        <v>30</v>
      </c>
      <c r="V13" s="50">
        <v>30</v>
      </c>
      <c r="W13" s="50">
        <v>32</v>
      </c>
      <c r="X13" s="50">
        <v>37</v>
      </c>
      <c r="Y13" s="50">
        <v>37</v>
      </c>
      <c r="Z13" s="50">
        <v>37</v>
      </c>
      <c r="AA13" s="50">
        <v>37</v>
      </c>
      <c r="AB13" s="50">
        <v>37</v>
      </c>
      <c r="AC13" s="50">
        <v>37</v>
      </c>
      <c r="AD13" s="50">
        <v>37</v>
      </c>
      <c r="AE13" s="50">
        <v>37</v>
      </c>
      <c r="AF13" s="50">
        <v>37</v>
      </c>
      <c r="AG13" s="55">
        <v>50</v>
      </c>
      <c r="AH13" s="52">
        <f t="shared" si="2"/>
        <v>37</v>
      </c>
      <c r="AI13" s="53">
        <f t="shared" si="3"/>
        <v>28.6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19.3</v>
      </c>
      <c r="C14" s="50">
        <v>18.600000000000001</v>
      </c>
      <c r="D14" s="50">
        <v>19.100000000000001</v>
      </c>
      <c r="E14" s="50">
        <v>19.100000000000001</v>
      </c>
      <c r="F14" s="50">
        <v>19.100000000000001</v>
      </c>
      <c r="G14" s="50">
        <v>19.100000000000001</v>
      </c>
      <c r="H14" s="50">
        <v>17.5</v>
      </c>
      <c r="I14" s="50">
        <v>17.5</v>
      </c>
      <c r="J14" s="50">
        <v>17.5</v>
      </c>
      <c r="K14" s="50">
        <v>17.5</v>
      </c>
      <c r="L14" s="50">
        <v>17.5</v>
      </c>
      <c r="M14" s="50">
        <v>17.5</v>
      </c>
      <c r="N14" s="50">
        <v>17.5</v>
      </c>
      <c r="O14" s="50">
        <v>17.5</v>
      </c>
      <c r="P14" s="50">
        <v>17.5</v>
      </c>
      <c r="Q14" s="50">
        <v>17.5</v>
      </c>
      <c r="R14" s="50">
        <v>17.5</v>
      </c>
      <c r="S14" s="50">
        <v>17.5</v>
      </c>
      <c r="T14" s="50">
        <v>15.6</v>
      </c>
      <c r="U14" s="50">
        <v>15.6</v>
      </c>
      <c r="V14" s="50">
        <v>15.6</v>
      </c>
      <c r="W14" s="50">
        <v>19.100000000000001</v>
      </c>
      <c r="X14" s="50">
        <v>19.100000000000001</v>
      </c>
      <c r="Y14" s="50">
        <v>19.100000000000001</v>
      </c>
      <c r="Z14" s="50">
        <v>19.100000000000001</v>
      </c>
      <c r="AA14" s="50">
        <v>19.100000000000001</v>
      </c>
      <c r="AB14" s="50">
        <v>19.100000000000001</v>
      </c>
      <c r="AC14" s="50">
        <v>19.100000000000001</v>
      </c>
      <c r="AD14" s="50">
        <v>19.100000000000001</v>
      </c>
      <c r="AE14" s="50">
        <v>19.100000000000001</v>
      </c>
      <c r="AF14" s="50">
        <v>19.100000000000001</v>
      </c>
      <c r="AG14" s="55">
        <v>45</v>
      </c>
      <c r="AH14" s="52">
        <f t="shared" si="2"/>
        <v>19.3</v>
      </c>
      <c r="AI14" s="53">
        <f t="shared" si="3"/>
        <v>15.6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11.6</v>
      </c>
      <c r="C18" s="50">
        <v>10.8</v>
      </c>
      <c r="D18" s="50">
        <v>10.9</v>
      </c>
      <c r="E18" s="50">
        <v>10.9</v>
      </c>
      <c r="F18" s="50">
        <v>10.9</v>
      </c>
      <c r="G18" s="50">
        <v>10.9</v>
      </c>
      <c r="H18" s="50">
        <v>8.5</v>
      </c>
      <c r="I18" s="50">
        <v>8.5</v>
      </c>
      <c r="J18" s="50">
        <v>8.5</v>
      </c>
      <c r="K18" s="50">
        <v>8.5</v>
      </c>
      <c r="L18" s="50">
        <v>8.5</v>
      </c>
      <c r="M18" s="50">
        <v>8.5</v>
      </c>
      <c r="N18" s="50">
        <v>8.5</v>
      </c>
      <c r="O18" s="50">
        <v>8.5</v>
      </c>
      <c r="P18" s="50">
        <v>8.5</v>
      </c>
      <c r="Q18" s="50">
        <v>8.5</v>
      </c>
      <c r="R18" s="50">
        <v>8.5</v>
      </c>
      <c r="S18" s="50">
        <v>8.5</v>
      </c>
      <c r="T18" s="50">
        <v>8.5</v>
      </c>
      <c r="U18" s="50">
        <v>8.5</v>
      </c>
      <c r="V18" s="50">
        <v>8.5</v>
      </c>
      <c r="W18" s="50">
        <v>8.5</v>
      </c>
      <c r="X18" s="50">
        <v>8.5</v>
      </c>
      <c r="Y18" s="50">
        <v>8.5</v>
      </c>
      <c r="Z18" s="50">
        <v>8.5</v>
      </c>
      <c r="AA18" s="50">
        <v>8.5</v>
      </c>
      <c r="AB18" s="50">
        <v>8.5</v>
      </c>
      <c r="AC18" s="50">
        <v>8.5</v>
      </c>
      <c r="AD18" s="50">
        <v>8.5</v>
      </c>
      <c r="AE18" s="50">
        <v>8.5</v>
      </c>
      <c r="AF18" s="50">
        <v>8.5</v>
      </c>
      <c r="AG18" s="56">
        <v>30</v>
      </c>
      <c r="AH18" s="52">
        <f t="shared" si="2"/>
        <v>11.6</v>
      </c>
      <c r="AI18" s="53">
        <f t="shared" si="3"/>
        <v>8.5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10.3</v>
      </c>
      <c r="C19" s="50">
        <v>10.3</v>
      </c>
      <c r="D19" s="50">
        <v>8.4</v>
      </c>
      <c r="E19" s="50">
        <v>8.4</v>
      </c>
      <c r="F19" s="50">
        <v>8.4</v>
      </c>
      <c r="G19" s="50">
        <v>8.4</v>
      </c>
      <c r="H19" s="50">
        <v>7.7</v>
      </c>
      <c r="I19" s="50">
        <v>7.7</v>
      </c>
      <c r="J19" s="50">
        <v>7.7</v>
      </c>
      <c r="K19" s="50">
        <v>7.7</v>
      </c>
      <c r="L19" s="50">
        <v>7.7</v>
      </c>
      <c r="M19" s="50">
        <v>7.7</v>
      </c>
      <c r="N19" s="50">
        <v>7.7</v>
      </c>
      <c r="O19" s="50">
        <v>7.7</v>
      </c>
      <c r="P19" s="50">
        <v>7.7</v>
      </c>
      <c r="Q19" s="50">
        <v>7.7</v>
      </c>
      <c r="R19" s="50">
        <v>7.7</v>
      </c>
      <c r="S19" s="50">
        <v>7.7</v>
      </c>
      <c r="T19" s="50">
        <v>7.7</v>
      </c>
      <c r="U19" s="50">
        <v>7.7</v>
      </c>
      <c r="V19" s="50">
        <v>7.7</v>
      </c>
      <c r="W19" s="50">
        <v>7.7</v>
      </c>
      <c r="X19" s="50">
        <v>7.7</v>
      </c>
      <c r="Y19" s="50">
        <v>7.7</v>
      </c>
      <c r="Z19" s="50">
        <v>7.7</v>
      </c>
      <c r="AA19" s="50">
        <v>7.7</v>
      </c>
      <c r="AB19" s="50">
        <v>7.7</v>
      </c>
      <c r="AC19" s="50">
        <v>7.7</v>
      </c>
      <c r="AD19" s="50">
        <v>7.7</v>
      </c>
      <c r="AE19" s="50">
        <v>7.7</v>
      </c>
      <c r="AF19" s="50">
        <v>7.7</v>
      </c>
      <c r="AG19" s="55">
        <v>24.2</v>
      </c>
      <c r="AH19" s="52">
        <f t="shared" si="2"/>
        <v>10.3</v>
      </c>
      <c r="AI19" s="53">
        <f t="shared" si="3"/>
        <v>7.7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12</v>
      </c>
      <c r="N20" s="50">
        <v>12</v>
      </c>
      <c r="O20" s="50">
        <v>12</v>
      </c>
      <c r="P20" s="50">
        <v>12</v>
      </c>
      <c r="Q20" s="50">
        <v>12</v>
      </c>
      <c r="R20" s="50">
        <v>12</v>
      </c>
      <c r="S20" s="50">
        <v>12</v>
      </c>
      <c r="T20" s="50">
        <v>12</v>
      </c>
      <c r="U20" s="50">
        <v>12</v>
      </c>
      <c r="V20" s="50">
        <v>12</v>
      </c>
      <c r="W20" s="50">
        <v>12</v>
      </c>
      <c r="X20" s="50">
        <v>12</v>
      </c>
      <c r="Y20" s="50">
        <v>12</v>
      </c>
      <c r="Z20" s="50">
        <v>12</v>
      </c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12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8</v>
      </c>
      <c r="C21" s="50">
        <v>8</v>
      </c>
      <c r="D21" s="50">
        <v>8</v>
      </c>
      <c r="E21" s="50">
        <v>8</v>
      </c>
      <c r="F21" s="50">
        <v>8</v>
      </c>
      <c r="G21" s="50">
        <v>8</v>
      </c>
      <c r="H21" s="50">
        <v>8</v>
      </c>
      <c r="I21" s="50">
        <v>8</v>
      </c>
      <c r="J21" s="50">
        <v>8</v>
      </c>
      <c r="K21" s="50">
        <v>8</v>
      </c>
      <c r="L21" s="50">
        <v>8</v>
      </c>
      <c r="M21" s="50">
        <v>8</v>
      </c>
      <c r="N21" s="50">
        <v>8</v>
      </c>
      <c r="O21" s="50">
        <v>8</v>
      </c>
      <c r="P21" s="50">
        <v>8</v>
      </c>
      <c r="Q21" s="50">
        <v>8</v>
      </c>
      <c r="R21" s="50">
        <v>8</v>
      </c>
      <c r="S21" s="50">
        <v>8</v>
      </c>
      <c r="T21" s="50">
        <v>8</v>
      </c>
      <c r="U21" s="50">
        <v>8</v>
      </c>
      <c r="V21" s="50">
        <v>8</v>
      </c>
      <c r="W21" s="50">
        <v>8</v>
      </c>
      <c r="X21" s="50">
        <v>8</v>
      </c>
      <c r="Y21" s="50">
        <v>8</v>
      </c>
      <c r="Z21" s="50">
        <v>8</v>
      </c>
      <c r="AA21" s="50">
        <v>8</v>
      </c>
      <c r="AB21" s="50">
        <v>8</v>
      </c>
      <c r="AC21" s="50">
        <v>8</v>
      </c>
      <c r="AD21" s="50">
        <v>8</v>
      </c>
      <c r="AE21" s="50">
        <v>8</v>
      </c>
      <c r="AF21" s="50">
        <v>8</v>
      </c>
      <c r="AG21" s="56">
        <v>30</v>
      </c>
      <c r="AH21" s="52">
        <f t="shared" si="2"/>
        <v>8</v>
      </c>
      <c r="AI21" s="53">
        <f t="shared" si="3"/>
        <v>8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13.2</v>
      </c>
      <c r="C22" s="50">
        <v>12</v>
      </c>
      <c r="D22" s="50">
        <v>12</v>
      </c>
      <c r="E22" s="50">
        <v>12</v>
      </c>
      <c r="F22" s="50">
        <v>12</v>
      </c>
      <c r="G22" s="50">
        <v>12</v>
      </c>
      <c r="H22" s="50">
        <v>11</v>
      </c>
      <c r="I22" s="50">
        <v>11</v>
      </c>
      <c r="J22" s="50">
        <v>11</v>
      </c>
      <c r="K22" s="50">
        <v>11</v>
      </c>
      <c r="L22" s="50">
        <v>11</v>
      </c>
      <c r="M22" s="50">
        <v>11</v>
      </c>
      <c r="N22" s="50">
        <v>11</v>
      </c>
      <c r="O22" s="50">
        <v>11</v>
      </c>
      <c r="P22" s="50">
        <v>11</v>
      </c>
      <c r="Q22" s="50">
        <v>11</v>
      </c>
      <c r="R22" s="50">
        <v>11</v>
      </c>
      <c r="S22" s="50">
        <v>11</v>
      </c>
      <c r="T22" s="50">
        <v>11</v>
      </c>
      <c r="U22" s="50">
        <v>11</v>
      </c>
      <c r="V22" s="50">
        <v>11</v>
      </c>
      <c r="W22" s="50">
        <v>11</v>
      </c>
      <c r="X22" s="50">
        <v>11</v>
      </c>
      <c r="Y22" s="50">
        <v>11</v>
      </c>
      <c r="Z22" s="50">
        <v>11</v>
      </c>
      <c r="AA22" s="50">
        <v>11</v>
      </c>
      <c r="AB22" s="50">
        <v>11</v>
      </c>
      <c r="AC22" s="50">
        <v>11</v>
      </c>
      <c r="AD22" s="50">
        <v>11</v>
      </c>
      <c r="AE22" s="50">
        <v>11</v>
      </c>
      <c r="AF22" s="50">
        <v>11</v>
      </c>
      <c r="AG22" s="55">
        <v>25</v>
      </c>
      <c r="AH22" s="52">
        <f t="shared" si="2"/>
        <v>13.2</v>
      </c>
      <c r="AI22" s="53">
        <f t="shared" si="3"/>
        <v>11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12.1</v>
      </c>
      <c r="C26" s="50">
        <v>10.4</v>
      </c>
      <c r="D26" s="50">
        <v>8.9</v>
      </c>
      <c r="E26" s="50">
        <v>8.9</v>
      </c>
      <c r="F26" s="50">
        <v>8.9</v>
      </c>
      <c r="G26" s="50">
        <v>8.9</v>
      </c>
      <c r="H26" s="50">
        <v>8.9</v>
      </c>
      <c r="I26" s="50">
        <v>8.9</v>
      </c>
      <c r="J26" s="50">
        <v>8.9</v>
      </c>
      <c r="K26" s="50">
        <v>8.9</v>
      </c>
      <c r="L26" s="50">
        <v>8.9</v>
      </c>
      <c r="M26" s="50">
        <v>8.9</v>
      </c>
      <c r="N26" s="50">
        <v>8.9</v>
      </c>
      <c r="O26" s="50">
        <v>8.9</v>
      </c>
      <c r="P26" s="50">
        <v>8.9</v>
      </c>
      <c r="Q26" s="50">
        <v>8.9</v>
      </c>
      <c r="R26" s="50">
        <v>8.9</v>
      </c>
      <c r="S26" s="50">
        <v>8.9</v>
      </c>
      <c r="T26" s="50">
        <v>8.9</v>
      </c>
      <c r="U26" s="50">
        <v>8.9</v>
      </c>
      <c r="V26" s="50">
        <v>8.9</v>
      </c>
      <c r="W26" s="50">
        <v>8.9</v>
      </c>
      <c r="X26" s="50">
        <v>8.9</v>
      </c>
      <c r="Y26" s="50">
        <v>8.9</v>
      </c>
      <c r="Z26" s="50">
        <v>8.9</v>
      </c>
      <c r="AA26" s="50">
        <v>8.9</v>
      </c>
      <c r="AB26" s="50">
        <v>8.9</v>
      </c>
      <c r="AC26" s="50">
        <v>8.9</v>
      </c>
      <c r="AD26" s="50">
        <v>8.9</v>
      </c>
      <c r="AE26" s="50">
        <v>8.9</v>
      </c>
      <c r="AF26" s="50">
        <v>8.9</v>
      </c>
      <c r="AG26" s="55">
        <v>23.5</v>
      </c>
      <c r="AH26" s="52">
        <f t="shared" si="2"/>
        <v>12.1</v>
      </c>
      <c r="AI26" s="53">
        <f t="shared" si="3"/>
        <v>8.9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15.9</v>
      </c>
      <c r="C30" s="50">
        <v>16.2</v>
      </c>
      <c r="D30" s="50">
        <v>16</v>
      </c>
      <c r="E30" s="50">
        <v>16</v>
      </c>
      <c r="F30" s="50">
        <v>16</v>
      </c>
      <c r="G30" s="50">
        <v>16</v>
      </c>
      <c r="H30" s="50">
        <v>14</v>
      </c>
      <c r="I30" s="50">
        <v>14</v>
      </c>
      <c r="J30" s="50">
        <v>14</v>
      </c>
      <c r="K30" s="50">
        <v>14</v>
      </c>
      <c r="L30" s="50">
        <v>14</v>
      </c>
      <c r="M30" s="50">
        <v>14</v>
      </c>
      <c r="N30" s="50">
        <v>14</v>
      </c>
      <c r="O30" s="50">
        <v>14</v>
      </c>
      <c r="P30" s="50">
        <v>14</v>
      </c>
      <c r="Q30" s="50">
        <v>14</v>
      </c>
      <c r="R30" s="50">
        <v>14</v>
      </c>
      <c r="S30" s="50">
        <v>14</v>
      </c>
      <c r="T30" s="50">
        <v>14</v>
      </c>
      <c r="U30" s="50">
        <v>14</v>
      </c>
      <c r="V30" s="50">
        <v>14</v>
      </c>
      <c r="W30" s="50">
        <v>14</v>
      </c>
      <c r="X30" s="50">
        <v>14</v>
      </c>
      <c r="Y30" s="50">
        <v>14</v>
      </c>
      <c r="Z30" s="50">
        <v>14</v>
      </c>
      <c r="AA30" s="50">
        <v>14</v>
      </c>
      <c r="AB30" s="50">
        <v>14</v>
      </c>
      <c r="AC30" s="50">
        <v>14</v>
      </c>
      <c r="AD30" s="50">
        <v>14</v>
      </c>
      <c r="AE30" s="50">
        <v>14</v>
      </c>
      <c r="AF30" s="50">
        <v>14</v>
      </c>
      <c r="AG30" s="55">
        <v>22</v>
      </c>
      <c r="AH30" s="52">
        <f t="shared" si="2"/>
        <v>16.2</v>
      </c>
      <c r="AI30" s="53">
        <f t="shared" si="3"/>
        <v>14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10</v>
      </c>
      <c r="C38" s="50">
        <v>10</v>
      </c>
      <c r="D38" s="50">
        <v>10</v>
      </c>
      <c r="E38" s="50">
        <v>10</v>
      </c>
      <c r="F38" s="50">
        <v>10</v>
      </c>
      <c r="G38" s="50">
        <v>10</v>
      </c>
      <c r="H38" s="50">
        <v>10</v>
      </c>
      <c r="I38" s="50">
        <v>10</v>
      </c>
      <c r="J38" s="50">
        <v>10</v>
      </c>
      <c r="K38" s="50">
        <v>10</v>
      </c>
      <c r="L38" s="50">
        <v>10</v>
      </c>
      <c r="M38" s="50">
        <v>10</v>
      </c>
      <c r="N38" s="50">
        <v>10</v>
      </c>
      <c r="O38" s="50">
        <v>10</v>
      </c>
      <c r="P38" s="50">
        <v>10</v>
      </c>
      <c r="Q38" s="50">
        <v>10</v>
      </c>
      <c r="R38" s="50">
        <v>10</v>
      </c>
      <c r="S38" s="50">
        <v>10</v>
      </c>
      <c r="T38" s="50">
        <v>10</v>
      </c>
      <c r="U38" s="50">
        <v>10</v>
      </c>
      <c r="V38" s="50">
        <v>10</v>
      </c>
      <c r="W38" s="50">
        <v>10</v>
      </c>
      <c r="X38" s="50">
        <v>10</v>
      </c>
      <c r="Y38" s="50">
        <v>10</v>
      </c>
      <c r="Z38" s="50">
        <v>10</v>
      </c>
      <c r="AA38" s="50">
        <v>10</v>
      </c>
      <c r="AB38" s="50">
        <v>10</v>
      </c>
      <c r="AC38" s="50">
        <v>10</v>
      </c>
      <c r="AD38" s="50">
        <v>10</v>
      </c>
      <c r="AE38" s="50">
        <v>10</v>
      </c>
      <c r="AF38" s="50">
        <v>10</v>
      </c>
      <c r="AG38" s="55">
        <v>12</v>
      </c>
      <c r="AH38" s="52">
        <f t="shared" si="2"/>
        <v>10</v>
      </c>
      <c r="AI38" s="53">
        <f t="shared" si="3"/>
        <v>10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2.2999999999999998</v>
      </c>
      <c r="C41" s="50">
        <v>2.2999999999999998</v>
      </c>
      <c r="D41" s="50">
        <v>2.2999999999999998</v>
      </c>
      <c r="E41" s="50">
        <v>2.2999999999999998</v>
      </c>
      <c r="F41" s="50">
        <v>2.2999999999999998</v>
      </c>
      <c r="G41" s="50">
        <v>2.2999999999999998</v>
      </c>
      <c r="H41" s="50">
        <v>2.2999999999999998</v>
      </c>
      <c r="I41" s="50">
        <v>2.2999999999999998</v>
      </c>
      <c r="J41" s="50">
        <v>2.2999999999999998</v>
      </c>
      <c r="K41" s="50">
        <v>2.2999999999999998</v>
      </c>
      <c r="L41" s="50">
        <v>2.2999999999999998</v>
      </c>
      <c r="M41" s="50">
        <v>2.2999999999999998</v>
      </c>
      <c r="N41" s="50">
        <v>2.2999999999999998</v>
      </c>
      <c r="O41" s="50">
        <v>2.2999999999999998</v>
      </c>
      <c r="P41" s="50">
        <v>2.2999999999999998</v>
      </c>
      <c r="Q41" s="50">
        <v>2.2999999999999998</v>
      </c>
      <c r="R41" s="50">
        <v>2.2999999999999998</v>
      </c>
      <c r="S41" s="50">
        <v>2.2999999999999998</v>
      </c>
      <c r="T41" s="50">
        <v>2.2999999999999998</v>
      </c>
      <c r="U41" s="50">
        <v>2.2999999999999998</v>
      </c>
      <c r="V41" s="50">
        <v>2.2999999999999998</v>
      </c>
      <c r="W41" s="50">
        <v>2.2999999999999998</v>
      </c>
      <c r="X41" s="50">
        <v>2.2999999999999998</v>
      </c>
      <c r="Y41" s="50">
        <v>2.2999999999999998</v>
      </c>
      <c r="Z41" s="50">
        <v>2.2999999999999998</v>
      </c>
      <c r="AA41" s="50">
        <v>2.2999999999999998</v>
      </c>
      <c r="AB41" s="50">
        <v>2.2999999999999998</v>
      </c>
      <c r="AC41" s="50">
        <v>2.2999999999999998</v>
      </c>
      <c r="AD41" s="50">
        <v>2.2999999999999998</v>
      </c>
      <c r="AE41" s="50">
        <v>2.2999999999999998</v>
      </c>
      <c r="AF41" s="50">
        <v>2.2999999999999998</v>
      </c>
      <c r="AG41" s="56">
        <v>11.88</v>
      </c>
      <c r="AH41" s="52">
        <f t="shared" si="2"/>
        <v>2.2999999999999998</v>
      </c>
      <c r="AI41" s="53">
        <f t="shared" si="3"/>
        <v>2.2999999999999998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" si="4">SUM(B12:B46)</f>
        <v>402</v>
      </c>
      <c r="C48" s="67">
        <f t="shared" ref="C48:AG48" si="5">SUM(C12:C46)</f>
        <v>393.59999999999997</v>
      </c>
      <c r="D48" s="67">
        <f t="shared" si="5"/>
        <v>386.7</v>
      </c>
      <c r="E48" s="67">
        <f t="shared" si="5"/>
        <v>386.7</v>
      </c>
      <c r="F48" s="67">
        <f t="shared" si="5"/>
        <v>386.7</v>
      </c>
      <c r="G48" s="67">
        <f t="shared" si="5"/>
        <v>386.7</v>
      </c>
      <c r="H48" s="67">
        <f t="shared" si="5"/>
        <v>372.00000000000006</v>
      </c>
      <c r="I48" s="67">
        <f t="shared" si="5"/>
        <v>372.00000000000006</v>
      </c>
      <c r="J48" s="67">
        <f t="shared" si="5"/>
        <v>372.00000000000006</v>
      </c>
      <c r="K48" s="67">
        <f t="shared" si="5"/>
        <v>372.00000000000006</v>
      </c>
      <c r="L48" s="67">
        <f t="shared" si="5"/>
        <v>372.00000000000006</v>
      </c>
      <c r="M48" s="67">
        <f t="shared" si="5"/>
        <v>372.00000000000006</v>
      </c>
      <c r="N48" s="67">
        <f t="shared" si="5"/>
        <v>372.00000000000006</v>
      </c>
      <c r="O48" s="67">
        <f t="shared" si="5"/>
        <v>372.00000000000006</v>
      </c>
      <c r="P48" s="67">
        <f t="shared" si="5"/>
        <v>372.00000000000006</v>
      </c>
      <c r="Q48" s="67">
        <f t="shared" si="5"/>
        <v>372.00000000000006</v>
      </c>
      <c r="R48" s="67">
        <f t="shared" si="5"/>
        <v>372.00000000000006</v>
      </c>
      <c r="S48" s="67">
        <f t="shared" si="5"/>
        <v>372.00000000000006</v>
      </c>
      <c r="T48" s="67">
        <f t="shared" si="5"/>
        <v>379.2</v>
      </c>
      <c r="U48" s="67">
        <f t="shared" si="5"/>
        <v>379.2</v>
      </c>
      <c r="V48" s="67">
        <f t="shared" si="5"/>
        <v>379.2</v>
      </c>
      <c r="W48" s="67">
        <f t="shared" si="5"/>
        <v>383.3</v>
      </c>
      <c r="X48" s="67">
        <f t="shared" si="5"/>
        <v>388.3</v>
      </c>
      <c r="Y48" s="67">
        <f t="shared" si="5"/>
        <v>388.3</v>
      </c>
      <c r="Z48" s="67">
        <f t="shared" si="5"/>
        <v>389.00000000000006</v>
      </c>
      <c r="AA48" s="67">
        <f t="shared" si="5"/>
        <v>389.00000000000006</v>
      </c>
      <c r="AB48" s="67">
        <f t="shared" si="5"/>
        <v>399.5</v>
      </c>
      <c r="AC48" s="67">
        <f t="shared" si="5"/>
        <v>399.5</v>
      </c>
      <c r="AD48" s="67">
        <f t="shared" si="5"/>
        <v>399.5</v>
      </c>
      <c r="AE48" s="67">
        <f t="shared" si="5"/>
        <v>399.5</v>
      </c>
      <c r="AF48" s="67">
        <f t="shared" si="5"/>
        <v>399.5</v>
      </c>
      <c r="AG48" s="68">
        <f t="shared" si="5"/>
        <v>875.68</v>
      </c>
      <c r="AH48" s="52">
        <f t="shared" si="2"/>
        <v>402</v>
      </c>
      <c r="AI48" s="53">
        <f t="shared" si="3"/>
        <v>372.00000000000006</v>
      </c>
      <c r="AK48" s="54"/>
    </row>
    <row r="49" spans="1:41" x14ac:dyDescent="0.25">
      <c r="A49" s="69" t="s">
        <v>53</v>
      </c>
      <c r="B49" s="50">
        <v>0</v>
      </c>
      <c r="C49" s="50">
        <v>110</v>
      </c>
      <c r="D49" s="50">
        <v>140</v>
      </c>
      <c r="E49" s="50">
        <v>100</v>
      </c>
      <c r="F49" s="50">
        <v>110</v>
      </c>
      <c r="G49" s="50">
        <v>100</v>
      </c>
      <c r="H49" s="50">
        <v>100</v>
      </c>
      <c r="I49" s="50">
        <v>80</v>
      </c>
      <c r="J49" s="50">
        <v>80</v>
      </c>
      <c r="K49" s="50">
        <v>50</v>
      </c>
      <c r="L49" s="50">
        <v>50</v>
      </c>
      <c r="M49" s="70">
        <v>50</v>
      </c>
      <c r="N49" s="70">
        <v>60</v>
      </c>
      <c r="O49" s="70">
        <v>60</v>
      </c>
      <c r="P49" s="50">
        <v>120</v>
      </c>
      <c r="Q49" s="50">
        <v>150</v>
      </c>
      <c r="R49" s="50">
        <v>150</v>
      </c>
      <c r="S49" s="50">
        <v>140</v>
      </c>
      <c r="T49" s="50">
        <v>150</v>
      </c>
      <c r="U49" s="50">
        <v>180</v>
      </c>
      <c r="V49" s="50">
        <v>150</v>
      </c>
      <c r="W49" s="50">
        <v>70</v>
      </c>
      <c r="X49" s="50">
        <v>70</v>
      </c>
      <c r="Y49" s="50">
        <v>100</v>
      </c>
      <c r="Z49" s="50">
        <v>160</v>
      </c>
      <c r="AA49" s="50">
        <v>160</v>
      </c>
      <c r="AB49" s="50">
        <v>150</v>
      </c>
      <c r="AC49" s="50">
        <v>220</v>
      </c>
      <c r="AD49" s="50">
        <v>228</v>
      </c>
      <c r="AE49" s="50">
        <v>180</v>
      </c>
      <c r="AF49" s="50">
        <v>160</v>
      </c>
      <c r="AG49" s="56">
        <v>456</v>
      </c>
      <c r="AH49" s="52">
        <f t="shared" si="2"/>
        <v>228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48</v>
      </c>
      <c r="C50" s="72">
        <v>48</v>
      </c>
      <c r="D50" s="72">
        <v>44</v>
      </c>
      <c r="E50" s="72">
        <v>44</v>
      </c>
      <c r="F50" s="72">
        <v>44</v>
      </c>
      <c r="G50" s="72">
        <v>44</v>
      </c>
      <c r="H50" s="72">
        <v>44</v>
      </c>
      <c r="I50" s="72">
        <v>44</v>
      </c>
      <c r="J50" s="72">
        <v>44</v>
      </c>
      <c r="K50" s="72">
        <v>44</v>
      </c>
      <c r="L50" s="72">
        <v>44</v>
      </c>
      <c r="M50" s="72">
        <v>44</v>
      </c>
      <c r="N50" s="72">
        <v>44</v>
      </c>
      <c r="O50" s="72">
        <v>44</v>
      </c>
      <c r="P50" s="72">
        <v>44</v>
      </c>
      <c r="Q50" s="72">
        <v>44</v>
      </c>
      <c r="R50" s="72">
        <v>44</v>
      </c>
      <c r="S50" s="72">
        <v>44</v>
      </c>
      <c r="T50" s="72">
        <v>44</v>
      </c>
      <c r="U50" s="72">
        <v>44</v>
      </c>
      <c r="V50" s="72">
        <v>60</v>
      </c>
      <c r="W50" s="72">
        <v>48</v>
      </c>
      <c r="X50" s="72">
        <v>48</v>
      </c>
      <c r="Y50" s="72">
        <v>48</v>
      </c>
      <c r="Z50" s="72">
        <v>48</v>
      </c>
      <c r="AA50" s="72">
        <v>48</v>
      </c>
      <c r="AB50" s="72">
        <v>48</v>
      </c>
      <c r="AC50" s="72">
        <v>48</v>
      </c>
      <c r="AD50" s="72">
        <v>48</v>
      </c>
      <c r="AE50" s="72">
        <v>48</v>
      </c>
      <c r="AF50" s="72">
        <v>48</v>
      </c>
      <c r="AG50" s="61">
        <v>60</v>
      </c>
      <c r="AH50" s="52">
        <f t="shared" si="2"/>
        <v>60</v>
      </c>
      <c r="AI50" s="53">
        <f t="shared" si="3"/>
        <v>44</v>
      </c>
      <c r="AK50" s="54"/>
    </row>
    <row r="51" spans="1:41" ht="15.75" thickBot="1" x14ac:dyDescent="0.3">
      <c r="A51" s="73" t="s">
        <v>55</v>
      </c>
      <c r="B51" s="74">
        <v>11.2</v>
      </c>
      <c r="C51" s="74">
        <v>11.2</v>
      </c>
      <c r="D51" s="74">
        <v>11.2</v>
      </c>
      <c r="E51" s="74">
        <v>11.2</v>
      </c>
      <c r="F51" s="74">
        <v>11.2</v>
      </c>
      <c r="G51" s="74">
        <v>11.2</v>
      </c>
      <c r="H51" s="74">
        <v>11.2</v>
      </c>
      <c r="I51" s="74">
        <v>11.2</v>
      </c>
      <c r="J51" s="74">
        <v>11.2</v>
      </c>
      <c r="K51" s="74">
        <v>11.2</v>
      </c>
      <c r="L51" s="74">
        <v>11.2</v>
      </c>
      <c r="M51" s="74">
        <v>11.2</v>
      </c>
      <c r="N51" s="74">
        <v>11.2</v>
      </c>
      <c r="O51" s="74">
        <v>11.2</v>
      </c>
      <c r="P51" s="74">
        <v>11.2</v>
      </c>
      <c r="Q51" s="74">
        <v>11.2</v>
      </c>
      <c r="R51" s="74">
        <v>11.2</v>
      </c>
      <c r="S51" s="74">
        <v>11.2</v>
      </c>
      <c r="T51" s="74">
        <v>9.6</v>
      </c>
      <c r="U51" s="74">
        <v>9.6</v>
      </c>
      <c r="V51" s="74">
        <v>10.1</v>
      </c>
      <c r="W51" s="74">
        <v>11</v>
      </c>
      <c r="X51" s="74">
        <v>11</v>
      </c>
      <c r="Y51" s="74">
        <v>11</v>
      </c>
      <c r="Z51" s="74">
        <v>11.2</v>
      </c>
      <c r="AA51" s="74">
        <v>11.2</v>
      </c>
      <c r="AB51" s="74">
        <v>11.2</v>
      </c>
      <c r="AC51" s="74">
        <v>11.2</v>
      </c>
      <c r="AD51" s="74">
        <v>11.2</v>
      </c>
      <c r="AE51" s="74">
        <v>11.2</v>
      </c>
      <c r="AF51" s="74">
        <v>11.2</v>
      </c>
      <c r="AG51" s="75">
        <v>22.1</v>
      </c>
      <c r="AH51" s="52">
        <f t="shared" si="2"/>
        <v>11.2</v>
      </c>
      <c r="AI51" s="53">
        <f t="shared" si="3"/>
        <v>9.6</v>
      </c>
      <c r="AK51" s="54"/>
    </row>
    <row r="52" spans="1:41" ht="15.75" thickBot="1" x14ac:dyDescent="0.3">
      <c r="A52" s="76" t="s">
        <v>56</v>
      </c>
      <c r="B52" s="67">
        <f t="shared" ref="B52" si="6">SUM(B49:B51)</f>
        <v>59.2</v>
      </c>
      <c r="C52" s="67">
        <f t="shared" ref="C52:AG52" si="7">SUM(C49:C51)</f>
        <v>169.2</v>
      </c>
      <c r="D52" s="67">
        <f t="shared" si="7"/>
        <v>195.2</v>
      </c>
      <c r="E52" s="67">
        <f t="shared" si="7"/>
        <v>155.19999999999999</v>
      </c>
      <c r="F52" s="67">
        <f t="shared" si="7"/>
        <v>165.2</v>
      </c>
      <c r="G52" s="67">
        <f t="shared" si="7"/>
        <v>155.19999999999999</v>
      </c>
      <c r="H52" s="67">
        <f t="shared" si="7"/>
        <v>155.19999999999999</v>
      </c>
      <c r="I52" s="67">
        <f t="shared" si="7"/>
        <v>135.19999999999999</v>
      </c>
      <c r="J52" s="67">
        <f t="shared" si="7"/>
        <v>135.19999999999999</v>
      </c>
      <c r="K52" s="67">
        <f t="shared" si="7"/>
        <v>105.2</v>
      </c>
      <c r="L52" s="67">
        <f t="shared" si="7"/>
        <v>105.2</v>
      </c>
      <c r="M52" s="67">
        <f t="shared" si="7"/>
        <v>105.2</v>
      </c>
      <c r="N52" s="67">
        <f t="shared" si="7"/>
        <v>115.2</v>
      </c>
      <c r="O52" s="67">
        <f t="shared" si="7"/>
        <v>115.2</v>
      </c>
      <c r="P52" s="67">
        <f t="shared" si="7"/>
        <v>175.2</v>
      </c>
      <c r="Q52" s="67">
        <f t="shared" si="7"/>
        <v>205.2</v>
      </c>
      <c r="R52" s="67">
        <f t="shared" si="7"/>
        <v>205.2</v>
      </c>
      <c r="S52" s="67">
        <f t="shared" si="7"/>
        <v>195.2</v>
      </c>
      <c r="T52" s="67">
        <f t="shared" si="7"/>
        <v>203.6</v>
      </c>
      <c r="U52" s="67">
        <f t="shared" si="7"/>
        <v>233.6</v>
      </c>
      <c r="V52" s="67">
        <f t="shared" si="7"/>
        <v>220.1</v>
      </c>
      <c r="W52" s="67">
        <f t="shared" si="7"/>
        <v>129</v>
      </c>
      <c r="X52" s="67">
        <f t="shared" si="7"/>
        <v>129</v>
      </c>
      <c r="Y52" s="67">
        <f t="shared" si="7"/>
        <v>159</v>
      </c>
      <c r="Z52" s="67">
        <f t="shared" si="7"/>
        <v>219.2</v>
      </c>
      <c r="AA52" s="67">
        <f t="shared" si="7"/>
        <v>219.2</v>
      </c>
      <c r="AB52" s="67">
        <f t="shared" si="7"/>
        <v>209.2</v>
      </c>
      <c r="AC52" s="67">
        <f t="shared" si="7"/>
        <v>279.2</v>
      </c>
      <c r="AD52" s="67">
        <f t="shared" si="7"/>
        <v>287.2</v>
      </c>
      <c r="AE52" s="67">
        <f t="shared" si="7"/>
        <v>239.2</v>
      </c>
      <c r="AF52" s="67">
        <f t="shared" si="7"/>
        <v>219.2</v>
      </c>
      <c r="AG52" s="68">
        <f t="shared" si="7"/>
        <v>538.1</v>
      </c>
      <c r="AH52" s="52">
        <f t="shared" si="2"/>
        <v>287.2</v>
      </c>
      <c r="AI52" s="53">
        <f t="shared" si="3"/>
        <v>59.2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28.2</v>
      </c>
      <c r="J53" s="50">
        <v>63.1</v>
      </c>
      <c r="K53" s="50">
        <v>61</v>
      </c>
      <c r="L53" s="50">
        <v>83.1</v>
      </c>
      <c r="M53" s="50">
        <v>97</v>
      </c>
      <c r="N53" s="50">
        <v>97</v>
      </c>
      <c r="O53" s="50">
        <v>97</v>
      </c>
      <c r="P53" s="50">
        <v>111.7</v>
      </c>
      <c r="Q53" s="50">
        <v>123.8</v>
      </c>
      <c r="R53" s="50">
        <v>123.8</v>
      </c>
      <c r="S53" s="50">
        <v>123.8</v>
      </c>
      <c r="T53" s="50">
        <v>138.69999999999999</v>
      </c>
      <c r="U53" s="50">
        <v>123.7</v>
      </c>
      <c r="V53" s="50">
        <v>88.6</v>
      </c>
      <c r="W53" s="50">
        <v>69.3</v>
      </c>
      <c r="X53" s="50">
        <v>69.900000000000006</v>
      </c>
      <c r="Y53" s="50">
        <v>79.3</v>
      </c>
      <c r="Z53" s="50">
        <v>132.4</v>
      </c>
      <c r="AA53" s="50">
        <v>132.4</v>
      </c>
      <c r="AB53" s="50">
        <v>73.7</v>
      </c>
      <c r="AC53" s="50">
        <v>70.8</v>
      </c>
      <c r="AD53" s="50">
        <v>70.8</v>
      </c>
      <c r="AE53" s="50">
        <v>63.3</v>
      </c>
      <c r="AF53" s="50">
        <v>28.8</v>
      </c>
      <c r="AG53" s="56">
        <v>144</v>
      </c>
      <c r="AH53" s="52">
        <f t="shared" si="2"/>
        <v>138.69999999999999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23</v>
      </c>
      <c r="C54" s="72">
        <v>24.7</v>
      </c>
      <c r="D54" s="72">
        <v>47.1</v>
      </c>
      <c r="E54" s="72">
        <v>49.9</v>
      </c>
      <c r="F54" s="72">
        <v>27.5</v>
      </c>
      <c r="G54" s="72">
        <v>27.5</v>
      </c>
      <c r="H54" s="72">
        <v>27.8</v>
      </c>
      <c r="I54" s="72">
        <v>27.8</v>
      </c>
      <c r="J54" s="72">
        <v>27.8</v>
      </c>
      <c r="K54" s="72">
        <v>27.8</v>
      </c>
      <c r="L54" s="72">
        <v>30.2</v>
      </c>
      <c r="M54" s="72">
        <v>29.9</v>
      </c>
      <c r="N54" s="72">
        <v>34</v>
      </c>
      <c r="O54" s="72">
        <v>34</v>
      </c>
      <c r="P54" s="72">
        <v>34.799999999999997</v>
      </c>
      <c r="Q54" s="72">
        <v>34.700000000000003</v>
      </c>
      <c r="R54" s="72">
        <v>34.700000000000003</v>
      </c>
      <c r="S54" s="72">
        <v>34.700000000000003</v>
      </c>
      <c r="T54" s="50">
        <v>34.799999999999997</v>
      </c>
      <c r="U54" s="50">
        <v>34.799999999999997</v>
      </c>
      <c r="V54" s="50">
        <v>34.799999999999997</v>
      </c>
      <c r="W54" s="50">
        <v>34.799999999999997</v>
      </c>
      <c r="X54" s="50">
        <v>34.799999999999997</v>
      </c>
      <c r="Y54" s="50">
        <v>35</v>
      </c>
      <c r="Z54" s="50">
        <v>54.3</v>
      </c>
      <c r="AA54" s="50">
        <v>54.3</v>
      </c>
      <c r="AB54" s="50">
        <v>45.2</v>
      </c>
      <c r="AC54" s="72">
        <v>35.1</v>
      </c>
      <c r="AD54" s="72">
        <v>35.1</v>
      </c>
      <c r="AE54" s="72">
        <v>34.799999999999997</v>
      </c>
      <c r="AF54" s="72">
        <v>34.799999999999997</v>
      </c>
      <c r="AG54" s="61">
        <v>70</v>
      </c>
      <c r="AH54" s="52">
        <f t="shared" si="2"/>
        <v>54.3</v>
      </c>
      <c r="AI54" s="53">
        <f t="shared" si="3"/>
        <v>23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22.5</v>
      </c>
      <c r="H55" s="72">
        <v>47</v>
      </c>
      <c r="I55" s="72">
        <v>46.9</v>
      </c>
      <c r="J55" s="72">
        <v>46.5</v>
      </c>
      <c r="K55" s="72">
        <v>40.700000000000003</v>
      </c>
      <c r="L55" s="72">
        <v>41</v>
      </c>
      <c r="M55" s="72">
        <v>55.3</v>
      </c>
      <c r="N55" s="72">
        <v>70</v>
      </c>
      <c r="O55" s="72">
        <v>70</v>
      </c>
      <c r="P55" s="72">
        <v>70</v>
      </c>
      <c r="Q55" s="72">
        <v>69.7</v>
      </c>
      <c r="R55" s="72">
        <v>69.7</v>
      </c>
      <c r="S55" s="72">
        <v>60</v>
      </c>
      <c r="T55" s="50">
        <v>69.8</v>
      </c>
      <c r="U55" s="50">
        <v>49.2</v>
      </c>
      <c r="V55" s="50">
        <v>35</v>
      </c>
      <c r="W55" s="50">
        <v>35</v>
      </c>
      <c r="X55" s="50">
        <v>35.5</v>
      </c>
      <c r="Y55" s="50">
        <v>59.4</v>
      </c>
      <c r="Z55" s="50">
        <v>67.900000000000006</v>
      </c>
      <c r="AA55" s="50">
        <v>67.900000000000006</v>
      </c>
      <c r="AB55" s="50">
        <v>67.900000000000006</v>
      </c>
      <c r="AC55" s="72">
        <v>64.099999999999994</v>
      </c>
      <c r="AD55" s="72">
        <v>64.099999999999994</v>
      </c>
      <c r="AE55" s="72">
        <v>32.5</v>
      </c>
      <c r="AF55" s="72">
        <v>16.8</v>
      </c>
      <c r="AG55" s="61">
        <v>69</v>
      </c>
      <c r="AH55" s="52">
        <f t="shared" si="2"/>
        <v>70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48.1</v>
      </c>
      <c r="C56" s="72">
        <v>44.1</v>
      </c>
      <c r="D56" s="72">
        <v>41.8</v>
      </c>
      <c r="E56" s="72">
        <v>41.8</v>
      </c>
      <c r="F56" s="72">
        <v>41.8</v>
      </c>
      <c r="G56" s="72">
        <v>41.8</v>
      </c>
      <c r="H56" s="63">
        <v>40.1</v>
      </c>
      <c r="I56" s="63">
        <v>36.9</v>
      </c>
      <c r="J56" s="63">
        <v>37.799999999999997</v>
      </c>
      <c r="K56" s="63">
        <v>37.799999999999997</v>
      </c>
      <c r="L56" s="63">
        <v>40.1</v>
      </c>
      <c r="M56" s="72">
        <v>40.1</v>
      </c>
      <c r="N56" s="72">
        <v>40.1</v>
      </c>
      <c r="O56" s="72">
        <v>40.1</v>
      </c>
      <c r="P56" s="72">
        <v>38.299999999999997</v>
      </c>
      <c r="Q56" s="72">
        <v>38.299999999999997</v>
      </c>
      <c r="R56" s="72">
        <v>38.299999999999997</v>
      </c>
      <c r="S56" s="72">
        <v>38.299999999999997</v>
      </c>
      <c r="T56" s="50">
        <v>36.299999999999997</v>
      </c>
      <c r="U56" s="50">
        <v>36.299999999999997</v>
      </c>
      <c r="V56" s="50">
        <v>42.3</v>
      </c>
      <c r="W56" s="50">
        <v>35.200000000000003</v>
      </c>
      <c r="X56" s="50">
        <v>42.1</v>
      </c>
      <c r="Y56" s="50">
        <v>42.1</v>
      </c>
      <c r="Z56" s="50">
        <v>42.1</v>
      </c>
      <c r="AA56" s="50">
        <v>42.1</v>
      </c>
      <c r="AB56" s="50">
        <v>42.1</v>
      </c>
      <c r="AC56" s="72">
        <v>43.1</v>
      </c>
      <c r="AD56" s="72">
        <v>43.1</v>
      </c>
      <c r="AE56" s="72">
        <v>48.1</v>
      </c>
      <c r="AF56" s="72">
        <v>48.1</v>
      </c>
      <c r="AG56" s="61">
        <v>60</v>
      </c>
      <c r="AH56" s="52">
        <f t="shared" si="2"/>
        <v>48.1</v>
      </c>
      <c r="AI56" s="53">
        <f t="shared" si="3"/>
        <v>35.200000000000003</v>
      </c>
      <c r="AK56" s="54"/>
    </row>
    <row r="57" spans="1:41" x14ac:dyDescent="0.25">
      <c r="A57" s="60" t="s">
        <v>61</v>
      </c>
      <c r="B57" s="72">
        <v>0</v>
      </c>
      <c r="C57" s="72">
        <v>9</v>
      </c>
      <c r="D57" s="72">
        <v>9</v>
      </c>
      <c r="E57" s="72">
        <v>9</v>
      </c>
      <c r="F57" s="72">
        <v>9</v>
      </c>
      <c r="G57" s="72">
        <v>9</v>
      </c>
      <c r="H57" s="63">
        <v>9.8000000000000007</v>
      </c>
      <c r="I57" s="63">
        <v>10.199999999999999</v>
      </c>
      <c r="J57" s="63">
        <v>10</v>
      </c>
      <c r="K57" s="63">
        <v>15</v>
      </c>
      <c r="L57" s="63">
        <v>15.1</v>
      </c>
      <c r="M57" s="63">
        <v>15.1</v>
      </c>
      <c r="N57" s="63">
        <v>15.1</v>
      </c>
      <c r="O57" s="63">
        <v>15.1</v>
      </c>
      <c r="P57" s="63">
        <v>15.1</v>
      </c>
      <c r="Q57" s="63">
        <v>15.1</v>
      </c>
      <c r="R57" s="63">
        <v>15.1</v>
      </c>
      <c r="S57" s="50">
        <v>0</v>
      </c>
      <c r="T57" s="50">
        <v>0</v>
      </c>
      <c r="U57" s="50">
        <v>0</v>
      </c>
      <c r="V57" s="50">
        <v>0</v>
      </c>
      <c r="W57" s="50">
        <v>10</v>
      </c>
      <c r="X57" s="50">
        <v>10.1</v>
      </c>
      <c r="Y57" s="50">
        <v>14.1</v>
      </c>
      <c r="Z57" s="50">
        <v>25</v>
      </c>
      <c r="AA57" s="50">
        <v>25</v>
      </c>
      <c r="AB57" s="50">
        <v>25</v>
      </c>
      <c r="AC57" s="72">
        <v>15</v>
      </c>
      <c r="AD57" s="72">
        <v>15</v>
      </c>
      <c r="AE57" s="72">
        <v>0</v>
      </c>
      <c r="AF57" s="72">
        <v>0</v>
      </c>
      <c r="AG57" s="61">
        <v>30</v>
      </c>
      <c r="AH57" s="52">
        <f t="shared" si="2"/>
        <v>25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14</v>
      </c>
      <c r="C59" s="72">
        <v>14</v>
      </c>
      <c r="D59" s="72">
        <v>14</v>
      </c>
      <c r="E59" s="72">
        <v>14</v>
      </c>
      <c r="F59" s="72">
        <v>14</v>
      </c>
      <c r="G59" s="72">
        <v>14</v>
      </c>
      <c r="H59" s="72">
        <v>14</v>
      </c>
      <c r="I59" s="72">
        <v>14</v>
      </c>
      <c r="J59" s="72">
        <v>14</v>
      </c>
      <c r="K59" s="72">
        <v>14</v>
      </c>
      <c r="L59" s="72">
        <v>14</v>
      </c>
      <c r="M59" s="72">
        <v>14</v>
      </c>
      <c r="N59" s="72">
        <v>14</v>
      </c>
      <c r="O59" s="72">
        <v>14</v>
      </c>
      <c r="P59" s="72">
        <v>14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15</v>
      </c>
      <c r="AA59" s="72">
        <v>14</v>
      </c>
      <c r="AB59" s="72">
        <v>14</v>
      </c>
      <c r="AC59" s="72">
        <v>14</v>
      </c>
      <c r="AD59" s="72">
        <v>14</v>
      </c>
      <c r="AE59" s="72">
        <v>14</v>
      </c>
      <c r="AF59" s="72">
        <v>14</v>
      </c>
      <c r="AG59" s="61">
        <v>24</v>
      </c>
      <c r="AH59" s="52">
        <f t="shared" si="2"/>
        <v>15</v>
      </c>
      <c r="AI59" s="53">
        <f t="shared" si="3"/>
        <v>14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11.4</v>
      </c>
      <c r="C61" s="72">
        <v>11.4</v>
      </c>
      <c r="D61" s="72">
        <v>11.4</v>
      </c>
      <c r="E61" s="72">
        <v>11.4</v>
      </c>
      <c r="F61" s="72">
        <v>11.4</v>
      </c>
      <c r="G61" s="72">
        <v>11.4</v>
      </c>
      <c r="H61" s="72">
        <v>11.8</v>
      </c>
      <c r="I61" s="72">
        <v>11.8</v>
      </c>
      <c r="J61" s="72">
        <v>6.8</v>
      </c>
      <c r="K61" s="72">
        <v>6.8</v>
      </c>
      <c r="L61" s="72">
        <v>12.1</v>
      </c>
      <c r="M61" s="72">
        <v>12.1</v>
      </c>
      <c r="N61" s="72">
        <v>12.1</v>
      </c>
      <c r="O61" s="72">
        <v>12.1</v>
      </c>
      <c r="P61" s="72">
        <v>12.1</v>
      </c>
      <c r="Q61" s="72">
        <v>12.1</v>
      </c>
      <c r="R61" s="72">
        <v>12.1</v>
      </c>
      <c r="S61" s="72">
        <v>12.1</v>
      </c>
      <c r="T61" s="72">
        <v>12.1</v>
      </c>
      <c r="U61" s="72">
        <v>12.1</v>
      </c>
      <c r="V61" s="72">
        <v>12.1</v>
      </c>
      <c r="W61" s="72">
        <v>12.1</v>
      </c>
      <c r="X61" s="72">
        <v>12.1</v>
      </c>
      <c r="Y61" s="72">
        <v>12.1</v>
      </c>
      <c r="Z61" s="72">
        <v>12</v>
      </c>
      <c r="AA61" s="72">
        <v>12.1</v>
      </c>
      <c r="AB61" s="72">
        <v>12.1</v>
      </c>
      <c r="AC61" s="72">
        <v>12.4</v>
      </c>
      <c r="AD61" s="72">
        <v>12.4</v>
      </c>
      <c r="AE61" s="72">
        <v>12.4</v>
      </c>
      <c r="AF61" s="72">
        <v>12.4</v>
      </c>
      <c r="AG61" s="61">
        <v>14.1</v>
      </c>
      <c r="AH61" s="52">
        <f t="shared" si="2"/>
        <v>12.4</v>
      </c>
      <c r="AI61" s="53">
        <f t="shared" si="3"/>
        <v>6.8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7</v>
      </c>
      <c r="C62" s="72">
        <v>7</v>
      </c>
      <c r="D62" s="72">
        <v>7</v>
      </c>
      <c r="E62" s="72">
        <v>3.2</v>
      </c>
      <c r="F62" s="72">
        <v>3.2</v>
      </c>
      <c r="G62" s="72">
        <v>3.2</v>
      </c>
      <c r="H62" s="72">
        <v>4.8</v>
      </c>
      <c r="I62" s="72">
        <v>4.8</v>
      </c>
      <c r="J62" s="72">
        <v>4.8</v>
      </c>
      <c r="K62" s="72">
        <v>4.8</v>
      </c>
      <c r="L62" s="72">
        <v>4.7</v>
      </c>
      <c r="M62" s="72">
        <v>4.7</v>
      </c>
      <c r="N62" s="72">
        <v>4.7</v>
      </c>
      <c r="O62" s="72">
        <v>4.7</v>
      </c>
      <c r="P62" s="72">
        <v>4.7</v>
      </c>
      <c r="Q62" s="72">
        <v>4.7</v>
      </c>
      <c r="R62" s="72">
        <v>4.7</v>
      </c>
      <c r="S62" s="72">
        <v>4.7</v>
      </c>
      <c r="T62" s="72">
        <v>4.7</v>
      </c>
      <c r="U62" s="72">
        <v>4.7</v>
      </c>
      <c r="V62" s="72">
        <v>4.7</v>
      </c>
      <c r="W62" s="72">
        <v>4.7</v>
      </c>
      <c r="X62" s="72">
        <v>4.7</v>
      </c>
      <c r="Y62" s="72">
        <v>4.7</v>
      </c>
      <c r="Z62" s="72">
        <v>4.9000000000000004</v>
      </c>
      <c r="AA62" s="72">
        <v>4.7</v>
      </c>
      <c r="AB62" s="72">
        <v>4.7</v>
      </c>
      <c r="AC62" s="72">
        <v>4.7</v>
      </c>
      <c r="AD62" s="72">
        <v>0</v>
      </c>
      <c r="AE62" s="72">
        <v>0</v>
      </c>
      <c r="AF62" s="72">
        <v>0</v>
      </c>
      <c r="AG62" s="61">
        <v>14</v>
      </c>
      <c r="AH62" s="52">
        <f t="shared" si="2"/>
        <v>7</v>
      </c>
      <c r="AI62" s="53">
        <f t="shared" si="3"/>
        <v>0</v>
      </c>
      <c r="AK62" s="54"/>
    </row>
    <row r="63" spans="1:41" x14ac:dyDescent="0.25">
      <c r="A63" s="60" t="s">
        <v>67</v>
      </c>
      <c r="B63" s="72">
        <v>5.2</v>
      </c>
      <c r="C63" s="72">
        <v>5.2</v>
      </c>
      <c r="D63" s="72">
        <v>5.2</v>
      </c>
      <c r="E63" s="72">
        <v>5.2</v>
      </c>
      <c r="F63" s="72">
        <v>5.2</v>
      </c>
      <c r="G63" s="72">
        <v>5.2</v>
      </c>
      <c r="H63" s="72">
        <v>5.2</v>
      </c>
      <c r="I63" s="72">
        <v>5.2</v>
      </c>
      <c r="J63" s="72">
        <v>5.2</v>
      </c>
      <c r="K63" s="72">
        <v>5.2</v>
      </c>
      <c r="L63" s="72">
        <v>6.2</v>
      </c>
      <c r="M63" s="72">
        <v>6.2</v>
      </c>
      <c r="N63" s="72">
        <v>6.2</v>
      </c>
      <c r="O63" s="72">
        <v>6.2</v>
      </c>
      <c r="P63" s="72">
        <v>6.2</v>
      </c>
      <c r="Q63" s="72">
        <v>6.2</v>
      </c>
      <c r="R63" s="72">
        <v>6.2</v>
      </c>
      <c r="S63" s="72">
        <v>6.2</v>
      </c>
      <c r="T63" s="72">
        <v>6.2</v>
      </c>
      <c r="U63" s="72">
        <v>6.2</v>
      </c>
      <c r="V63" s="72">
        <v>6.2</v>
      </c>
      <c r="W63" s="72">
        <v>6.2</v>
      </c>
      <c r="X63" s="72">
        <v>6.2</v>
      </c>
      <c r="Y63" s="72">
        <v>6.2</v>
      </c>
      <c r="Z63" s="72">
        <v>4.0999999999999996</v>
      </c>
      <c r="AA63" s="72">
        <v>6.2</v>
      </c>
      <c r="AB63" s="72">
        <v>6.2</v>
      </c>
      <c r="AC63" s="72">
        <v>6.2</v>
      </c>
      <c r="AD63" s="72">
        <v>6.2</v>
      </c>
      <c r="AE63" s="72">
        <v>6.2</v>
      </c>
      <c r="AF63" s="72">
        <v>6.2</v>
      </c>
      <c r="AG63" s="61">
        <v>10.050000000000001</v>
      </c>
      <c r="AH63" s="52">
        <f t="shared" si="2"/>
        <v>6.2</v>
      </c>
      <c r="AI63" s="53">
        <f t="shared" si="3"/>
        <v>4.0999999999999996</v>
      </c>
      <c r="AK63" s="54"/>
    </row>
    <row r="64" spans="1:41" x14ac:dyDescent="0.25">
      <c r="A64" s="60" t="s">
        <v>68</v>
      </c>
      <c r="B64" s="72">
        <v>2.4</v>
      </c>
      <c r="C64" s="72">
        <v>2.4</v>
      </c>
      <c r="D64" s="72">
        <v>2.4</v>
      </c>
      <c r="E64" s="72">
        <v>2.4</v>
      </c>
      <c r="F64" s="72">
        <v>2.4</v>
      </c>
      <c r="G64" s="72">
        <v>2.4</v>
      </c>
      <c r="H64" s="72">
        <v>2.4</v>
      </c>
      <c r="I64" s="72">
        <v>2.4</v>
      </c>
      <c r="J64" s="72">
        <v>2.4</v>
      </c>
      <c r="K64" s="72">
        <v>2.4</v>
      </c>
      <c r="L64" s="72">
        <v>2.4</v>
      </c>
      <c r="M64" s="72">
        <v>2.4</v>
      </c>
      <c r="N64" s="72">
        <v>2.4</v>
      </c>
      <c r="O64" s="72">
        <v>2.4</v>
      </c>
      <c r="P64" s="72">
        <v>2.4</v>
      </c>
      <c r="Q64" s="72">
        <v>2.4</v>
      </c>
      <c r="R64" s="72">
        <v>2.4</v>
      </c>
      <c r="S64" s="72">
        <v>2.4</v>
      </c>
      <c r="T64" s="72">
        <v>2.4</v>
      </c>
      <c r="U64" s="72">
        <v>2.4</v>
      </c>
      <c r="V64" s="72">
        <v>2.4</v>
      </c>
      <c r="W64" s="72">
        <v>2.4</v>
      </c>
      <c r="X64" s="72">
        <v>2.4</v>
      </c>
      <c r="Y64" s="72">
        <v>2.4</v>
      </c>
      <c r="Z64" s="72">
        <v>1.6</v>
      </c>
      <c r="AA64" s="72">
        <v>2.4</v>
      </c>
      <c r="AB64" s="72">
        <v>2.4</v>
      </c>
      <c r="AC64" s="72">
        <v>2.4</v>
      </c>
      <c r="AD64" s="72">
        <v>2.4</v>
      </c>
      <c r="AE64" s="72">
        <v>2.4</v>
      </c>
      <c r="AF64" s="72">
        <v>2.4</v>
      </c>
      <c r="AG64" s="61">
        <v>6.2</v>
      </c>
      <c r="AH64" s="52">
        <f t="shared" si="2"/>
        <v>2.4</v>
      </c>
      <c r="AI64" s="53">
        <f t="shared" si="3"/>
        <v>1.6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" si="8">SUM(B53:B65)</f>
        <v>114.64000000000001</v>
      </c>
      <c r="C66" s="67">
        <f t="shared" ref="C66:AG66" si="9">SUM(C53:C65)</f>
        <v>121.34000000000002</v>
      </c>
      <c r="D66" s="67">
        <f t="shared" si="9"/>
        <v>141.44</v>
      </c>
      <c r="E66" s="67">
        <f t="shared" si="9"/>
        <v>140.43999999999997</v>
      </c>
      <c r="F66" s="67">
        <f t="shared" si="9"/>
        <v>118.04000000000002</v>
      </c>
      <c r="G66" s="67">
        <f t="shared" si="9"/>
        <v>140.54</v>
      </c>
      <c r="H66" s="67">
        <f t="shared" si="9"/>
        <v>166.44</v>
      </c>
      <c r="I66" s="67">
        <f t="shared" si="9"/>
        <v>191.74</v>
      </c>
      <c r="J66" s="67">
        <f t="shared" si="9"/>
        <v>221.94</v>
      </c>
      <c r="K66" s="67">
        <f t="shared" si="9"/>
        <v>219.04000000000002</v>
      </c>
      <c r="L66" s="67">
        <f t="shared" si="9"/>
        <v>252.43999999999997</v>
      </c>
      <c r="M66" s="67">
        <f t="shared" si="9"/>
        <v>280.33999999999997</v>
      </c>
      <c r="N66" s="67">
        <f t="shared" si="9"/>
        <v>299.14</v>
      </c>
      <c r="O66" s="67">
        <f t="shared" si="9"/>
        <v>299.14</v>
      </c>
      <c r="P66" s="67">
        <f t="shared" si="9"/>
        <v>312.84000000000003</v>
      </c>
      <c r="Q66" s="67">
        <f t="shared" si="9"/>
        <v>324.54000000000002</v>
      </c>
      <c r="R66" s="67">
        <f t="shared" si="9"/>
        <v>324.54000000000002</v>
      </c>
      <c r="S66" s="67">
        <f t="shared" si="9"/>
        <v>299.74</v>
      </c>
      <c r="T66" s="67">
        <f t="shared" si="9"/>
        <v>322.54000000000002</v>
      </c>
      <c r="U66" s="67">
        <f t="shared" si="9"/>
        <v>286.94</v>
      </c>
      <c r="V66" s="67">
        <f t="shared" si="9"/>
        <v>243.63999999999996</v>
      </c>
      <c r="W66" s="67">
        <f t="shared" si="9"/>
        <v>227.23999999999998</v>
      </c>
      <c r="X66" s="67">
        <f t="shared" si="9"/>
        <v>235.33999999999995</v>
      </c>
      <c r="Y66" s="67">
        <f t="shared" si="9"/>
        <v>272.83999999999997</v>
      </c>
      <c r="Z66" s="67">
        <f t="shared" si="9"/>
        <v>362.84000000000003</v>
      </c>
      <c r="AA66" s="67">
        <f t="shared" si="9"/>
        <v>364.64</v>
      </c>
      <c r="AB66" s="67">
        <f t="shared" si="9"/>
        <v>296.83999999999997</v>
      </c>
      <c r="AC66" s="67">
        <f t="shared" si="9"/>
        <v>271.33999999999997</v>
      </c>
      <c r="AD66" s="67">
        <f t="shared" si="9"/>
        <v>266.64</v>
      </c>
      <c r="AE66" s="67">
        <f t="shared" si="9"/>
        <v>217.23999999999998</v>
      </c>
      <c r="AF66" s="67">
        <f t="shared" si="9"/>
        <v>167.04</v>
      </c>
      <c r="AG66" s="68">
        <f t="shared" si="9"/>
        <v>489.91</v>
      </c>
      <c r="AH66" s="52">
        <f t="shared" si="2"/>
        <v>364.64</v>
      </c>
      <c r="AI66" s="53">
        <f t="shared" si="3"/>
        <v>114.64000000000001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14</v>
      </c>
      <c r="G67" s="50">
        <v>19.100000000000001</v>
      </c>
      <c r="H67" s="50">
        <v>20.3</v>
      </c>
      <c r="I67" s="50">
        <v>20.3</v>
      </c>
      <c r="J67" s="50">
        <v>25.4</v>
      </c>
      <c r="K67" s="50">
        <v>19.3</v>
      </c>
      <c r="L67" s="50">
        <v>30.2</v>
      </c>
      <c r="M67" s="50">
        <v>20.399999999999999</v>
      </c>
      <c r="N67" s="50">
        <v>0</v>
      </c>
      <c r="O67" s="50">
        <v>0</v>
      </c>
      <c r="P67" s="50">
        <v>10.7</v>
      </c>
      <c r="Q67" s="50">
        <v>10</v>
      </c>
      <c r="R67" s="50">
        <v>10</v>
      </c>
      <c r="S67" s="50">
        <v>10</v>
      </c>
      <c r="T67" s="50">
        <v>0</v>
      </c>
      <c r="U67" s="50">
        <v>0</v>
      </c>
      <c r="V67" s="50">
        <v>0</v>
      </c>
      <c r="W67" s="50">
        <v>10</v>
      </c>
      <c r="X67" s="50">
        <v>10</v>
      </c>
      <c r="Y67" s="50">
        <v>25</v>
      </c>
      <c r="Z67" s="50">
        <v>10</v>
      </c>
      <c r="AA67" s="50">
        <v>10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6">
        <v>60</v>
      </c>
      <c r="AH67" s="52">
        <f t="shared" si="2"/>
        <v>30.2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4.7</v>
      </c>
      <c r="H68" s="72">
        <v>8</v>
      </c>
      <c r="I68" s="72">
        <v>8.1</v>
      </c>
      <c r="J68" s="72">
        <v>11.8</v>
      </c>
      <c r="K68" s="72">
        <v>10.8</v>
      </c>
      <c r="L68" s="72">
        <v>8.8000000000000007</v>
      </c>
      <c r="M68" s="72">
        <v>9.1999999999999993</v>
      </c>
      <c r="N68" s="72">
        <v>0</v>
      </c>
      <c r="O68" s="72">
        <v>0</v>
      </c>
      <c r="P68" s="72">
        <v>5.5</v>
      </c>
      <c r="Q68" s="50">
        <v>3.6</v>
      </c>
      <c r="R68" s="50">
        <v>3.6</v>
      </c>
      <c r="S68" s="50">
        <v>3.6</v>
      </c>
      <c r="T68" s="72">
        <v>0</v>
      </c>
      <c r="U68" s="72">
        <v>0</v>
      </c>
      <c r="V68" s="72">
        <v>0</v>
      </c>
      <c r="W68" s="72">
        <v>4.8</v>
      </c>
      <c r="X68" s="72">
        <v>3.9</v>
      </c>
      <c r="Y68" s="72">
        <v>9.6</v>
      </c>
      <c r="Z68" s="72">
        <v>3.9</v>
      </c>
      <c r="AA68" s="72">
        <v>3.9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61">
        <v>32</v>
      </c>
      <c r="AH68" s="52">
        <f t="shared" si="2"/>
        <v>11.8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1.7</v>
      </c>
      <c r="H69" s="74">
        <v>2.9</v>
      </c>
      <c r="I69" s="74">
        <v>2.9</v>
      </c>
      <c r="J69" s="74">
        <v>4.3</v>
      </c>
      <c r="K69" s="74">
        <v>3.7</v>
      </c>
      <c r="L69" s="74">
        <v>3.2</v>
      </c>
      <c r="M69" s="74">
        <v>3.4</v>
      </c>
      <c r="N69" s="74">
        <v>0</v>
      </c>
      <c r="O69" s="74">
        <v>0</v>
      </c>
      <c r="P69" s="74">
        <v>2</v>
      </c>
      <c r="Q69" s="50">
        <v>1.3</v>
      </c>
      <c r="R69" s="50">
        <v>1.3</v>
      </c>
      <c r="S69" s="50">
        <v>1.3</v>
      </c>
      <c r="T69" s="74">
        <v>0</v>
      </c>
      <c r="U69" s="74">
        <v>0</v>
      </c>
      <c r="V69" s="74">
        <v>0</v>
      </c>
      <c r="W69" s="74">
        <v>1.8</v>
      </c>
      <c r="X69" s="74">
        <v>1.4</v>
      </c>
      <c r="Y69" s="74">
        <v>1.4</v>
      </c>
      <c r="Z69" s="74">
        <v>1.4</v>
      </c>
      <c r="AA69" s="74">
        <v>1.4</v>
      </c>
      <c r="AB69" s="74">
        <v>0</v>
      </c>
      <c r="AC69" s="74">
        <v>0</v>
      </c>
      <c r="AD69" s="74">
        <v>0</v>
      </c>
      <c r="AE69" s="74">
        <v>0</v>
      </c>
      <c r="AF69" s="74">
        <v>0</v>
      </c>
      <c r="AG69" s="75">
        <v>14</v>
      </c>
      <c r="AH69" s="52">
        <f t="shared" si="2"/>
        <v>4.3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0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42.2</v>
      </c>
      <c r="M70" s="67">
        <f t="shared" ref="M70:AF70" si="11">M67+M68+M69</f>
        <v>33</v>
      </c>
      <c r="N70" s="67">
        <f t="shared" si="11"/>
        <v>0</v>
      </c>
      <c r="O70" s="67">
        <f t="shared" si="11"/>
        <v>0</v>
      </c>
      <c r="P70" s="67">
        <f t="shared" si="11"/>
        <v>18.2</v>
      </c>
      <c r="Q70" s="67">
        <f t="shared" si="11"/>
        <v>14.9</v>
      </c>
      <c r="R70" s="67">
        <f t="shared" si="11"/>
        <v>14.9</v>
      </c>
      <c r="S70" s="67">
        <f t="shared" si="11"/>
        <v>14.9</v>
      </c>
      <c r="T70" s="67">
        <f t="shared" si="11"/>
        <v>0</v>
      </c>
      <c r="U70" s="67">
        <f t="shared" si="11"/>
        <v>0</v>
      </c>
      <c r="V70" s="67">
        <f t="shared" si="11"/>
        <v>0</v>
      </c>
      <c r="W70" s="67">
        <f t="shared" si="11"/>
        <v>16.600000000000001</v>
      </c>
      <c r="X70" s="67">
        <f t="shared" si="11"/>
        <v>15.3</v>
      </c>
      <c r="Y70" s="67">
        <f t="shared" si="11"/>
        <v>36</v>
      </c>
      <c r="Z70" s="67">
        <f t="shared" si="11"/>
        <v>15.3</v>
      </c>
      <c r="AA70" s="67">
        <f t="shared" si="11"/>
        <v>15.3</v>
      </c>
      <c r="AB70" s="67">
        <f t="shared" si="11"/>
        <v>0</v>
      </c>
      <c r="AC70" s="67">
        <f t="shared" si="11"/>
        <v>0</v>
      </c>
      <c r="AD70" s="67">
        <f t="shared" si="11"/>
        <v>0</v>
      </c>
      <c r="AE70" s="67">
        <f t="shared" si="11"/>
        <v>0</v>
      </c>
      <c r="AF70" s="67">
        <f t="shared" si="11"/>
        <v>0</v>
      </c>
      <c r="AG70" s="68">
        <f>SUM(AG67:AG69)</f>
        <v>106</v>
      </c>
      <c r="AH70" s="52">
        <f t="shared" si="2"/>
        <v>42.2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62</v>
      </c>
      <c r="C71" s="50">
        <v>32.1</v>
      </c>
      <c r="D71" s="50">
        <v>23.7</v>
      </c>
      <c r="E71" s="50">
        <v>14</v>
      </c>
      <c r="F71" s="50">
        <v>14.2</v>
      </c>
      <c r="G71" s="50">
        <v>19.100000000000001</v>
      </c>
      <c r="H71" s="50">
        <v>25.8</v>
      </c>
      <c r="I71" s="50">
        <v>25.1</v>
      </c>
      <c r="J71" s="50">
        <v>28</v>
      </c>
      <c r="K71" s="50">
        <v>32</v>
      </c>
      <c r="L71" s="50">
        <v>28.7</v>
      </c>
      <c r="M71" s="50">
        <v>18.5</v>
      </c>
      <c r="N71" s="50">
        <v>30.9</v>
      </c>
      <c r="O71" s="50">
        <v>32</v>
      </c>
      <c r="P71" s="50">
        <v>37</v>
      </c>
      <c r="Q71" s="50">
        <v>21.5</v>
      </c>
      <c r="R71" s="50">
        <v>21.5</v>
      </c>
      <c r="S71" s="50">
        <v>21.5</v>
      </c>
      <c r="T71" s="50">
        <v>20</v>
      </c>
      <c r="U71" s="50">
        <v>15.3</v>
      </c>
      <c r="V71" s="50">
        <v>36</v>
      </c>
      <c r="W71" s="50">
        <v>29.8</v>
      </c>
      <c r="X71" s="50">
        <v>30.2</v>
      </c>
      <c r="Y71" s="50">
        <v>31</v>
      </c>
      <c r="Z71" s="50">
        <v>7.1</v>
      </c>
      <c r="AA71" s="50">
        <v>7.1</v>
      </c>
      <c r="AB71" s="50">
        <v>17.7</v>
      </c>
      <c r="AC71" s="50">
        <v>14.3</v>
      </c>
      <c r="AD71" s="50">
        <v>14.5</v>
      </c>
      <c r="AE71" s="50">
        <v>8</v>
      </c>
      <c r="AF71" s="50">
        <v>14.8</v>
      </c>
      <c r="AG71" s="56"/>
      <c r="AH71" s="52">
        <f t="shared" si="2"/>
        <v>62</v>
      </c>
      <c r="AI71" s="53">
        <f t="shared" si="3"/>
        <v>7.1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24</v>
      </c>
      <c r="F72" s="72">
        <v>25.9</v>
      </c>
      <c r="G72" s="72">
        <v>25</v>
      </c>
      <c r="H72" s="72">
        <v>25.7</v>
      </c>
      <c r="I72" s="72">
        <v>21.5</v>
      </c>
      <c r="J72" s="72">
        <v>28.4</v>
      </c>
      <c r="K72" s="72">
        <v>27.1</v>
      </c>
      <c r="L72" s="72">
        <v>0</v>
      </c>
      <c r="M72" s="72">
        <v>0</v>
      </c>
      <c r="N72" s="72">
        <v>0</v>
      </c>
      <c r="O72" s="72">
        <v>0</v>
      </c>
      <c r="P72" s="72">
        <v>31.7</v>
      </c>
      <c r="Q72" s="72">
        <v>57.6</v>
      </c>
      <c r="R72" s="72">
        <v>57.6</v>
      </c>
      <c r="S72" s="72">
        <v>62</v>
      </c>
      <c r="T72" s="72">
        <v>62.4</v>
      </c>
      <c r="U72" s="72">
        <v>61.9</v>
      </c>
      <c r="V72" s="72">
        <v>47.8</v>
      </c>
      <c r="W72" s="72">
        <v>43</v>
      </c>
      <c r="X72" s="72">
        <v>34.299999999999997</v>
      </c>
      <c r="Y72" s="72">
        <v>47</v>
      </c>
      <c r="Z72" s="72">
        <v>60.2</v>
      </c>
      <c r="AA72" s="72">
        <v>60.2</v>
      </c>
      <c r="AB72" s="72">
        <v>56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62.4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284.5</v>
      </c>
      <c r="C73" s="72">
        <v>5</v>
      </c>
      <c r="D73" s="72">
        <v>15</v>
      </c>
      <c r="E73" s="72">
        <v>8.6</v>
      </c>
      <c r="F73" s="72">
        <v>26.9</v>
      </c>
      <c r="G73" s="72">
        <v>44.3</v>
      </c>
      <c r="H73" s="72">
        <v>24.2</v>
      </c>
      <c r="I73" s="72">
        <v>10.199999999999999</v>
      </c>
      <c r="J73" s="72">
        <v>27.9</v>
      </c>
      <c r="K73" s="72">
        <v>20.8</v>
      </c>
      <c r="L73" s="72">
        <v>39.9</v>
      </c>
      <c r="M73" s="72">
        <v>38.700000000000003</v>
      </c>
      <c r="N73" s="72">
        <v>46.3</v>
      </c>
      <c r="O73" s="72">
        <v>22.2</v>
      </c>
      <c r="P73" s="72">
        <v>26.5</v>
      </c>
      <c r="Q73" s="72">
        <v>51.6</v>
      </c>
      <c r="R73" s="72">
        <v>51.6</v>
      </c>
      <c r="S73" s="72">
        <v>40</v>
      </c>
      <c r="T73" s="72">
        <v>20.7</v>
      </c>
      <c r="U73" s="72">
        <v>23.8</v>
      </c>
      <c r="V73" s="72">
        <v>0</v>
      </c>
      <c r="W73" s="72">
        <v>27.6</v>
      </c>
      <c r="X73" s="72">
        <v>16.3</v>
      </c>
      <c r="Y73" s="72">
        <v>3.6</v>
      </c>
      <c r="Z73" s="72">
        <v>9.9</v>
      </c>
      <c r="AA73" s="72">
        <v>9.9</v>
      </c>
      <c r="AB73" s="72">
        <v>6</v>
      </c>
      <c r="AC73" s="72">
        <v>3.4</v>
      </c>
      <c r="AD73" s="72">
        <v>2</v>
      </c>
      <c r="AE73" s="72">
        <v>0</v>
      </c>
      <c r="AF73" s="72">
        <v>0.3</v>
      </c>
      <c r="AG73" s="82"/>
      <c r="AH73" s="52">
        <f t="shared" si="2"/>
        <v>284.5</v>
      </c>
      <c r="AI73" s="53">
        <f t="shared" si="3"/>
        <v>0</v>
      </c>
      <c r="AK73" s="54"/>
    </row>
    <row r="74" spans="1:40" x14ac:dyDescent="0.25">
      <c r="A74" s="60" t="s">
        <v>78</v>
      </c>
      <c r="B74" s="72">
        <v>54.7</v>
      </c>
      <c r="C74" s="72">
        <v>54.7</v>
      </c>
      <c r="D74" s="72">
        <v>59.3</v>
      </c>
      <c r="E74" s="83">
        <v>60.8</v>
      </c>
      <c r="F74" s="83">
        <v>58.7</v>
      </c>
      <c r="G74" s="83">
        <v>58</v>
      </c>
      <c r="H74" s="83">
        <v>59.4</v>
      </c>
      <c r="I74" s="83">
        <v>61</v>
      </c>
      <c r="J74" s="83">
        <v>61</v>
      </c>
      <c r="K74" s="83">
        <v>59.7</v>
      </c>
      <c r="L74" s="83">
        <v>53.1</v>
      </c>
      <c r="M74" s="83">
        <v>52.2</v>
      </c>
      <c r="N74" s="83">
        <v>52.2</v>
      </c>
      <c r="O74" s="83">
        <v>52.2</v>
      </c>
      <c r="P74" s="83">
        <v>46.7</v>
      </c>
      <c r="Q74" s="83">
        <v>24.3</v>
      </c>
      <c r="R74" s="83">
        <v>24.3</v>
      </c>
      <c r="S74" s="83">
        <v>55</v>
      </c>
      <c r="T74" s="83">
        <v>49.4</v>
      </c>
      <c r="U74" s="83">
        <v>50.4</v>
      </c>
      <c r="V74" s="83">
        <v>43.3</v>
      </c>
      <c r="W74" s="83">
        <v>43.3</v>
      </c>
      <c r="X74" s="83">
        <v>46.6</v>
      </c>
      <c r="Y74" s="72">
        <v>47.9</v>
      </c>
      <c r="Z74" s="72">
        <v>48.2</v>
      </c>
      <c r="AA74" s="72">
        <v>48.2</v>
      </c>
      <c r="AB74" s="72">
        <v>51</v>
      </c>
      <c r="AC74" s="72">
        <v>55.8</v>
      </c>
      <c r="AD74" s="72">
        <v>58.5</v>
      </c>
      <c r="AE74" s="72">
        <v>58</v>
      </c>
      <c r="AF74" s="72">
        <v>45.2</v>
      </c>
      <c r="AG74" s="82"/>
      <c r="AH74" s="52">
        <f t="shared" si="2"/>
        <v>61</v>
      </c>
      <c r="AI74" s="53">
        <f t="shared" si="3"/>
        <v>24.3</v>
      </c>
      <c r="AK74" s="54"/>
    </row>
    <row r="75" spans="1:40" x14ac:dyDescent="0.25">
      <c r="A75" s="60" t="s">
        <v>79</v>
      </c>
      <c r="B75" s="50">
        <v>0</v>
      </c>
      <c r="C75" s="50">
        <v>24.6</v>
      </c>
      <c r="D75" s="50">
        <v>25.6</v>
      </c>
      <c r="E75" s="50">
        <v>24.3</v>
      </c>
      <c r="F75" s="50">
        <v>24.3</v>
      </c>
      <c r="G75" s="50">
        <v>23.4</v>
      </c>
      <c r="H75" s="50">
        <v>23</v>
      </c>
      <c r="I75" s="50">
        <v>22.5</v>
      </c>
      <c r="J75" s="50">
        <v>23.4</v>
      </c>
      <c r="K75" s="50">
        <v>57.4</v>
      </c>
      <c r="L75" s="50">
        <v>66.2</v>
      </c>
      <c r="M75" s="50">
        <v>64.7</v>
      </c>
      <c r="N75" s="50">
        <v>70.099999999999994</v>
      </c>
      <c r="O75" s="50">
        <v>69.7</v>
      </c>
      <c r="P75" s="50">
        <v>24.7</v>
      </c>
      <c r="Q75" s="50">
        <v>25.3</v>
      </c>
      <c r="R75" s="50">
        <v>25.3</v>
      </c>
      <c r="S75" s="50">
        <v>25.3</v>
      </c>
      <c r="T75" s="50">
        <v>20</v>
      </c>
      <c r="U75" s="50">
        <v>21.8</v>
      </c>
      <c r="V75" s="50">
        <v>20</v>
      </c>
      <c r="W75" s="50">
        <v>17.7</v>
      </c>
      <c r="X75" s="50">
        <v>16.8</v>
      </c>
      <c r="Y75" s="50">
        <v>17</v>
      </c>
      <c r="Z75" s="50">
        <v>17</v>
      </c>
      <c r="AA75" s="50">
        <v>17</v>
      </c>
      <c r="AB75" s="50">
        <v>17</v>
      </c>
      <c r="AC75" s="50">
        <v>16.899999999999999</v>
      </c>
      <c r="AD75" s="50">
        <v>17.600000000000001</v>
      </c>
      <c r="AE75" s="50">
        <v>17.899999999999999</v>
      </c>
      <c r="AF75" s="50">
        <v>0</v>
      </c>
      <c r="AG75" s="82"/>
      <c r="AH75" s="52">
        <f t="shared" ref="AH75:AH117" si="12">MAX(B75:AF75)</f>
        <v>70.099999999999994</v>
      </c>
      <c r="AI75" s="53">
        <f t="shared" ref="AI75:AI117" si="13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2"/>
        <v>0</v>
      </c>
      <c r="AI76" s="53">
        <f t="shared" si="13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2"/>
        <v>0</v>
      </c>
      <c r="AI77" s="53">
        <f t="shared" si="13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2"/>
        <v>0</v>
      </c>
      <c r="AI78" s="53">
        <f t="shared" si="1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2"/>
        <v>0</v>
      </c>
      <c r="AI79" s="53">
        <f t="shared" si="13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2"/>
        <v>0</v>
      </c>
      <c r="AI80" s="53">
        <f t="shared" si="13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2"/>
        <v>0</v>
      </c>
      <c r="AI81" s="53">
        <f t="shared" si="1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14">SUMIF(B71:B81,"&gt;0")</f>
        <v>401.2</v>
      </c>
      <c r="C82" s="67">
        <f t="shared" ref="C82:AF82" si="15">SUMIF(C71:C81,"&gt;0")</f>
        <v>116.4</v>
      </c>
      <c r="D82" s="67">
        <f t="shared" si="15"/>
        <v>123.6</v>
      </c>
      <c r="E82" s="67">
        <f t="shared" si="15"/>
        <v>131.70000000000002</v>
      </c>
      <c r="F82" s="67">
        <f t="shared" si="15"/>
        <v>150</v>
      </c>
      <c r="G82" s="67">
        <f t="shared" si="15"/>
        <v>169.8</v>
      </c>
      <c r="H82" s="67">
        <f t="shared" si="15"/>
        <v>158.1</v>
      </c>
      <c r="I82" s="67">
        <f t="shared" si="15"/>
        <v>140.30000000000001</v>
      </c>
      <c r="J82" s="67">
        <f t="shared" si="15"/>
        <v>168.70000000000002</v>
      </c>
      <c r="K82" s="67">
        <f t="shared" si="15"/>
        <v>197.00000000000003</v>
      </c>
      <c r="L82" s="67">
        <f t="shared" si="15"/>
        <v>187.89999999999998</v>
      </c>
      <c r="M82" s="67">
        <f t="shared" si="15"/>
        <v>174.10000000000002</v>
      </c>
      <c r="N82" s="67">
        <f t="shared" si="15"/>
        <v>199.49999999999997</v>
      </c>
      <c r="O82" s="67">
        <f t="shared" si="15"/>
        <v>176.10000000000002</v>
      </c>
      <c r="P82" s="67">
        <f t="shared" si="15"/>
        <v>166.6</v>
      </c>
      <c r="Q82" s="67">
        <f t="shared" si="15"/>
        <v>180.3</v>
      </c>
      <c r="R82" s="67">
        <f t="shared" si="15"/>
        <v>180.3</v>
      </c>
      <c r="S82" s="67">
        <f t="shared" si="15"/>
        <v>203.8</v>
      </c>
      <c r="T82" s="67">
        <f t="shared" si="15"/>
        <v>172.5</v>
      </c>
      <c r="U82" s="67">
        <f t="shared" si="15"/>
        <v>173.20000000000002</v>
      </c>
      <c r="V82" s="67">
        <f t="shared" si="15"/>
        <v>147.1</v>
      </c>
      <c r="W82" s="67">
        <f t="shared" si="15"/>
        <v>161.39999999999998</v>
      </c>
      <c r="X82" s="67">
        <f t="shared" si="15"/>
        <v>144.20000000000002</v>
      </c>
      <c r="Y82" s="67">
        <f t="shared" si="15"/>
        <v>146.5</v>
      </c>
      <c r="Z82" s="67">
        <f t="shared" si="15"/>
        <v>142.4</v>
      </c>
      <c r="AA82" s="67">
        <f t="shared" si="15"/>
        <v>142.4</v>
      </c>
      <c r="AB82" s="67">
        <f t="shared" si="15"/>
        <v>147.69999999999999</v>
      </c>
      <c r="AC82" s="67">
        <f t="shared" si="15"/>
        <v>90.4</v>
      </c>
      <c r="AD82" s="67">
        <f t="shared" si="15"/>
        <v>92.6</v>
      </c>
      <c r="AE82" s="67">
        <f t="shared" si="15"/>
        <v>83.9</v>
      </c>
      <c r="AF82" s="67">
        <f t="shared" si="15"/>
        <v>60.300000000000004</v>
      </c>
      <c r="AG82" s="95">
        <f>SUM(AG71:AG81)</f>
        <v>0</v>
      </c>
      <c r="AH82" s="52">
        <f t="shared" si="12"/>
        <v>401.2</v>
      </c>
      <c r="AI82" s="53">
        <f t="shared" si="13"/>
        <v>60.300000000000004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2"/>
        <v>0</v>
      </c>
      <c r="AI83" s="53">
        <f t="shared" si="13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2"/>
        <v>0</v>
      </c>
      <c r="AI84" s="53">
        <f t="shared" si="13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2"/>
        <v>0</v>
      </c>
      <c r="AI85" s="53">
        <f t="shared" si="13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2"/>
        <v>0</v>
      </c>
      <c r="AI86" s="53">
        <f t="shared" si="1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16">B48+B52+B70+B66+B82+B86</f>
        <v>977.04</v>
      </c>
      <c r="C87" s="102">
        <f t="shared" ref="C87:AG87" si="17">C48+C52+C70+C66+C82+C86</f>
        <v>800.54</v>
      </c>
      <c r="D87" s="102">
        <f t="shared" si="17"/>
        <v>846.93999999999994</v>
      </c>
      <c r="E87" s="102">
        <f t="shared" si="17"/>
        <v>814.04</v>
      </c>
      <c r="F87" s="102">
        <f t="shared" si="17"/>
        <v>819.94</v>
      </c>
      <c r="G87" s="102">
        <f t="shared" si="17"/>
        <v>852.24</v>
      </c>
      <c r="H87" s="102">
        <f t="shared" si="17"/>
        <v>851.74000000000012</v>
      </c>
      <c r="I87" s="102">
        <f t="shared" si="17"/>
        <v>839.24</v>
      </c>
      <c r="J87" s="102">
        <f t="shared" si="17"/>
        <v>897.84000000000015</v>
      </c>
      <c r="K87" s="102">
        <f t="shared" si="17"/>
        <v>893.24</v>
      </c>
      <c r="L87" s="102">
        <f t="shared" si="17"/>
        <v>959.74</v>
      </c>
      <c r="M87" s="102">
        <f t="shared" si="17"/>
        <v>964.64</v>
      </c>
      <c r="N87" s="102">
        <f t="shared" si="17"/>
        <v>985.84</v>
      </c>
      <c r="O87" s="102">
        <f t="shared" si="17"/>
        <v>962.44</v>
      </c>
      <c r="P87" s="102">
        <f t="shared" si="17"/>
        <v>1044.8400000000001</v>
      </c>
      <c r="Q87" s="102">
        <f t="shared" si="17"/>
        <v>1096.94</v>
      </c>
      <c r="R87" s="102">
        <f t="shared" si="17"/>
        <v>1096.94</v>
      </c>
      <c r="S87" s="102">
        <f t="shared" si="17"/>
        <v>1085.6400000000001</v>
      </c>
      <c r="T87" s="102">
        <f t="shared" si="17"/>
        <v>1077.8399999999999</v>
      </c>
      <c r="U87" s="102">
        <f t="shared" si="17"/>
        <v>1072.94</v>
      </c>
      <c r="V87" s="102">
        <f t="shared" si="17"/>
        <v>990.04</v>
      </c>
      <c r="W87" s="102">
        <f t="shared" si="17"/>
        <v>917.54</v>
      </c>
      <c r="X87" s="102">
        <f t="shared" si="17"/>
        <v>912.13999999999987</v>
      </c>
      <c r="Y87" s="102">
        <f t="shared" si="17"/>
        <v>1002.6399999999999</v>
      </c>
      <c r="Z87" s="102">
        <f t="shared" si="17"/>
        <v>1128.74</v>
      </c>
      <c r="AA87" s="102">
        <f t="shared" si="17"/>
        <v>1130.54</v>
      </c>
      <c r="AB87" s="102">
        <f t="shared" si="17"/>
        <v>1053.24</v>
      </c>
      <c r="AC87" s="102">
        <f t="shared" si="17"/>
        <v>1040.44</v>
      </c>
      <c r="AD87" s="102">
        <f t="shared" si="17"/>
        <v>1045.94</v>
      </c>
      <c r="AE87" s="102">
        <f t="shared" si="17"/>
        <v>939.84</v>
      </c>
      <c r="AF87" s="102">
        <f t="shared" si="17"/>
        <v>846.04</v>
      </c>
      <c r="AG87" s="68">
        <f t="shared" si="17"/>
        <v>2065.09</v>
      </c>
      <c r="AH87" s="52">
        <f>MAX(B87:AF87)</f>
        <v>1130.54</v>
      </c>
      <c r="AI87" s="53">
        <f>MIN(B87:AF87)</f>
        <v>800.54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100</v>
      </c>
      <c r="L88" s="104">
        <v>100</v>
      </c>
      <c r="M88" s="104">
        <v>100</v>
      </c>
      <c r="N88" s="104">
        <v>100</v>
      </c>
      <c r="O88" s="104">
        <v>100</v>
      </c>
      <c r="P88" s="104">
        <v>50</v>
      </c>
      <c r="Q88" s="104"/>
      <c r="R88" s="104"/>
      <c r="S88" s="104"/>
      <c r="T88" s="104"/>
      <c r="U88" s="104"/>
      <c r="V88" s="104"/>
      <c r="W88" s="104"/>
      <c r="X88" s="104">
        <v>120</v>
      </c>
      <c r="Y88" s="104">
        <v>120</v>
      </c>
      <c r="Z88" s="104">
        <v>120</v>
      </c>
      <c r="AA88" s="104"/>
      <c r="AB88" s="104">
        <v>80</v>
      </c>
      <c r="AC88" s="104"/>
      <c r="AD88" s="104"/>
      <c r="AE88" s="104"/>
      <c r="AF88" s="104"/>
      <c r="AG88" s="95"/>
      <c r="AH88" s="52">
        <f t="shared" si="12"/>
        <v>120</v>
      </c>
      <c r="AI88" s="53">
        <f t="shared" si="13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18">B87+B88</f>
        <v>977.04</v>
      </c>
      <c r="C89" s="102">
        <f t="shared" ref="C89:AF89" si="19">C87+C88</f>
        <v>800.54</v>
      </c>
      <c r="D89" s="102">
        <f t="shared" si="19"/>
        <v>846.93999999999994</v>
      </c>
      <c r="E89" s="102">
        <f t="shared" si="19"/>
        <v>814.04</v>
      </c>
      <c r="F89" s="102">
        <f t="shared" si="19"/>
        <v>819.94</v>
      </c>
      <c r="G89" s="102">
        <f t="shared" si="19"/>
        <v>852.24</v>
      </c>
      <c r="H89" s="102">
        <f t="shared" si="19"/>
        <v>851.74000000000012</v>
      </c>
      <c r="I89" s="102">
        <f t="shared" si="19"/>
        <v>839.24</v>
      </c>
      <c r="J89" s="102">
        <f t="shared" si="19"/>
        <v>897.84000000000015</v>
      </c>
      <c r="K89" s="102">
        <f t="shared" si="19"/>
        <v>993.24</v>
      </c>
      <c r="L89" s="102">
        <f t="shared" si="19"/>
        <v>1059.74</v>
      </c>
      <c r="M89" s="102">
        <f t="shared" si="19"/>
        <v>1064.6399999999999</v>
      </c>
      <c r="N89" s="102">
        <f t="shared" si="19"/>
        <v>1085.8400000000001</v>
      </c>
      <c r="O89" s="102">
        <f t="shared" si="19"/>
        <v>1062.44</v>
      </c>
      <c r="P89" s="102">
        <f t="shared" si="19"/>
        <v>1094.8400000000001</v>
      </c>
      <c r="Q89" s="102">
        <f t="shared" si="19"/>
        <v>1096.94</v>
      </c>
      <c r="R89" s="102">
        <f t="shared" si="19"/>
        <v>1096.94</v>
      </c>
      <c r="S89" s="102">
        <f t="shared" si="19"/>
        <v>1085.6400000000001</v>
      </c>
      <c r="T89" s="102">
        <f t="shared" si="19"/>
        <v>1077.8399999999999</v>
      </c>
      <c r="U89" s="102">
        <f t="shared" si="19"/>
        <v>1072.94</v>
      </c>
      <c r="V89" s="102">
        <f t="shared" si="19"/>
        <v>990.04</v>
      </c>
      <c r="W89" s="102">
        <f t="shared" si="19"/>
        <v>917.54</v>
      </c>
      <c r="X89" s="102">
        <f t="shared" si="19"/>
        <v>1032.1399999999999</v>
      </c>
      <c r="Y89" s="102">
        <f t="shared" si="19"/>
        <v>1122.6399999999999</v>
      </c>
      <c r="Z89" s="102">
        <f t="shared" si="19"/>
        <v>1248.74</v>
      </c>
      <c r="AA89" s="102">
        <f t="shared" si="19"/>
        <v>1130.54</v>
      </c>
      <c r="AB89" s="102">
        <f t="shared" si="19"/>
        <v>1133.24</v>
      </c>
      <c r="AC89" s="102">
        <f t="shared" si="19"/>
        <v>1040.44</v>
      </c>
      <c r="AD89" s="102">
        <f t="shared" si="19"/>
        <v>1045.94</v>
      </c>
      <c r="AE89" s="102">
        <f t="shared" si="19"/>
        <v>939.84</v>
      </c>
      <c r="AF89" s="102">
        <f t="shared" si="19"/>
        <v>846.04</v>
      </c>
      <c r="AG89" s="95">
        <f>AG86+AG82+AG70+AG66+AG48+AG88</f>
        <v>1526.99</v>
      </c>
      <c r="AH89" s="52">
        <f t="shared" si="12"/>
        <v>1248.74</v>
      </c>
      <c r="AI89" s="53">
        <f t="shared" si="13"/>
        <v>800.54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20">B89-B97</f>
        <v>977.04</v>
      </c>
      <c r="C90" s="102">
        <f t="shared" ref="C90:AF90" si="21">C89-C97</f>
        <v>800.54</v>
      </c>
      <c r="D90" s="102">
        <f t="shared" si="21"/>
        <v>846.93999999999994</v>
      </c>
      <c r="E90" s="102">
        <f t="shared" si="21"/>
        <v>814.04</v>
      </c>
      <c r="F90" s="102">
        <f t="shared" si="21"/>
        <v>819.94</v>
      </c>
      <c r="G90" s="102">
        <f t="shared" si="21"/>
        <v>852.24</v>
      </c>
      <c r="H90" s="102">
        <f t="shared" si="21"/>
        <v>851.74000000000012</v>
      </c>
      <c r="I90" s="102">
        <f t="shared" si="21"/>
        <v>839.24</v>
      </c>
      <c r="J90" s="102">
        <f t="shared" si="21"/>
        <v>897.84000000000015</v>
      </c>
      <c r="K90" s="102">
        <f t="shared" si="21"/>
        <v>993.24</v>
      </c>
      <c r="L90" s="102">
        <f t="shared" si="21"/>
        <v>1059.74</v>
      </c>
      <c r="M90" s="102">
        <f t="shared" si="21"/>
        <v>1064.6399999999999</v>
      </c>
      <c r="N90" s="102">
        <f t="shared" si="21"/>
        <v>1085.8400000000001</v>
      </c>
      <c r="O90" s="102">
        <f t="shared" si="21"/>
        <v>1062.44</v>
      </c>
      <c r="P90" s="102">
        <f t="shared" si="21"/>
        <v>1094.8400000000001</v>
      </c>
      <c r="Q90" s="102">
        <f t="shared" si="21"/>
        <v>1096.94</v>
      </c>
      <c r="R90" s="102">
        <f t="shared" si="21"/>
        <v>1096.94</v>
      </c>
      <c r="S90" s="102">
        <f t="shared" si="21"/>
        <v>1085.6400000000001</v>
      </c>
      <c r="T90" s="102">
        <f t="shared" si="21"/>
        <v>1077.8399999999999</v>
      </c>
      <c r="U90" s="102">
        <f t="shared" si="21"/>
        <v>1072.94</v>
      </c>
      <c r="V90" s="102">
        <f t="shared" si="21"/>
        <v>990.04</v>
      </c>
      <c r="W90" s="102">
        <f t="shared" si="21"/>
        <v>917.54</v>
      </c>
      <c r="X90" s="102">
        <f t="shared" si="21"/>
        <v>1032.1399999999999</v>
      </c>
      <c r="Y90" s="102">
        <f t="shared" si="21"/>
        <v>1122.6399999999999</v>
      </c>
      <c r="Z90" s="102">
        <f t="shared" si="21"/>
        <v>1248.74</v>
      </c>
      <c r="AA90" s="102">
        <f t="shared" si="21"/>
        <v>1130.54</v>
      </c>
      <c r="AB90" s="102">
        <f t="shared" si="21"/>
        <v>1133.24</v>
      </c>
      <c r="AC90" s="102">
        <f t="shared" si="21"/>
        <v>1040.44</v>
      </c>
      <c r="AD90" s="102">
        <f t="shared" si="21"/>
        <v>1045.94</v>
      </c>
      <c r="AE90" s="102">
        <f t="shared" si="21"/>
        <v>939.84</v>
      </c>
      <c r="AF90" s="102">
        <f t="shared" si="21"/>
        <v>846.04</v>
      </c>
      <c r="AG90" s="95"/>
      <c r="AH90" s="52">
        <f t="shared" si="12"/>
        <v>1248.74</v>
      </c>
      <c r="AI90" s="53">
        <f t="shared" si="13"/>
        <v>800.54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2"/>
        <v>0</v>
      </c>
      <c r="AI91" s="53">
        <f t="shared" si="1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2"/>
        <v>0</v>
      </c>
      <c r="AI92" s="53">
        <f t="shared" si="1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2"/>
        <v>0</v>
      </c>
      <c r="AI93" s="53">
        <f t="shared" si="1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2"/>
        <v>0</v>
      </c>
      <c r="AI94" s="53">
        <f t="shared" si="1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2"/>
        <v>0</v>
      </c>
      <c r="AI95" s="53">
        <f t="shared" si="1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2"/>
        <v>0</v>
      </c>
      <c r="AI96" s="53">
        <f t="shared" si="1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2"/>
        <v>0</v>
      </c>
      <c r="AI97" s="53">
        <f t="shared" si="13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" si="22">B82-B97</f>
        <v>401.2</v>
      </c>
      <c r="C98" s="67">
        <f t="shared" ref="C98:AF98" si="23">C82-C97</f>
        <v>116.4</v>
      </c>
      <c r="D98" s="67">
        <f t="shared" si="23"/>
        <v>123.6</v>
      </c>
      <c r="E98" s="67">
        <f t="shared" si="23"/>
        <v>131.70000000000002</v>
      </c>
      <c r="F98" s="67">
        <f t="shared" si="23"/>
        <v>150</v>
      </c>
      <c r="G98" s="67">
        <f t="shared" si="23"/>
        <v>169.8</v>
      </c>
      <c r="H98" s="67">
        <f t="shared" si="23"/>
        <v>158.1</v>
      </c>
      <c r="I98" s="67">
        <f t="shared" si="23"/>
        <v>140.30000000000001</v>
      </c>
      <c r="J98" s="67">
        <f t="shared" si="23"/>
        <v>168.70000000000002</v>
      </c>
      <c r="K98" s="67">
        <f t="shared" si="23"/>
        <v>197.00000000000003</v>
      </c>
      <c r="L98" s="67">
        <f t="shared" si="23"/>
        <v>187.89999999999998</v>
      </c>
      <c r="M98" s="67">
        <f t="shared" si="23"/>
        <v>174.10000000000002</v>
      </c>
      <c r="N98" s="67">
        <f t="shared" si="23"/>
        <v>199.49999999999997</v>
      </c>
      <c r="O98" s="67">
        <f t="shared" si="23"/>
        <v>176.10000000000002</v>
      </c>
      <c r="P98" s="67">
        <f t="shared" si="23"/>
        <v>166.6</v>
      </c>
      <c r="Q98" s="67">
        <f t="shared" si="23"/>
        <v>180.3</v>
      </c>
      <c r="R98" s="67">
        <f t="shared" si="23"/>
        <v>180.3</v>
      </c>
      <c r="S98" s="67">
        <f t="shared" si="23"/>
        <v>203.8</v>
      </c>
      <c r="T98" s="67">
        <f t="shared" si="23"/>
        <v>172.5</v>
      </c>
      <c r="U98" s="67">
        <f t="shared" si="23"/>
        <v>173.20000000000002</v>
      </c>
      <c r="V98" s="67">
        <f t="shared" si="23"/>
        <v>147.1</v>
      </c>
      <c r="W98" s="67">
        <f t="shared" si="23"/>
        <v>161.39999999999998</v>
      </c>
      <c r="X98" s="67">
        <f t="shared" si="23"/>
        <v>144.20000000000002</v>
      </c>
      <c r="Y98" s="67">
        <f t="shared" si="23"/>
        <v>146.5</v>
      </c>
      <c r="Z98" s="67">
        <f t="shared" si="23"/>
        <v>142.4</v>
      </c>
      <c r="AA98" s="67">
        <f t="shared" si="23"/>
        <v>142.4</v>
      </c>
      <c r="AB98" s="67">
        <f t="shared" si="23"/>
        <v>147.69999999999999</v>
      </c>
      <c r="AC98" s="67">
        <f t="shared" si="23"/>
        <v>90.4</v>
      </c>
      <c r="AD98" s="67">
        <f t="shared" si="23"/>
        <v>92.6</v>
      </c>
      <c r="AE98" s="67">
        <f t="shared" si="23"/>
        <v>83.9</v>
      </c>
      <c r="AF98" s="67">
        <f t="shared" si="23"/>
        <v>60.300000000000004</v>
      </c>
      <c r="AG98" s="95"/>
      <c r="AH98" s="52">
        <f t="shared" si="12"/>
        <v>401.2</v>
      </c>
      <c r="AI98" s="53">
        <f t="shared" si="13"/>
        <v>60.300000000000004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</v>
      </c>
      <c r="C99" s="108">
        <v>49.98</v>
      </c>
      <c r="D99" s="108">
        <v>50</v>
      </c>
      <c r="E99" s="108">
        <v>50.04</v>
      </c>
      <c r="F99" s="108">
        <v>49.993000000000002</v>
      </c>
      <c r="G99" s="108">
        <v>50.029000000000003</v>
      </c>
      <c r="H99" s="108">
        <v>49.94</v>
      </c>
      <c r="I99" s="108">
        <v>49.97</v>
      </c>
      <c r="J99" s="108">
        <v>50.029000000000003</v>
      </c>
      <c r="K99" s="108">
        <v>50.087000000000003</v>
      </c>
      <c r="L99" s="108">
        <v>50.106000000000002</v>
      </c>
      <c r="M99" s="108">
        <v>50.24</v>
      </c>
      <c r="N99" s="108">
        <v>50.030999999999999</v>
      </c>
      <c r="O99" s="108">
        <v>49.991</v>
      </c>
      <c r="P99" s="108">
        <v>50.015000000000001</v>
      </c>
      <c r="Q99" s="108">
        <v>50.003999999999998</v>
      </c>
      <c r="R99" s="108">
        <v>50.003999999999998</v>
      </c>
      <c r="S99" s="108">
        <v>50.003999999999998</v>
      </c>
      <c r="T99" s="108">
        <v>49.917999999999999</v>
      </c>
      <c r="U99" s="108">
        <v>49.988999999999997</v>
      </c>
      <c r="V99" s="108">
        <v>49.968000000000004</v>
      </c>
      <c r="W99" s="108">
        <v>50.109000000000002</v>
      </c>
      <c r="X99" s="108">
        <v>49.98</v>
      </c>
      <c r="Y99" s="108">
        <v>50.012999999999998</v>
      </c>
      <c r="Z99" s="108">
        <v>50.103000000000002</v>
      </c>
      <c r="AA99" s="108">
        <v>50.103000000000002</v>
      </c>
      <c r="AB99" s="108">
        <v>50.076000000000001</v>
      </c>
      <c r="AC99" s="108">
        <v>50.064999999999998</v>
      </c>
      <c r="AD99" s="108">
        <v>49.889000000000003</v>
      </c>
      <c r="AE99" s="108">
        <v>50.127000000000002</v>
      </c>
      <c r="AF99" s="108">
        <v>49.932000000000002</v>
      </c>
      <c r="AG99" s="109"/>
      <c r="AH99" s="52">
        <f t="shared" si="12"/>
        <v>50.24</v>
      </c>
      <c r="AI99" s="53">
        <f t="shared" si="13"/>
        <v>49.889000000000003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127.6</v>
      </c>
      <c r="C100" s="72">
        <v>128.80000000000001</v>
      </c>
      <c r="D100" s="72">
        <v>128.5</v>
      </c>
      <c r="E100" s="72">
        <v>128.9</v>
      </c>
      <c r="F100" s="72">
        <v>129</v>
      </c>
      <c r="G100" s="72">
        <v>128.9</v>
      </c>
      <c r="H100" s="72">
        <v>130</v>
      </c>
      <c r="I100" s="72">
        <v>130</v>
      </c>
      <c r="J100" s="72">
        <v>129.19999999999999</v>
      </c>
      <c r="K100" s="72">
        <v>131</v>
      </c>
      <c r="L100" s="72">
        <v>130.6</v>
      </c>
      <c r="M100" s="72">
        <v>130.6</v>
      </c>
      <c r="N100" s="72">
        <v>128.19999999999999</v>
      </c>
      <c r="O100" s="72">
        <v>129.19999999999999</v>
      </c>
      <c r="P100" s="72">
        <v>125.1</v>
      </c>
      <c r="Q100" s="72">
        <v>126</v>
      </c>
      <c r="R100" s="72">
        <v>126</v>
      </c>
      <c r="S100" s="72">
        <v>126</v>
      </c>
      <c r="T100" s="72">
        <v>127.5</v>
      </c>
      <c r="U100" s="72">
        <v>127.5</v>
      </c>
      <c r="V100" s="72">
        <v>129</v>
      </c>
      <c r="W100" s="72">
        <v>130.9</v>
      </c>
      <c r="X100" s="72">
        <v>129.80000000000001</v>
      </c>
      <c r="Y100" s="72">
        <v>129.30000000000001</v>
      </c>
      <c r="Z100" s="72">
        <v>127.4</v>
      </c>
      <c r="AA100" s="72">
        <v>127.4</v>
      </c>
      <c r="AB100" s="72">
        <v>129.30000000000001</v>
      </c>
      <c r="AC100" s="72">
        <v>128</v>
      </c>
      <c r="AD100" s="72">
        <v>126.8</v>
      </c>
      <c r="AE100" s="72">
        <v>127.3</v>
      </c>
      <c r="AF100" s="72">
        <v>127.9</v>
      </c>
      <c r="AG100" s="111"/>
      <c r="AH100" s="52">
        <f t="shared" si="12"/>
        <v>131</v>
      </c>
      <c r="AI100" s="53">
        <f t="shared" si="13"/>
        <v>125.1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131.6</v>
      </c>
      <c r="C101" s="72">
        <v>132.5</v>
      </c>
      <c r="D101" s="72">
        <v>132.19999999999999</v>
      </c>
      <c r="E101" s="72">
        <v>132.4</v>
      </c>
      <c r="F101" s="72">
        <v>132.5</v>
      </c>
      <c r="G101" s="72">
        <v>132.30000000000001</v>
      </c>
      <c r="H101" s="72">
        <v>132.80000000000001</v>
      </c>
      <c r="I101" s="72">
        <v>132.4</v>
      </c>
      <c r="J101" s="72">
        <v>131.30000000000001</v>
      </c>
      <c r="K101" s="72">
        <v>132</v>
      </c>
      <c r="L101" s="72">
        <v>131.69999999999999</v>
      </c>
      <c r="M101" s="72">
        <v>131.69999999999999</v>
      </c>
      <c r="N101" s="72">
        <v>129.4</v>
      </c>
      <c r="O101" s="72">
        <v>130.80000000000001</v>
      </c>
      <c r="P101" s="72">
        <v>128.5</v>
      </c>
      <c r="Q101" s="72">
        <v>129.6</v>
      </c>
      <c r="R101" s="72">
        <v>129.6</v>
      </c>
      <c r="S101" s="72">
        <v>129.6</v>
      </c>
      <c r="T101" s="72">
        <v>130.4</v>
      </c>
      <c r="U101" s="72">
        <v>130.4</v>
      </c>
      <c r="V101" s="72">
        <v>132</v>
      </c>
      <c r="W101" s="72">
        <v>133.4</v>
      </c>
      <c r="X101" s="72">
        <v>132.19999999999999</v>
      </c>
      <c r="Y101" s="72">
        <v>131.1</v>
      </c>
      <c r="Z101" s="72">
        <v>129.4</v>
      </c>
      <c r="AA101" s="72">
        <v>129.4</v>
      </c>
      <c r="AB101" s="72">
        <v>131.6</v>
      </c>
      <c r="AC101" s="72">
        <v>131.19999999999999</v>
      </c>
      <c r="AD101" s="72">
        <v>130.6</v>
      </c>
      <c r="AE101" s="72">
        <v>131.30000000000001</v>
      </c>
      <c r="AF101" s="72">
        <v>132</v>
      </c>
      <c r="AG101" s="111"/>
      <c r="AH101" s="52">
        <f t="shared" si="12"/>
        <v>133.4</v>
      </c>
      <c r="AI101" s="53">
        <f t="shared" si="13"/>
        <v>128.5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132.19999999999999</v>
      </c>
      <c r="C102" s="72">
        <v>132.1</v>
      </c>
      <c r="D102" s="72">
        <v>134.69999999999999</v>
      </c>
      <c r="E102" s="72">
        <v>136.69999999999999</v>
      </c>
      <c r="F102" s="72">
        <v>135.69999999999999</v>
      </c>
      <c r="G102" s="72">
        <v>136</v>
      </c>
      <c r="H102" s="72">
        <v>136.69999999999999</v>
      </c>
      <c r="I102" s="72">
        <v>136.69999999999999</v>
      </c>
      <c r="J102" s="72">
        <v>135.6</v>
      </c>
      <c r="K102" s="72">
        <v>135.30000000000001</v>
      </c>
      <c r="L102" s="72">
        <v>132.6</v>
      </c>
      <c r="M102" s="72">
        <v>132.6</v>
      </c>
      <c r="N102" s="72">
        <v>130.5</v>
      </c>
      <c r="O102" s="72">
        <v>131.6</v>
      </c>
      <c r="P102" s="72">
        <v>131.1</v>
      </c>
      <c r="Q102" s="72">
        <v>132.80000000000001</v>
      </c>
      <c r="R102" s="72">
        <v>132.80000000000001</v>
      </c>
      <c r="S102" s="72">
        <v>132.80000000000001</v>
      </c>
      <c r="T102" s="72">
        <v>130.9</v>
      </c>
      <c r="U102" s="72">
        <v>130.9</v>
      </c>
      <c r="V102" s="72">
        <v>135.69999999999999</v>
      </c>
      <c r="W102" s="72">
        <v>136.69999999999999</v>
      </c>
      <c r="X102" s="72">
        <v>137</v>
      </c>
      <c r="Y102" s="72">
        <v>136.69999999999999</v>
      </c>
      <c r="Z102" s="72">
        <v>135.5</v>
      </c>
      <c r="AA102" s="72">
        <v>135.5</v>
      </c>
      <c r="AB102" s="72">
        <v>134.4</v>
      </c>
      <c r="AC102" s="72">
        <v>129.69999999999999</v>
      </c>
      <c r="AD102" s="72">
        <v>129.6</v>
      </c>
      <c r="AE102" s="72">
        <v>129.69999999999999</v>
      </c>
      <c r="AF102" s="72">
        <v>131</v>
      </c>
      <c r="AG102" s="111"/>
      <c r="AH102" s="52">
        <f t="shared" si="12"/>
        <v>137</v>
      </c>
      <c r="AI102" s="53">
        <f t="shared" si="13"/>
        <v>129.6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2"/>
        <v>0</v>
      </c>
      <c r="AI103" s="53">
        <f t="shared" si="1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133.6</v>
      </c>
      <c r="C104" s="113">
        <v>132.4</v>
      </c>
      <c r="D104" s="113">
        <v>131.69999999999999</v>
      </c>
      <c r="E104" s="113">
        <v>131.80000000000001</v>
      </c>
      <c r="F104" s="113">
        <v>131.4</v>
      </c>
      <c r="G104" s="113">
        <v>131.69999999999999</v>
      </c>
      <c r="H104" s="113">
        <v>128.80000000000001</v>
      </c>
      <c r="I104" s="113">
        <v>133.9</v>
      </c>
      <c r="J104" s="113">
        <v>135.19999999999999</v>
      </c>
      <c r="K104" s="113">
        <v>136.5</v>
      </c>
      <c r="L104" s="113">
        <v>134.5</v>
      </c>
      <c r="M104" s="113">
        <v>134.5</v>
      </c>
      <c r="N104" s="113">
        <v>131</v>
      </c>
      <c r="O104" s="113">
        <v>135.19999999999999</v>
      </c>
      <c r="P104" s="113">
        <v>131.5</v>
      </c>
      <c r="Q104" s="113">
        <v>131.6</v>
      </c>
      <c r="R104" s="113">
        <v>131.6</v>
      </c>
      <c r="S104" s="113">
        <v>131.6</v>
      </c>
      <c r="T104" s="113">
        <v>132.80000000000001</v>
      </c>
      <c r="U104" s="113">
        <v>132.80000000000001</v>
      </c>
      <c r="V104" s="113">
        <v>135</v>
      </c>
      <c r="W104" s="113">
        <v>136.19999999999999</v>
      </c>
      <c r="X104" s="113">
        <v>134.30000000000001</v>
      </c>
      <c r="Y104" s="113">
        <v>134.30000000000001</v>
      </c>
      <c r="Z104" s="113">
        <v>130.80000000000001</v>
      </c>
      <c r="AA104" s="113">
        <v>130.80000000000001</v>
      </c>
      <c r="AB104" s="113">
        <v>135</v>
      </c>
      <c r="AC104" s="113">
        <v>135.1</v>
      </c>
      <c r="AD104" s="113">
        <v>133.1</v>
      </c>
      <c r="AE104" s="113">
        <v>132.19999999999999</v>
      </c>
      <c r="AF104" s="113">
        <v>136.30000000000001</v>
      </c>
      <c r="AG104" s="114"/>
      <c r="AH104" s="52">
        <f t="shared" si="12"/>
        <v>136.5</v>
      </c>
      <c r="AI104" s="53">
        <f t="shared" si="13"/>
        <v>128.80000000000001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136.19999999999999</v>
      </c>
      <c r="C105" s="72">
        <v>137.5</v>
      </c>
      <c r="D105" s="72">
        <v>137</v>
      </c>
      <c r="E105" s="72">
        <v>140.80000000000001</v>
      </c>
      <c r="F105" s="72">
        <v>138.80000000000001</v>
      </c>
      <c r="G105" s="72">
        <v>138</v>
      </c>
      <c r="H105" s="72">
        <v>136.9</v>
      </c>
      <c r="I105" s="72">
        <v>139</v>
      </c>
      <c r="J105" s="72">
        <v>134.19999999999999</v>
      </c>
      <c r="K105" s="72">
        <v>131.30000000000001</v>
      </c>
      <c r="L105" s="72">
        <v>129.4</v>
      </c>
      <c r="M105" s="72">
        <v>129.4</v>
      </c>
      <c r="N105" s="72">
        <v>129.80000000000001</v>
      </c>
      <c r="O105" s="72">
        <v>128.4</v>
      </c>
      <c r="P105" s="72"/>
      <c r="Q105" s="72">
        <v>130.69999999999999</v>
      </c>
      <c r="R105" s="72">
        <v>130.69999999999999</v>
      </c>
      <c r="S105" s="72">
        <v>130.69999999999999</v>
      </c>
      <c r="T105" s="72">
        <v>130.6</v>
      </c>
      <c r="U105" s="72">
        <v>130.6</v>
      </c>
      <c r="V105" s="72">
        <v>133</v>
      </c>
      <c r="W105" s="72">
        <v>135.9</v>
      </c>
      <c r="X105" s="72">
        <v>132.4</v>
      </c>
      <c r="Y105" s="72">
        <v>130.5</v>
      </c>
      <c r="Z105" s="72">
        <v>128.19999999999999</v>
      </c>
      <c r="AA105" s="72">
        <v>128.19999999999999</v>
      </c>
      <c r="AB105" s="72">
        <v>134</v>
      </c>
      <c r="AC105" s="72">
        <v>135.4</v>
      </c>
      <c r="AD105" s="72">
        <v>133.19999999999999</v>
      </c>
      <c r="AE105" s="72">
        <v>131.6</v>
      </c>
      <c r="AF105" s="72">
        <v>136.4</v>
      </c>
      <c r="AG105" s="111"/>
      <c r="AH105" s="52">
        <f t="shared" si="12"/>
        <v>140.80000000000001</v>
      </c>
      <c r="AI105" s="53">
        <f t="shared" si="13"/>
        <v>128.19999999999999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66.2</v>
      </c>
      <c r="C106" s="99">
        <v>66.599999999999994</v>
      </c>
      <c r="D106" s="99">
        <v>66.2</v>
      </c>
      <c r="E106" s="99">
        <v>66.3</v>
      </c>
      <c r="F106" s="99">
        <v>66.599999999999994</v>
      </c>
      <c r="G106" s="99">
        <v>66.400000000000006</v>
      </c>
      <c r="H106" s="99">
        <v>66.400000000000006</v>
      </c>
      <c r="I106" s="99">
        <v>66.2</v>
      </c>
      <c r="J106" s="99">
        <v>65.7</v>
      </c>
      <c r="K106" s="99">
        <v>65.900000000000006</v>
      </c>
      <c r="L106" s="99">
        <v>65.900000000000006</v>
      </c>
      <c r="M106" s="99">
        <v>65.900000000000006</v>
      </c>
      <c r="N106" s="99">
        <v>64.8</v>
      </c>
      <c r="O106" s="99">
        <v>65.7</v>
      </c>
      <c r="P106" s="99">
        <v>64.599999999999994</v>
      </c>
      <c r="Q106" s="99">
        <v>65.099999999999994</v>
      </c>
      <c r="R106" s="99">
        <v>65.099999999999994</v>
      </c>
      <c r="S106" s="99">
        <v>65.099999999999994</v>
      </c>
      <c r="T106" s="99">
        <v>65.2</v>
      </c>
      <c r="U106" s="99">
        <v>65.2</v>
      </c>
      <c r="V106" s="99">
        <v>66.3</v>
      </c>
      <c r="W106" s="99">
        <v>66.7</v>
      </c>
      <c r="X106" s="99">
        <v>65.599999999999994</v>
      </c>
      <c r="Y106" s="99">
        <v>65.7</v>
      </c>
      <c r="Z106" s="99">
        <v>64.900000000000006</v>
      </c>
      <c r="AA106" s="99">
        <v>64.900000000000006</v>
      </c>
      <c r="AB106" s="99">
        <v>66.2</v>
      </c>
      <c r="AC106" s="99">
        <v>65.900000000000006</v>
      </c>
      <c r="AD106" s="99">
        <v>65.599999999999994</v>
      </c>
      <c r="AE106" s="99">
        <v>66</v>
      </c>
      <c r="AF106" s="99">
        <v>66.400000000000006</v>
      </c>
      <c r="AG106" s="115"/>
      <c r="AH106" s="52">
        <f t="shared" si="12"/>
        <v>66.7</v>
      </c>
      <c r="AI106" s="53">
        <f t="shared" si="13"/>
        <v>64.599999999999994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2"/>
        <v>0</v>
      </c>
      <c r="AI107" s="53">
        <f t="shared" si="13"/>
        <v>0</v>
      </c>
    </row>
    <row r="108" spans="1:88" ht="15.75" thickBot="1" x14ac:dyDescent="0.3">
      <c r="A108" s="117" t="s">
        <v>112</v>
      </c>
      <c r="B108" s="118">
        <f t="shared" ref="B108" si="24">SUM(B18,B24,B27:B28,B56,B58:B59,B61,B63,B109:B113,B135,B141,B147,B156,B158,B170,B177,B180:B181,B188,B190,B192,B196:B198,B200:B202,B207,B213:B214,B216:B218,B226,B231)</f>
        <v>104.40000000000002</v>
      </c>
      <c r="C108" s="118">
        <f t="shared" ref="C108:AF108" si="25">SUM(C18,C24,C27:C28,C56,C58:C59,C61,C63,C109:C113,C135,C141,C147,C156,C158,C170,C177,C180:C181,C188,C190,C192,C196:C198,C200:C202,C207,C213:C214,C216:C218,C226,C231)</f>
        <v>96.44</v>
      </c>
      <c r="D108" s="118">
        <f t="shared" si="25"/>
        <v>92.64</v>
      </c>
      <c r="E108" s="118">
        <f t="shared" si="25"/>
        <v>93.34</v>
      </c>
      <c r="F108" s="118">
        <f t="shared" si="25"/>
        <v>101.24</v>
      </c>
      <c r="G108" s="118">
        <f t="shared" si="25"/>
        <v>86.64</v>
      </c>
      <c r="H108" s="118">
        <f t="shared" si="25"/>
        <v>132.24</v>
      </c>
      <c r="I108" s="118">
        <f t="shared" si="25"/>
        <v>173.04000000000002</v>
      </c>
      <c r="J108" s="118">
        <f t="shared" si="25"/>
        <v>198.94</v>
      </c>
      <c r="K108" s="118">
        <f t="shared" si="25"/>
        <v>202.33999999999997</v>
      </c>
      <c r="L108" s="118">
        <f t="shared" si="25"/>
        <v>245.64</v>
      </c>
      <c r="M108" s="118">
        <f t="shared" si="25"/>
        <v>245.64</v>
      </c>
      <c r="N108" s="118">
        <f t="shared" si="25"/>
        <v>273.44</v>
      </c>
      <c r="O108" s="118">
        <f t="shared" si="25"/>
        <v>266.53999999999996</v>
      </c>
      <c r="P108" s="118">
        <v>42</v>
      </c>
      <c r="Q108" s="118">
        <f t="shared" si="25"/>
        <v>220.5</v>
      </c>
      <c r="R108" s="118">
        <f t="shared" si="25"/>
        <v>220.5</v>
      </c>
      <c r="S108" s="118">
        <f t="shared" si="25"/>
        <v>220.5</v>
      </c>
      <c r="T108" s="118">
        <f t="shared" si="25"/>
        <v>220.5</v>
      </c>
      <c r="U108" s="118">
        <f t="shared" si="25"/>
        <v>229.89999999999998</v>
      </c>
      <c r="V108" s="118">
        <f t="shared" si="25"/>
        <v>205.79999999999998</v>
      </c>
      <c r="W108" s="118">
        <f t="shared" si="25"/>
        <v>222.9</v>
      </c>
      <c r="X108" s="118">
        <f t="shared" si="25"/>
        <v>247.7</v>
      </c>
      <c r="Y108" s="118">
        <f t="shared" si="25"/>
        <v>282.8</v>
      </c>
      <c r="Z108" s="118">
        <f t="shared" si="25"/>
        <v>303.7</v>
      </c>
      <c r="AA108" s="118">
        <f t="shared" si="25"/>
        <v>304.89999999999998</v>
      </c>
      <c r="AB108" s="118">
        <f t="shared" si="25"/>
        <v>253.3</v>
      </c>
      <c r="AC108" s="118">
        <f t="shared" si="25"/>
        <v>233</v>
      </c>
      <c r="AD108" s="118">
        <f t="shared" si="25"/>
        <v>204.60000000000002</v>
      </c>
      <c r="AE108" s="118">
        <f t="shared" si="25"/>
        <v>150.5</v>
      </c>
      <c r="AF108" s="118">
        <f t="shared" si="25"/>
        <v>111.1</v>
      </c>
      <c r="AG108" s="119"/>
      <c r="AH108" s="52">
        <f t="shared" si="12"/>
        <v>304.89999999999998</v>
      </c>
      <c r="AI108" s="53">
        <f t="shared" si="13"/>
        <v>42</v>
      </c>
    </row>
    <row r="109" spans="1:88" x14ac:dyDescent="0.25">
      <c r="A109" s="107" t="s">
        <v>113</v>
      </c>
      <c r="B109" s="120">
        <v>-5.0999999999999996</v>
      </c>
      <c r="C109" s="120">
        <v>-8.6999999999999993</v>
      </c>
      <c r="D109" s="120">
        <v>-3.6</v>
      </c>
      <c r="E109" s="120">
        <v>-4.5999999999999996</v>
      </c>
      <c r="F109" s="120">
        <v>-11.6</v>
      </c>
      <c r="G109" s="120">
        <v>-37</v>
      </c>
      <c r="H109" s="120">
        <v>-4</v>
      </c>
      <c r="I109" s="120">
        <v>6.7</v>
      </c>
      <c r="J109" s="120">
        <v>15.7</v>
      </c>
      <c r="K109" s="120">
        <v>19.5</v>
      </c>
      <c r="L109" s="120">
        <v>24</v>
      </c>
      <c r="M109" s="120">
        <v>24</v>
      </c>
      <c r="N109" s="120">
        <v>40</v>
      </c>
      <c r="O109" s="120">
        <v>57.4</v>
      </c>
      <c r="P109" s="120">
        <v>61.4</v>
      </c>
      <c r="Q109" s="120">
        <v>38</v>
      </c>
      <c r="R109" s="120">
        <v>38</v>
      </c>
      <c r="S109" s="120">
        <v>38</v>
      </c>
      <c r="T109" s="120">
        <v>43.1</v>
      </c>
      <c r="U109" s="120">
        <v>33.6</v>
      </c>
      <c r="V109" s="120">
        <v>23.2</v>
      </c>
      <c r="W109" s="120">
        <v>20.9</v>
      </c>
      <c r="X109" s="120">
        <v>21.4</v>
      </c>
      <c r="Y109" s="120">
        <v>29</v>
      </c>
      <c r="Z109" s="120">
        <v>31.8</v>
      </c>
      <c r="AA109" s="120">
        <v>31.8</v>
      </c>
      <c r="AB109" s="120">
        <v>18.2</v>
      </c>
      <c r="AC109" s="120">
        <v>23.5</v>
      </c>
      <c r="AD109" s="120">
        <v>15.8</v>
      </c>
      <c r="AE109" s="120">
        <v>11.3</v>
      </c>
      <c r="AF109" s="120">
        <v>1.2</v>
      </c>
      <c r="AG109" s="121">
        <v>75</v>
      </c>
      <c r="AH109" s="52">
        <f t="shared" si="12"/>
        <v>61.4</v>
      </c>
      <c r="AI109" s="53">
        <f t="shared" si="13"/>
        <v>-37</v>
      </c>
    </row>
    <row r="110" spans="1:88" x14ac:dyDescent="0.25">
      <c r="A110" s="110" t="s">
        <v>114</v>
      </c>
      <c r="B110" s="122">
        <v>0</v>
      </c>
      <c r="C110" s="122">
        <v>-4.5</v>
      </c>
      <c r="D110" s="122">
        <v>2.1</v>
      </c>
      <c r="E110" s="122">
        <v>0</v>
      </c>
      <c r="F110" s="122">
        <v>-9.5</v>
      </c>
      <c r="G110" s="122">
        <v>0</v>
      </c>
      <c r="H110" s="122">
        <v>-3.8</v>
      </c>
      <c r="I110" s="122">
        <v>11</v>
      </c>
      <c r="J110" s="122">
        <v>22.5</v>
      </c>
      <c r="K110" s="122">
        <v>23.4</v>
      </c>
      <c r="L110" s="122">
        <v>29.7</v>
      </c>
      <c r="M110" s="122">
        <v>29.7</v>
      </c>
      <c r="N110" s="122">
        <v>50.5</v>
      </c>
      <c r="O110" s="122">
        <v>76.599999999999994</v>
      </c>
      <c r="P110" s="122">
        <v>89.2</v>
      </c>
      <c r="Q110" s="122">
        <v>58.2</v>
      </c>
      <c r="R110" s="185">
        <v>58.2</v>
      </c>
      <c r="S110" s="185">
        <v>58.2</v>
      </c>
      <c r="T110" s="122">
        <v>61.4</v>
      </c>
      <c r="U110" s="122">
        <v>50.1</v>
      </c>
      <c r="V110" s="122">
        <v>30.4</v>
      </c>
      <c r="W110" s="122">
        <v>29.1</v>
      </c>
      <c r="X110" s="122">
        <v>28.7</v>
      </c>
      <c r="Y110" s="122">
        <v>39.299999999999997</v>
      </c>
      <c r="Z110" s="122">
        <v>41.3</v>
      </c>
      <c r="AA110" s="185">
        <v>41.3</v>
      </c>
      <c r="AB110" s="185">
        <v>22.7</v>
      </c>
      <c r="AC110" s="122">
        <v>30.2</v>
      </c>
      <c r="AD110" s="122">
        <v>19.8</v>
      </c>
      <c r="AE110" s="122">
        <v>16.8</v>
      </c>
      <c r="AF110" s="122">
        <v>7.6</v>
      </c>
      <c r="AG110" s="121">
        <v>240</v>
      </c>
      <c r="AH110" s="52">
        <f t="shared" si="12"/>
        <v>89.2</v>
      </c>
      <c r="AI110" s="53">
        <f t="shared" si="13"/>
        <v>-9.5</v>
      </c>
    </row>
    <row r="111" spans="1:88" x14ac:dyDescent="0.25">
      <c r="A111" s="110" t="s">
        <v>115</v>
      </c>
      <c r="B111" s="122">
        <f>-33.8-36.7</f>
        <v>-70.5</v>
      </c>
      <c r="C111" s="122">
        <f>-30.2-35.1</f>
        <v>-65.3</v>
      </c>
      <c r="D111" s="122">
        <f>-31.9-34.7</f>
        <v>-66.599999999999994</v>
      </c>
      <c r="E111" s="122">
        <v>-65</v>
      </c>
      <c r="F111" s="122">
        <v>-56</v>
      </c>
      <c r="G111" s="122">
        <v>-55.9</v>
      </c>
      <c r="H111" s="122">
        <v>-40.6</v>
      </c>
      <c r="I111" s="122">
        <v>-22</v>
      </c>
      <c r="J111" s="122">
        <v>-17</v>
      </c>
      <c r="K111" s="122">
        <v>-10.4</v>
      </c>
      <c r="L111" s="122">
        <v>6.5</v>
      </c>
      <c r="M111" s="122">
        <v>6.5</v>
      </c>
      <c r="N111" s="122">
        <v>12.9</v>
      </c>
      <c r="O111" s="122">
        <v>-22</v>
      </c>
      <c r="P111" s="122">
        <v>-79.900000000000006</v>
      </c>
      <c r="Q111" s="122">
        <v>-36.5</v>
      </c>
      <c r="R111" s="185">
        <v>-36.5</v>
      </c>
      <c r="S111" s="185">
        <v>-36.5</v>
      </c>
      <c r="T111" s="122">
        <v>-38</v>
      </c>
      <c r="U111" s="122">
        <v>-23</v>
      </c>
      <c r="V111" s="122">
        <v>-28</v>
      </c>
      <c r="W111" s="122">
        <v>-11.3</v>
      </c>
      <c r="X111" s="122">
        <v>-6.2</v>
      </c>
      <c r="Y111" s="122">
        <v>-4</v>
      </c>
      <c r="Z111" s="122">
        <v>9.6999999999999993</v>
      </c>
      <c r="AA111" s="185">
        <v>9.6999999999999993</v>
      </c>
      <c r="AB111" s="185">
        <v>-0.7</v>
      </c>
      <c r="AC111" s="122">
        <v>-26</v>
      </c>
      <c r="AD111" s="122">
        <v>-40</v>
      </c>
      <c r="AE111" s="122">
        <v>-68</v>
      </c>
      <c r="AF111" s="122">
        <v>-77.900000000000006</v>
      </c>
      <c r="AG111" s="121">
        <v>240</v>
      </c>
      <c r="AH111" s="52">
        <f t="shared" si="12"/>
        <v>12.9</v>
      </c>
      <c r="AI111" s="53">
        <f t="shared" si="13"/>
        <v>-79.900000000000006</v>
      </c>
    </row>
    <row r="112" spans="1:88" x14ac:dyDescent="0.25">
      <c r="A112" s="110" t="s">
        <v>116</v>
      </c>
      <c r="B112" s="122">
        <v>-4.5</v>
      </c>
      <c r="C112" s="122">
        <v>5.4</v>
      </c>
      <c r="D112" s="122">
        <v>-6.3</v>
      </c>
      <c r="E112" s="122">
        <v>-6.1</v>
      </c>
      <c r="F112" s="122">
        <v>5</v>
      </c>
      <c r="G112" s="122">
        <v>8.1</v>
      </c>
      <c r="H112" s="122">
        <v>13.7</v>
      </c>
      <c r="I112" s="122">
        <v>14.2</v>
      </c>
      <c r="J112" s="122">
        <v>20.399999999999999</v>
      </c>
      <c r="K112" s="122">
        <v>24</v>
      </c>
      <c r="L112" s="122">
        <v>31.2</v>
      </c>
      <c r="M112" s="122">
        <v>31.2</v>
      </c>
      <c r="N112" s="122">
        <v>13.4</v>
      </c>
      <c r="O112" s="122">
        <v>11.6</v>
      </c>
      <c r="P112" s="122">
        <v>1.2</v>
      </c>
      <c r="Q112" s="122">
        <v>1.9</v>
      </c>
      <c r="R112" s="185">
        <v>1.9</v>
      </c>
      <c r="S112" s="185">
        <v>1.9</v>
      </c>
      <c r="T112" s="122">
        <v>-2.1</v>
      </c>
      <c r="U112" s="122">
        <v>0</v>
      </c>
      <c r="V112" s="122">
        <v>13.5</v>
      </c>
      <c r="W112" s="122">
        <v>15.3</v>
      </c>
      <c r="X112" s="122">
        <v>17.2</v>
      </c>
      <c r="Y112" s="122">
        <v>31.3</v>
      </c>
      <c r="Z112" s="122">
        <v>23.7</v>
      </c>
      <c r="AA112" s="185">
        <v>23.7</v>
      </c>
      <c r="AB112" s="185">
        <v>15</v>
      </c>
      <c r="AC112" s="122">
        <v>9.6</v>
      </c>
      <c r="AD112" s="122">
        <v>6.9</v>
      </c>
      <c r="AE112" s="122">
        <v>0</v>
      </c>
      <c r="AF112" s="122">
        <v>-1.8</v>
      </c>
      <c r="AG112" s="121">
        <v>60</v>
      </c>
      <c r="AH112" s="52">
        <f t="shared" si="12"/>
        <v>31.3</v>
      </c>
      <c r="AI112" s="53">
        <f t="shared" si="13"/>
        <v>-6.3</v>
      </c>
    </row>
    <row r="113" spans="1:37" x14ac:dyDescent="0.25">
      <c r="A113" s="123" t="s">
        <v>117</v>
      </c>
      <c r="B113" s="124">
        <v>79.2</v>
      </c>
      <c r="C113" s="124">
        <v>68.099999999999994</v>
      </c>
      <c r="D113" s="124">
        <v>67.8</v>
      </c>
      <c r="E113" s="124">
        <v>69.8</v>
      </c>
      <c r="F113" s="124">
        <v>74.099999999999994</v>
      </c>
      <c r="G113" s="124">
        <v>72.2</v>
      </c>
      <c r="H113" s="124">
        <v>71.400000000000006</v>
      </c>
      <c r="I113" s="124">
        <v>70.8</v>
      </c>
      <c r="J113" s="124">
        <v>69.099999999999994</v>
      </c>
      <c r="K113" s="124">
        <v>57.6</v>
      </c>
      <c r="L113" s="124">
        <v>57.4</v>
      </c>
      <c r="M113" s="124">
        <v>57.4</v>
      </c>
      <c r="N113" s="124">
        <v>59.8</v>
      </c>
      <c r="O113" s="124">
        <v>46.1</v>
      </c>
      <c r="P113" s="124">
        <v>58.5</v>
      </c>
      <c r="Q113" s="124">
        <v>64.8</v>
      </c>
      <c r="R113" s="124">
        <v>64.8</v>
      </c>
      <c r="S113" s="124">
        <v>64.8</v>
      </c>
      <c r="T113" s="124">
        <v>64</v>
      </c>
      <c r="U113" s="124">
        <v>77.099999999999994</v>
      </c>
      <c r="V113" s="124">
        <v>68.599999999999994</v>
      </c>
      <c r="W113" s="124">
        <v>77.900000000000006</v>
      </c>
      <c r="X113" s="124">
        <v>88.7</v>
      </c>
      <c r="Y113" s="124">
        <v>89.3</v>
      </c>
      <c r="Z113" s="124">
        <v>100.5</v>
      </c>
      <c r="AA113" s="124">
        <v>100.5</v>
      </c>
      <c r="AB113" s="124">
        <v>100.2</v>
      </c>
      <c r="AC113" s="124">
        <v>96.5</v>
      </c>
      <c r="AD113" s="124">
        <v>102.9</v>
      </c>
      <c r="AE113" s="124">
        <v>86.2</v>
      </c>
      <c r="AF113" s="124">
        <v>77.8</v>
      </c>
      <c r="AG113" s="125">
        <v>120</v>
      </c>
      <c r="AH113" s="52">
        <f t="shared" si="12"/>
        <v>102.9</v>
      </c>
      <c r="AI113" s="53">
        <f t="shared" si="13"/>
        <v>46.1</v>
      </c>
    </row>
    <row r="114" spans="1:37" x14ac:dyDescent="0.25">
      <c r="A114" s="123" t="s">
        <v>118</v>
      </c>
      <c r="B114" s="124">
        <v>89.1</v>
      </c>
      <c r="C114" s="124">
        <v>73.400000000000006</v>
      </c>
      <c r="D114" s="124">
        <v>75.2</v>
      </c>
      <c r="E114" s="124">
        <v>80.5</v>
      </c>
      <c r="F114" s="124">
        <v>79.8</v>
      </c>
      <c r="G114" s="124">
        <v>78.8</v>
      </c>
      <c r="H114" s="124">
        <v>70.599999999999994</v>
      </c>
      <c r="I114" s="124">
        <v>63</v>
      </c>
      <c r="J114" s="124">
        <v>60.3</v>
      </c>
      <c r="K114" s="124">
        <v>36.9</v>
      </c>
      <c r="L114" s="124">
        <v>33.700000000000003</v>
      </c>
      <c r="M114" s="124">
        <v>33.700000000000003</v>
      </c>
      <c r="N114" s="124">
        <v>36.799999999999997</v>
      </c>
      <c r="O114" s="124">
        <v>26.8</v>
      </c>
      <c r="P114" s="124">
        <v>62</v>
      </c>
      <c r="Q114" s="124">
        <v>58.6</v>
      </c>
      <c r="R114" s="124">
        <v>58.6</v>
      </c>
      <c r="S114" s="124">
        <v>58.6</v>
      </c>
      <c r="T114" s="124">
        <v>55.9</v>
      </c>
      <c r="U114" s="124">
        <v>78</v>
      </c>
      <c r="V114" s="124">
        <v>71.099999999999994</v>
      </c>
      <c r="W114" s="124">
        <v>57.6</v>
      </c>
      <c r="X114" s="124">
        <v>50.6</v>
      </c>
      <c r="Y114" s="124">
        <v>53.4</v>
      </c>
      <c r="Z114" s="124">
        <v>67.400000000000006</v>
      </c>
      <c r="AA114" s="124">
        <v>67.400000000000006</v>
      </c>
      <c r="AB114" s="124">
        <v>70.599999999999994</v>
      </c>
      <c r="AC114" s="124">
        <v>67</v>
      </c>
      <c r="AD114" s="124">
        <v>74.8</v>
      </c>
      <c r="AE114" s="124">
        <v>74.099999999999994</v>
      </c>
      <c r="AF114" s="124">
        <v>69.7</v>
      </c>
      <c r="AG114" s="125"/>
      <c r="AH114" s="52">
        <f t="shared" si="12"/>
        <v>89.1</v>
      </c>
      <c r="AI114" s="53">
        <f t="shared" si="13"/>
        <v>26.8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>
        <v>43.3</v>
      </c>
      <c r="G115" s="124"/>
      <c r="H115" s="124">
        <v>48.9</v>
      </c>
      <c r="I115" s="124"/>
      <c r="J115" s="124"/>
      <c r="K115" s="124">
        <v>18.8</v>
      </c>
      <c r="L115" s="124">
        <v>12.2</v>
      </c>
      <c r="M115" s="124">
        <v>12.2</v>
      </c>
      <c r="N115" s="124"/>
      <c r="O115" s="124"/>
      <c r="P115" s="124"/>
      <c r="Q115" s="124"/>
      <c r="R115" s="124"/>
      <c r="S115" s="124"/>
      <c r="T115" s="124">
        <v>9.4</v>
      </c>
      <c r="U115" s="124"/>
      <c r="V115" s="124"/>
      <c r="W115" s="124"/>
      <c r="X115" s="124">
        <v>25.2</v>
      </c>
      <c r="Y115" s="124">
        <v>22.5</v>
      </c>
      <c r="Z115" s="124"/>
      <c r="AA115" s="124"/>
      <c r="AB115" s="124"/>
      <c r="AC115" s="124"/>
      <c r="AD115" s="124">
        <v>45.1</v>
      </c>
      <c r="AE115" s="124">
        <v>33.5</v>
      </c>
      <c r="AF115" s="124">
        <v>36.799999999999997</v>
      </c>
      <c r="AG115" s="126"/>
      <c r="AH115" s="52">
        <f t="shared" si="12"/>
        <v>48.9</v>
      </c>
      <c r="AI115" s="53">
        <f t="shared" si="13"/>
        <v>9.4</v>
      </c>
    </row>
    <row r="116" spans="1:37" x14ac:dyDescent="0.25">
      <c r="A116" s="127" t="s">
        <v>120</v>
      </c>
      <c r="B116" s="113">
        <v>51</v>
      </c>
      <c r="C116" s="113">
        <v>61</v>
      </c>
      <c r="D116" s="113">
        <v>61</v>
      </c>
      <c r="E116" s="113">
        <v>67</v>
      </c>
      <c r="F116" s="113">
        <v>66</v>
      </c>
      <c r="G116" s="113">
        <v>67</v>
      </c>
      <c r="H116" s="113">
        <v>62</v>
      </c>
      <c r="I116" s="113">
        <v>53</v>
      </c>
      <c r="J116" s="113">
        <v>52</v>
      </c>
      <c r="K116" s="113">
        <v>46</v>
      </c>
      <c r="L116" s="113">
        <v>46</v>
      </c>
      <c r="M116" s="113">
        <v>46</v>
      </c>
      <c r="N116" s="113">
        <v>59.8</v>
      </c>
      <c r="O116" s="113">
        <v>64.900000000000006</v>
      </c>
      <c r="P116" s="113">
        <v>70.900000000000006</v>
      </c>
      <c r="Q116" s="113">
        <v>64.7</v>
      </c>
      <c r="R116" s="113">
        <v>64.7</v>
      </c>
      <c r="S116" s="113">
        <v>32</v>
      </c>
      <c r="T116" s="113">
        <v>4.5</v>
      </c>
      <c r="U116" s="113">
        <v>29</v>
      </c>
      <c r="V116" s="113">
        <v>31</v>
      </c>
      <c r="W116" s="113">
        <v>28.3</v>
      </c>
      <c r="X116" s="113">
        <v>20.3</v>
      </c>
      <c r="Y116" s="113">
        <v>45</v>
      </c>
      <c r="Z116" s="113">
        <v>42</v>
      </c>
      <c r="AA116" s="113">
        <v>42</v>
      </c>
      <c r="AB116" s="113">
        <v>46</v>
      </c>
      <c r="AC116" s="113">
        <v>37.1</v>
      </c>
      <c r="AD116" s="113">
        <v>49</v>
      </c>
      <c r="AE116" s="113">
        <v>65</v>
      </c>
      <c r="AF116" s="113">
        <v>66</v>
      </c>
      <c r="AG116" s="126"/>
      <c r="AH116" s="52">
        <f t="shared" si="12"/>
        <v>70.900000000000006</v>
      </c>
      <c r="AI116" s="53">
        <f t="shared" si="13"/>
        <v>4.5</v>
      </c>
    </row>
    <row r="117" spans="1:37" ht="15.75" thickBot="1" x14ac:dyDescent="0.3">
      <c r="A117" s="127" t="s">
        <v>121</v>
      </c>
      <c r="B117" s="113">
        <v>30.7</v>
      </c>
      <c r="C117" s="113">
        <v>-6.4</v>
      </c>
      <c r="D117" s="113">
        <v>-14.7</v>
      </c>
      <c r="E117" s="113">
        <v>-31.8</v>
      </c>
      <c r="F117" s="113">
        <v>-24.3</v>
      </c>
      <c r="G117" s="113">
        <v>-19.7</v>
      </c>
      <c r="H117" s="113">
        <v>-21.4</v>
      </c>
      <c r="I117" s="113">
        <v>-27.8</v>
      </c>
      <c r="J117" s="113">
        <v>-21.2</v>
      </c>
      <c r="K117" s="113">
        <v>-12.8</v>
      </c>
      <c r="L117" s="113">
        <v>2.8</v>
      </c>
      <c r="M117" s="113">
        <v>2.8</v>
      </c>
      <c r="N117" s="113">
        <v>7.6</v>
      </c>
      <c r="O117" s="113">
        <v>5.3</v>
      </c>
      <c r="P117" s="113">
        <v>6.1</v>
      </c>
      <c r="Q117" s="113">
        <v>11.8</v>
      </c>
      <c r="R117" s="113">
        <v>11.8</v>
      </c>
      <c r="S117" s="113">
        <v>11.8</v>
      </c>
      <c r="T117" s="113">
        <v>22.2</v>
      </c>
      <c r="U117" s="113">
        <v>10.3</v>
      </c>
      <c r="V117" s="113">
        <v>-3.3</v>
      </c>
      <c r="W117" s="113">
        <v>-5.8</v>
      </c>
      <c r="X117" s="113">
        <v>-7.3</v>
      </c>
      <c r="Y117" s="113">
        <v>-13.2</v>
      </c>
      <c r="Z117" s="113">
        <v>8.9</v>
      </c>
      <c r="AA117" s="113">
        <v>8.9</v>
      </c>
      <c r="AB117" s="113">
        <v>-10.5</v>
      </c>
      <c r="AC117" s="113">
        <v>22.8</v>
      </c>
      <c r="AD117" s="113">
        <v>19.600000000000001</v>
      </c>
      <c r="AE117" s="113">
        <v>10.7</v>
      </c>
      <c r="AF117" s="113">
        <v>5.9</v>
      </c>
      <c r="AG117" s="126"/>
      <c r="AH117" s="52">
        <f t="shared" si="12"/>
        <v>30.7</v>
      </c>
      <c r="AI117" s="53">
        <f t="shared" si="13"/>
        <v>-31.8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6">SUM(B119:B223)</f>
        <v>0</v>
      </c>
      <c r="C224" s="144">
        <f t="shared" si="26"/>
        <v>0</v>
      </c>
      <c r="D224" s="144">
        <f t="shared" si="26"/>
        <v>0</v>
      </c>
      <c r="E224" s="144">
        <f t="shared" si="26"/>
        <v>0</v>
      </c>
      <c r="F224" s="144">
        <f t="shared" si="26"/>
        <v>0</v>
      </c>
      <c r="G224" s="144">
        <f t="shared" si="26"/>
        <v>0</v>
      </c>
      <c r="H224" s="144">
        <f t="shared" si="26"/>
        <v>0</v>
      </c>
      <c r="I224" s="144">
        <f t="shared" si="26"/>
        <v>0</v>
      </c>
      <c r="J224" s="144">
        <f t="shared" si="26"/>
        <v>0</v>
      </c>
      <c r="K224" s="144">
        <f t="shared" si="26"/>
        <v>0</v>
      </c>
      <c r="L224" s="144">
        <f t="shared" si="26"/>
        <v>0</v>
      </c>
      <c r="M224" s="144">
        <f t="shared" si="26"/>
        <v>0</v>
      </c>
      <c r="N224" s="144">
        <f t="shared" si="26"/>
        <v>0</v>
      </c>
      <c r="O224" s="144">
        <f t="shared" si="26"/>
        <v>0</v>
      </c>
      <c r="P224" s="144">
        <f t="shared" si="26"/>
        <v>0</v>
      </c>
      <c r="Q224" s="144">
        <f t="shared" si="26"/>
        <v>0</v>
      </c>
      <c r="R224" s="144">
        <f t="shared" si="26"/>
        <v>0</v>
      </c>
      <c r="S224" s="144">
        <f t="shared" si="26"/>
        <v>0</v>
      </c>
      <c r="T224" s="144">
        <f t="shared" si="26"/>
        <v>0</v>
      </c>
      <c r="U224" s="144">
        <f t="shared" si="26"/>
        <v>0</v>
      </c>
      <c r="V224" s="144">
        <f t="shared" si="26"/>
        <v>0</v>
      </c>
      <c r="W224" s="144">
        <f t="shared" si="26"/>
        <v>0</v>
      </c>
      <c r="X224" s="144">
        <f t="shared" si="26"/>
        <v>0</v>
      </c>
      <c r="Y224" s="144">
        <f t="shared" si="26"/>
        <v>0</v>
      </c>
      <c r="Z224" s="144">
        <f t="shared" si="26"/>
        <v>0</v>
      </c>
      <c r="AA224" s="144">
        <f t="shared" si="26"/>
        <v>0</v>
      </c>
      <c r="AB224" s="144">
        <f t="shared" si="26"/>
        <v>0</v>
      </c>
      <c r="AC224" s="144">
        <f t="shared" si="26"/>
        <v>0</v>
      </c>
      <c r="AD224" s="144">
        <f t="shared" si="26"/>
        <v>0</v>
      </c>
      <c r="AE224" s="144">
        <f t="shared" si="26"/>
        <v>0</v>
      </c>
      <c r="AF224" s="145">
        <f t="shared" si="26"/>
        <v>0</v>
      </c>
      <c r="AG224" s="146">
        <f t="shared" si="26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7">AF226</f>
        <v>0</v>
      </c>
      <c r="C226" s="149">
        <v>0.3</v>
      </c>
      <c r="D226" s="149">
        <f t="shared" ref="D226:P231" si="28">C226</f>
        <v>0.3</v>
      </c>
      <c r="E226" s="149">
        <f t="shared" si="28"/>
        <v>0.3</v>
      </c>
      <c r="F226" s="149">
        <f t="shared" si="28"/>
        <v>0.3</v>
      </c>
      <c r="G226" s="149">
        <f t="shared" si="28"/>
        <v>0.3</v>
      </c>
      <c r="H226" s="149">
        <f t="shared" si="28"/>
        <v>0.3</v>
      </c>
      <c r="I226" s="149">
        <f t="shared" si="28"/>
        <v>0.3</v>
      </c>
      <c r="J226" s="149">
        <f t="shared" si="28"/>
        <v>0.3</v>
      </c>
      <c r="K226" s="149">
        <f t="shared" si="28"/>
        <v>0.3</v>
      </c>
      <c r="L226" s="149">
        <f t="shared" si="28"/>
        <v>0.3</v>
      </c>
      <c r="M226" s="149">
        <f t="shared" si="28"/>
        <v>0.3</v>
      </c>
      <c r="N226" s="149">
        <f t="shared" si="28"/>
        <v>0.3</v>
      </c>
      <c r="O226" s="149">
        <f t="shared" si="28"/>
        <v>0.3</v>
      </c>
      <c r="P226" s="149">
        <f t="shared" si="28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7"/>
        <v>0</v>
      </c>
      <c r="C227" s="136">
        <v>0.4</v>
      </c>
      <c r="D227" s="136">
        <f t="shared" si="28"/>
        <v>0.4</v>
      </c>
      <c r="E227" s="136">
        <f t="shared" si="28"/>
        <v>0.4</v>
      </c>
      <c r="F227" s="136">
        <f t="shared" si="28"/>
        <v>0.4</v>
      </c>
      <c r="G227" s="136">
        <f t="shared" si="28"/>
        <v>0.4</v>
      </c>
      <c r="H227" s="136">
        <f t="shared" si="28"/>
        <v>0.4</v>
      </c>
      <c r="I227" s="136">
        <f t="shared" si="28"/>
        <v>0.4</v>
      </c>
      <c r="J227" s="136">
        <f t="shared" si="28"/>
        <v>0.4</v>
      </c>
      <c r="K227" s="136">
        <f t="shared" si="28"/>
        <v>0.4</v>
      </c>
      <c r="L227" s="136">
        <f t="shared" si="28"/>
        <v>0.4</v>
      </c>
      <c r="M227" s="136">
        <f t="shared" si="28"/>
        <v>0.4</v>
      </c>
      <c r="N227" s="136">
        <f t="shared" si="28"/>
        <v>0.4</v>
      </c>
      <c r="O227" s="136">
        <f t="shared" si="28"/>
        <v>0.4</v>
      </c>
      <c r="P227" s="136">
        <f t="shared" si="28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7"/>
        <v>0</v>
      </c>
      <c r="C228" s="136">
        <v>1.5</v>
      </c>
      <c r="D228" s="136">
        <f t="shared" si="28"/>
        <v>1.5</v>
      </c>
      <c r="E228" s="136">
        <f t="shared" si="28"/>
        <v>1.5</v>
      </c>
      <c r="F228" s="136">
        <f t="shared" si="28"/>
        <v>1.5</v>
      </c>
      <c r="G228" s="136">
        <f t="shared" si="28"/>
        <v>1.5</v>
      </c>
      <c r="H228" s="136">
        <f t="shared" si="28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8"/>
        <v>1.5</v>
      </c>
      <c r="K228" s="136">
        <f t="shared" ca="1" si="28"/>
        <v>1.5</v>
      </c>
      <c r="L228" s="136">
        <f t="shared" ca="1" si="28"/>
        <v>1.5</v>
      </c>
      <c r="M228" s="136">
        <f t="shared" ca="1" si="28"/>
        <v>1.5</v>
      </c>
      <c r="N228" s="136">
        <f t="shared" ca="1" si="28"/>
        <v>1.5</v>
      </c>
      <c r="O228" s="136">
        <f t="shared" ca="1" si="28"/>
        <v>1.5</v>
      </c>
      <c r="P228" s="136">
        <f t="shared" ca="1" si="28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7"/>
        <v>0</v>
      </c>
      <c r="C229" s="136">
        <v>0.3</v>
      </c>
      <c r="D229" s="136">
        <f t="shared" si="28"/>
        <v>0.3</v>
      </c>
      <c r="E229" s="136">
        <f t="shared" si="28"/>
        <v>0.3</v>
      </c>
      <c r="F229" s="136">
        <f t="shared" si="28"/>
        <v>0.3</v>
      </c>
      <c r="G229" s="136">
        <f t="shared" si="28"/>
        <v>0.3</v>
      </c>
      <c r="H229" s="136">
        <f t="shared" si="28"/>
        <v>0.3</v>
      </c>
      <c r="I229" s="136">
        <f t="shared" si="28"/>
        <v>0.3</v>
      </c>
      <c r="J229" s="136">
        <f t="shared" si="28"/>
        <v>0.3</v>
      </c>
      <c r="K229" s="136">
        <f t="shared" si="28"/>
        <v>0.3</v>
      </c>
      <c r="L229" s="136">
        <f t="shared" si="28"/>
        <v>0.3</v>
      </c>
      <c r="M229" s="136">
        <f t="shared" si="28"/>
        <v>0.3</v>
      </c>
      <c r="N229" s="136">
        <f t="shared" si="28"/>
        <v>0.3</v>
      </c>
      <c r="O229" s="136">
        <f t="shared" si="28"/>
        <v>0.3</v>
      </c>
      <c r="P229" s="136">
        <f t="shared" si="28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7"/>
        <v>0</v>
      </c>
      <c r="C230" s="136">
        <v>0.4</v>
      </c>
      <c r="D230" s="136">
        <f t="shared" si="28"/>
        <v>0.4</v>
      </c>
      <c r="E230" s="136">
        <f t="shared" si="28"/>
        <v>0.4</v>
      </c>
      <c r="F230" s="136">
        <f t="shared" si="28"/>
        <v>0.4</v>
      </c>
      <c r="G230" s="136">
        <f t="shared" si="28"/>
        <v>0.4</v>
      </c>
      <c r="H230" s="136">
        <f t="shared" si="28"/>
        <v>0.4</v>
      </c>
      <c r="I230" s="136">
        <f t="shared" si="28"/>
        <v>0.4</v>
      </c>
      <c r="J230" s="136">
        <f t="shared" si="28"/>
        <v>0.4</v>
      </c>
      <c r="K230" s="136">
        <f t="shared" si="28"/>
        <v>0.4</v>
      </c>
      <c r="L230" s="136">
        <f t="shared" si="28"/>
        <v>0.4</v>
      </c>
      <c r="M230" s="136">
        <f t="shared" si="28"/>
        <v>0.4</v>
      </c>
      <c r="N230" s="136">
        <f t="shared" si="28"/>
        <v>0.4</v>
      </c>
      <c r="O230" s="136">
        <f t="shared" si="28"/>
        <v>0.4</v>
      </c>
      <c r="P230" s="136">
        <f t="shared" si="28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7"/>
        <v>0</v>
      </c>
      <c r="C231" s="140">
        <v>0.64</v>
      </c>
      <c r="D231" s="140">
        <f t="shared" si="28"/>
        <v>0.64</v>
      </c>
      <c r="E231" s="140">
        <f t="shared" si="28"/>
        <v>0.64</v>
      </c>
      <c r="F231" s="140">
        <f t="shared" si="28"/>
        <v>0.64</v>
      </c>
      <c r="G231" s="140">
        <f t="shared" si="28"/>
        <v>0.64</v>
      </c>
      <c r="H231" s="140">
        <f t="shared" si="28"/>
        <v>0.64</v>
      </c>
      <c r="I231" s="140">
        <f t="shared" si="28"/>
        <v>0.64</v>
      </c>
      <c r="J231" s="140">
        <f t="shared" si="28"/>
        <v>0.64</v>
      </c>
      <c r="K231" s="140">
        <f t="shared" si="28"/>
        <v>0.64</v>
      </c>
      <c r="L231" s="140">
        <f t="shared" si="28"/>
        <v>0.64</v>
      </c>
      <c r="M231" s="140">
        <f t="shared" si="28"/>
        <v>0.64</v>
      </c>
      <c r="N231" s="140">
        <f t="shared" si="28"/>
        <v>0.64</v>
      </c>
      <c r="O231" s="140">
        <f t="shared" si="28"/>
        <v>0.64</v>
      </c>
      <c r="P231" s="140">
        <f t="shared" si="28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9">SUM(B226:B231)</f>
        <v>0</v>
      </c>
      <c r="C232" s="144">
        <f t="shared" si="29"/>
        <v>3.54</v>
      </c>
      <c r="D232" s="144">
        <f t="shared" si="29"/>
        <v>3.54</v>
      </c>
      <c r="E232" s="144">
        <f t="shared" si="29"/>
        <v>3.54</v>
      </c>
      <c r="F232" s="144">
        <f t="shared" si="29"/>
        <v>3.54</v>
      </c>
      <c r="G232" s="144">
        <f t="shared" si="29"/>
        <v>3.54</v>
      </c>
      <c r="H232" s="144">
        <f t="shared" si="29"/>
        <v>3.54</v>
      </c>
      <c r="I232" s="144">
        <f t="shared" ca="1" si="29"/>
        <v>3.54</v>
      </c>
      <c r="J232" s="144">
        <f t="shared" ca="1" si="29"/>
        <v>3.54</v>
      </c>
      <c r="K232" s="144">
        <f t="shared" ca="1" si="29"/>
        <v>3.54</v>
      </c>
      <c r="L232" s="144">
        <f t="shared" ca="1" si="29"/>
        <v>3.54</v>
      </c>
      <c r="M232" s="144">
        <f t="shared" ca="1" si="29"/>
        <v>3.54</v>
      </c>
      <c r="N232" s="144">
        <f t="shared" ca="1" si="29"/>
        <v>3.54</v>
      </c>
      <c r="O232" s="144">
        <f t="shared" ca="1" si="29"/>
        <v>3.54</v>
      </c>
      <c r="P232" s="144">
        <f t="shared" ca="1" si="29"/>
        <v>3.54</v>
      </c>
      <c r="Q232" s="144">
        <f t="shared" si="29"/>
        <v>0</v>
      </c>
      <c r="R232" s="144">
        <f t="shared" si="29"/>
        <v>0</v>
      </c>
      <c r="S232" s="144">
        <f t="shared" si="29"/>
        <v>0</v>
      </c>
      <c r="T232" s="144">
        <f t="shared" si="29"/>
        <v>0</v>
      </c>
      <c r="U232" s="144">
        <f t="shared" si="29"/>
        <v>0</v>
      </c>
      <c r="V232" s="144">
        <f t="shared" si="29"/>
        <v>0</v>
      </c>
      <c r="W232" s="144">
        <f t="shared" si="29"/>
        <v>0</v>
      </c>
      <c r="X232" s="144">
        <f t="shared" si="29"/>
        <v>0</v>
      </c>
      <c r="Y232" s="144">
        <f t="shared" si="29"/>
        <v>0</v>
      </c>
      <c r="Z232" s="144">
        <f t="shared" si="29"/>
        <v>0</v>
      </c>
      <c r="AA232" s="144">
        <f t="shared" si="29"/>
        <v>0</v>
      </c>
      <c r="AB232" s="144">
        <f t="shared" si="29"/>
        <v>0</v>
      </c>
      <c r="AC232" s="144">
        <f t="shared" si="29"/>
        <v>0</v>
      </c>
      <c r="AD232" s="144">
        <f t="shared" si="29"/>
        <v>0</v>
      </c>
      <c r="AE232" s="144">
        <f t="shared" si="29"/>
        <v>0</v>
      </c>
      <c r="AF232" s="144">
        <f t="shared" si="29"/>
        <v>0</v>
      </c>
      <c r="AG232" s="154">
        <f t="shared" si="29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1085.8400000000001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18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2079/12/18)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2079/12/18)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0">B89</f>
        <v>977.04</v>
      </c>
      <c r="U246" s="180">
        <f t="shared" si="30"/>
        <v>800.54</v>
      </c>
      <c r="V246" s="180">
        <f t="shared" si="30"/>
        <v>846.93999999999994</v>
      </c>
      <c r="W246" s="180">
        <f t="shared" si="30"/>
        <v>814.04</v>
      </c>
      <c r="X246" s="180">
        <f t="shared" si="30"/>
        <v>819.94</v>
      </c>
      <c r="Y246" s="180">
        <f t="shared" si="30"/>
        <v>852.24</v>
      </c>
      <c r="Z246" s="180">
        <f t="shared" si="30"/>
        <v>851.74000000000012</v>
      </c>
      <c r="AA246" s="180">
        <f t="shared" si="30"/>
        <v>839.24</v>
      </c>
      <c r="AB246" s="180">
        <f t="shared" si="30"/>
        <v>897.84000000000015</v>
      </c>
      <c r="AC246" s="180">
        <f t="shared" si="30"/>
        <v>993.24</v>
      </c>
      <c r="AD246" s="180">
        <f t="shared" si="30"/>
        <v>1059.74</v>
      </c>
      <c r="AE246" s="180">
        <f t="shared" si="30"/>
        <v>1064.6399999999999</v>
      </c>
      <c r="AF246" s="180">
        <f t="shared" si="30"/>
        <v>1085.8400000000001</v>
      </c>
      <c r="AG246" s="180">
        <f t="shared" si="30"/>
        <v>1062.44</v>
      </c>
      <c r="AH246" s="180">
        <f t="shared" si="30"/>
        <v>1094.8400000000001</v>
      </c>
      <c r="AI246" s="180">
        <f t="shared" si="30"/>
        <v>1096.94</v>
      </c>
      <c r="AJ246" s="180">
        <f t="shared" si="30"/>
        <v>1096.94</v>
      </c>
      <c r="AK246" s="180">
        <f t="shared" si="30"/>
        <v>1085.6400000000001</v>
      </c>
      <c r="AL246" s="180">
        <f t="shared" si="30"/>
        <v>1077.8399999999999</v>
      </c>
      <c r="AM246" s="180">
        <f t="shared" si="30"/>
        <v>1072.94</v>
      </c>
      <c r="AN246" s="180">
        <f t="shared" si="30"/>
        <v>990.04</v>
      </c>
      <c r="AO246" s="180">
        <f t="shared" si="30"/>
        <v>917.54</v>
      </c>
      <c r="AP246" s="180">
        <f t="shared" si="30"/>
        <v>1032.1399999999999</v>
      </c>
      <c r="AQ246" s="180">
        <f t="shared" si="30"/>
        <v>1122.6399999999999</v>
      </c>
      <c r="AR246" s="180">
        <f t="shared" si="30"/>
        <v>1248.74</v>
      </c>
      <c r="AS246" s="180">
        <f t="shared" si="30"/>
        <v>1130.54</v>
      </c>
      <c r="AT246" s="180">
        <f t="shared" si="30"/>
        <v>1133.24</v>
      </c>
      <c r="AU246" s="180">
        <f t="shared" si="30"/>
        <v>1040.44</v>
      </c>
      <c r="AV246" s="180">
        <f t="shared" si="30"/>
        <v>1045.94</v>
      </c>
      <c r="AW246" s="180">
        <f t="shared" si="30"/>
        <v>939.84</v>
      </c>
      <c r="AX246" s="180">
        <f t="shared" si="30"/>
        <v>846.04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1">C231</f>
        <v>0.64</v>
      </c>
      <c r="C267" s="183">
        <f t="shared" si="31"/>
        <v>0.64</v>
      </c>
      <c r="D267" s="183">
        <f t="shared" si="31"/>
        <v>0.64</v>
      </c>
      <c r="E267" s="183">
        <f t="shared" si="31"/>
        <v>0.64</v>
      </c>
      <c r="F267" s="183">
        <f t="shared" si="31"/>
        <v>0.64</v>
      </c>
      <c r="G267" s="183">
        <f t="shared" si="31"/>
        <v>0.64</v>
      </c>
      <c r="H267" s="183">
        <f t="shared" si="31"/>
        <v>0.64</v>
      </c>
      <c r="I267" s="183">
        <f t="shared" si="31"/>
        <v>0.64</v>
      </c>
      <c r="J267" s="183">
        <f t="shared" si="31"/>
        <v>0.64</v>
      </c>
      <c r="K267" s="183">
        <f t="shared" si="31"/>
        <v>0.64</v>
      </c>
      <c r="L267" s="183">
        <f t="shared" si="31"/>
        <v>0.64</v>
      </c>
      <c r="M267" s="183">
        <f t="shared" si="31"/>
        <v>0.64</v>
      </c>
      <c r="N267" s="183">
        <f t="shared" si="31"/>
        <v>0.64</v>
      </c>
      <c r="O267" s="183">
        <f t="shared" si="31"/>
        <v>0.64</v>
      </c>
      <c r="P267" s="183">
        <f t="shared" si="31"/>
        <v>0</v>
      </c>
      <c r="Q267" s="183">
        <f t="shared" si="31"/>
        <v>0</v>
      </c>
      <c r="R267" s="183">
        <f t="shared" si="31"/>
        <v>0</v>
      </c>
      <c r="S267" s="183">
        <f t="shared" si="31"/>
        <v>0</v>
      </c>
      <c r="T267" s="183">
        <f t="shared" si="31"/>
        <v>0</v>
      </c>
      <c r="U267" s="183">
        <f t="shared" si="31"/>
        <v>0</v>
      </c>
      <c r="V267" s="183">
        <f t="shared" si="31"/>
        <v>0</v>
      </c>
      <c r="W267" s="183">
        <f t="shared" si="31"/>
        <v>0</v>
      </c>
      <c r="X267" s="183">
        <f t="shared" si="31"/>
        <v>0</v>
      </c>
      <c r="Y267" s="183">
        <f t="shared" si="31"/>
        <v>0</v>
      </c>
      <c r="Z267" s="183">
        <f t="shared" si="31"/>
        <v>0</v>
      </c>
      <c r="AA267" s="183">
        <f t="shared" si="31"/>
        <v>0</v>
      </c>
      <c r="AB267" s="183">
        <f t="shared" si="31"/>
        <v>0</v>
      </c>
      <c r="AC267" s="183">
        <f t="shared" si="31"/>
        <v>0</v>
      </c>
      <c r="AD267" s="183">
        <f t="shared" si="31"/>
        <v>0</v>
      </c>
      <c r="AE267" s="183">
        <f t="shared" si="31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2">IF(B235&lt;100,"",B235-520)</f>
        <v/>
      </c>
      <c r="C268" s="184" t="str">
        <f t="shared" si="32"/>
        <v/>
      </c>
      <c r="D268" s="184" t="str">
        <f t="shared" si="32"/>
        <v/>
      </c>
      <c r="E268" s="184" t="str">
        <f t="shared" si="32"/>
        <v/>
      </c>
      <c r="F268" s="184" t="str">
        <f t="shared" si="32"/>
        <v/>
      </c>
      <c r="G268" s="184" t="str">
        <f t="shared" si="32"/>
        <v/>
      </c>
      <c r="H268" s="184" t="str">
        <f t="shared" si="32"/>
        <v/>
      </c>
      <c r="I268" s="184" t="str">
        <f t="shared" si="32"/>
        <v/>
      </c>
      <c r="J268" s="184" t="str">
        <f t="shared" si="32"/>
        <v/>
      </c>
      <c r="K268" s="184" t="str">
        <f t="shared" si="32"/>
        <v/>
      </c>
      <c r="L268" s="184" t="str">
        <f t="shared" si="32"/>
        <v/>
      </c>
      <c r="M268" s="184" t="str">
        <f t="shared" si="32"/>
        <v/>
      </c>
      <c r="N268" s="184" t="str">
        <f t="shared" si="32"/>
        <v/>
      </c>
      <c r="O268" s="184" t="str">
        <f t="shared" si="32"/>
        <v/>
      </c>
      <c r="P268" s="184" t="str">
        <f t="shared" si="32"/>
        <v/>
      </c>
      <c r="Q268" s="184" t="str">
        <f t="shared" si="32"/>
        <v/>
      </c>
      <c r="R268" s="184" t="str">
        <f t="shared" si="32"/>
        <v/>
      </c>
      <c r="S268" s="184" t="str">
        <f t="shared" si="32"/>
        <v/>
      </c>
      <c r="T268" s="184" t="str">
        <f t="shared" si="32"/>
        <v/>
      </c>
      <c r="U268" s="184" t="str">
        <f t="shared" si="32"/>
        <v/>
      </c>
      <c r="V268" s="184" t="str">
        <f t="shared" si="32"/>
        <v/>
      </c>
      <c r="W268" s="184" t="str">
        <f t="shared" si="32"/>
        <v/>
      </c>
      <c r="X268" s="184" t="str">
        <f t="shared" si="32"/>
        <v/>
      </c>
      <c r="Y268" s="184" t="str">
        <f t="shared" si="32"/>
        <v/>
      </c>
      <c r="Z268" s="184" t="str">
        <f t="shared" si="32"/>
        <v/>
      </c>
      <c r="AA268" s="184" t="str">
        <f t="shared" si="32"/>
        <v/>
      </c>
      <c r="AB268" s="184" t="str">
        <f t="shared" si="32"/>
        <v/>
      </c>
      <c r="AC268" s="184" t="str">
        <f t="shared" si="32"/>
        <v/>
      </c>
      <c r="AD268" s="184" t="str">
        <f t="shared" si="32"/>
        <v/>
      </c>
      <c r="AE268" s="184" t="str">
        <f t="shared" si="32"/>
        <v/>
      </c>
      <c r="AF268" s="184" t="str">
        <f t="shared" si="32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3">IF(B236&lt;100,"",B236-620)</f>
        <v/>
      </c>
      <c r="C269" s="184" t="str">
        <f t="shared" si="33"/>
        <v/>
      </c>
      <c r="D269" s="184" t="str">
        <f t="shared" si="33"/>
        <v/>
      </c>
      <c r="E269" s="184" t="str">
        <f t="shared" si="33"/>
        <v/>
      </c>
      <c r="F269" s="184" t="str">
        <f t="shared" si="33"/>
        <v/>
      </c>
      <c r="G269" s="184" t="str">
        <f t="shared" si="33"/>
        <v/>
      </c>
      <c r="H269" s="184" t="str">
        <f t="shared" si="33"/>
        <v/>
      </c>
      <c r="I269" s="184" t="str">
        <f t="shared" si="33"/>
        <v/>
      </c>
      <c r="J269" s="184" t="str">
        <f t="shared" si="33"/>
        <v/>
      </c>
      <c r="K269" s="184" t="str">
        <f t="shared" si="33"/>
        <v/>
      </c>
      <c r="L269" s="184" t="str">
        <f t="shared" si="33"/>
        <v/>
      </c>
      <c r="M269" s="184" t="str">
        <f t="shared" si="33"/>
        <v/>
      </c>
      <c r="N269" s="184" t="str">
        <f t="shared" si="33"/>
        <v/>
      </c>
      <c r="O269" s="184" t="str">
        <f t="shared" si="33"/>
        <v/>
      </c>
      <c r="P269" s="184" t="str">
        <f t="shared" si="33"/>
        <v/>
      </c>
      <c r="Q269" s="184" t="str">
        <f t="shared" si="33"/>
        <v/>
      </c>
      <c r="R269" s="184" t="str">
        <f t="shared" si="33"/>
        <v/>
      </c>
      <c r="S269" s="184" t="str">
        <f t="shared" si="33"/>
        <v/>
      </c>
      <c r="T269" s="184" t="str">
        <f t="shared" si="33"/>
        <v/>
      </c>
      <c r="U269" s="184" t="str">
        <f t="shared" si="33"/>
        <v/>
      </c>
      <c r="V269" s="184" t="str">
        <f t="shared" si="33"/>
        <v/>
      </c>
      <c r="W269" s="184" t="str">
        <f t="shared" si="33"/>
        <v/>
      </c>
      <c r="X269" s="184" t="str">
        <f t="shared" si="33"/>
        <v/>
      </c>
      <c r="Y269" s="184" t="str">
        <f t="shared" si="33"/>
        <v/>
      </c>
      <c r="Z269" s="184" t="str">
        <f t="shared" si="33"/>
        <v/>
      </c>
      <c r="AA269" s="184" t="str">
        <f t="shared" si="33"/>
        <v/>
      </c>
      <c r="AB269" s="184" t="str">
        <f t="shared" si="33"/>
        <v/>
      </c>
      <c r="AC269" s="184" t="str">
        <f t="shared" si="33"/>
        <v/>
      </c>
      <c r="AD269" s="184" t="str">
        <f t="shared" si="33"/>
        <v/>
      </c>
      <c r="AE269" s="184" t="str">
        <f t="shared" si="33"/>
        <v/>
      </c>
      <c r="AF269" s="184" t="str">
        <f t="shared" si="33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4">IF(B237&lt;100,"",B237-330)</f>
        <v/>
      </c>
      <c r="C270" s="184" t="str">
        <f t="shared" si="34"/>
        <v/>
      </c>
      <c r="D270" s="184" t="str">
        <f t="shared" si="34"/>
        <v/>
      </c>
      <c r="E270" s="184" t="str">
        <f t="shared" si="34"/>
        <v/>
      </c>
      <c r="F270" s="184" t="str">
        <f t="shared" si="34"/>
        <v/>
      </c>
      <c r="G270" s="184" t="str">
        <f t="shared" si="34"/>
        <v/>
      </c>
      <c r="H270" s="184" t="str">
        <f t="shared" si="34"/>
        <v/>
      </c>
      <c r="I270" s="184" t="str">
        <f t="shared" si="34"/>
        <v/>
      </c>
      <c r="J270" s="184" t="str">
        <f t="shared" si="34"/>
        <v/>
      </c>
      <c r="K270" s="184" t="str">
        <f t="shared" si="34"/>
        <v/>
      </c>
      <c r="L270" s="184" t="str">
        <f t="shared" si="34"/>
        <v/>
      </c>
      <c r="M270" s="184" t="str">
        <f t="shared" si="34"/>
        <v/>
      </c>
      <c r="N270" s="184" t="str">
        <f t="shared" si="34"/>
        <v/>
      </c>
      <c r="O270" s="184" t="str">
        <f t="shared" si="34"/>
        <v/>
      </c>
      <c r="P270" s="184" t="str">
        <f t="shared" si="34"/>
        <v/>
      </c>
      <c r="Q270" s="184" t="str">
        <f t="shared" si="34"/>
        <v/>
      </c>
      <c r="R270" s="184" t="str">
        <f t="shared" si="34"/>
        <v/>
      </c>
      <c r="S270" s="184" t="str">
        <f t="shared" si="34"/>
        <v/>
      </c>
      <c r="T270" s="184" t="str">
        <f t="shared" si="34"/>
        <v/>
      </c>
      <c r="U270" s="184" t="str">
        <f t="shared" si="34"/>
        <v/>
      </c>
      <c r="V270" s="184" t="str">
        <f t="shared" si="34"/>
        <v/>
      </c>
      <c r="W270" s="184" t="str">
        <f t="shared" si="34"/>
        <v/>
      </c>
      <c r="X270" s="184" t="str">
        <f t="shared" si="34"/>
        <v/>
      </c>
      <c r="Y270" s="184" t="str">
        <f t="shared" si="34"/>
        <v/>
      </c>
      <c r="Z270" s="184" t="str">
        <f t="shared" si="34"/>
        <v/>
      </c>
      <c r="AA270" s="184" t="str">
        <f t="shared" si="34"/>
        <v/>
      </c>
      <c r="AB270" s="184" t="str">
        <f t="shared" si="34"/>
        <v/>
      </c>
      <c r="AC270" s="184" t="str">
        <f t="shared" si="34"/>
        <v/>
      </c>
      <c r="AD270" s="184" t="str">
        <f t="shared" si="34"/>
        <v/>
      </c>
      <c r="AE270" s="184" t="str">
        <f t="shared" si="34"/>
        <v/>
      </c>
      <c r="AF270" s="184" t="str">
        <f t="shared" si="34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5">IF(B238&lt;100,"",B238-1500)</f>
        <v/>
      </c>
      <c r="C271" s="184" t="str">
        <f t="shared" si="35"/>
        <v/>
      </c>
      <c r="D271" s="184" t="str">
        <f t="shared" si="35"/>
        <v/>
      </c>
      <c r="E271" s="184" t="str">
        <f t="shared" si="35"/>
        <v/>
      </c>
      <c r="F271" s="184" t="str">
        <f t="shared" si="35"/>
        <v/>
      </c>
      <c r="G271" s="184" t="str">
        <f t="shared" si="35"/>
        <v/>
      </c>
      <c r="H271" s="184" t="str">
        <f t="shared" si="35"/>
        <v/>
      </c>
      <c r="I271" s="184" t="str">
        <f t="shared" si="35"/>
        <v/>
      </c>
      <c r="J271" s="184" t="str">
        <f t="shared" si="35"/>
        <v/>
      </c>
      <c r="K271" s="184" t="str">
        <f t="shared" si="35"/>
        <v/>
      </c>
      <c r="L271" s="184" t="str">
        <f t="shared" si="35"/>
        <v/>
      </c>
      <c r="M271" s="184" t="str">
        <f t="shared" si="35"/>
        <v/>
      </c>
      <c r="N271" s="184" t="str">
        <f t="shared" si="35"/>
        <v/>
      </c>
      <c r="O271" s="184" t="str">
        <f t="shared" si="35"/>
        <v/>
      </c>
      <c r="P271" s="184" t="str">
        <f t="shared" si="35"/>
        <v/>
      </c>
      <c r="Q271" s="184" t="str">
        <f t="shared" si="35"/>
        <v/>
      </c>
      <c r="R271" s="184" t="str">
        <f t="shared" si="35"/>
        <v/>
      </c>
      <c r="S271" s="184" t="str">
        <f t="shared" si="35"/>
        <v/>
      </c>
      <c r="T271" s="184" t="str">
        <f t="shared" si="35"/>
        <v/>
      </c>
      <c r="U271" s="184" t="str">
        <f t="shared" si="35"/>
        <v/>
      </c>
      <c r="V271" s="184" t="str">
        <f t="shared" si="35"/>
        <v/>
      </c>
      <c r="W271" s="184" t="str">
        <f t="shared" si="35"/>
        <v/>
      </c>
      <c r="X271" s="184" t="str">
        <f t="shared" si="35"/>
        <v/>
      </c>
      <c r="Y271" s="184" t="str">
        <f t="shared" si="35"/>
        <v/>
      </c>
      <c r="Z271" s="184" t="str">
        <f t="shared" si="35"/>
        <v/>
      </c>
      <c r="AA271" s="184" t="str">
        <f t="shared" si="35"/>
        <v/>
      </c>
      <c r="AB271" s="184" t="str">
        <f t="shared" si="35"/>
        <v/>
      </c>
      <c r="AC271" s="184" t="str">
        <f t="shared" si="35"/>
        <v/>
      </c>
      <c r="AD271" s="184" t="str">
        <f t="shared" si="35"/>
        <v/>
      </c>
      <c r="AE271" s="184" t="str">
        <f t="shared" si="35"/>
        <v/>
      </c>
      <c r="AF271" s="184" t="str">
        <f t="shared" si="35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9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96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5729" priority="592">
      <formula>B$9&gt;=20/24</formula>
    </cfRule>
    <cfRule type="expression" dxfId="5728" priority="593">
      <formula>AND(B$9&gt;=14/24,B$9&lt;20/24)</formula>
    </cfRule>
    <cfRule type="expression" dxfId="5727" priority="594">
      <formula>AND(B$9&gt;=8/24,B$9&lt;14/24)</formula>
    </cfRule>
    <cfRule type="expression" dxfId="5726" priority="595">
      <formula>B$9&lt;8/24</formula>
    </cfRule>
  </conditionalFormatting>
  <conditionalFormatting sqref="AL4:AL6">
    <cfRule type="iconSet" priority="591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5725" priority="590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5724" priority="589">
      <formula>$AH12=0</formula>
    </cfRule>
  </conditionalFormatting>
  <conditionalFormatting sqref="A114">
    <cfRule type="expression" dxfId="5723" priority="588">
      <formula>$AH114=0</formula>
    </cfRule>
  </conditionalFormatting>
  <conditionalFormatting sqref="AL42">
    <cfRule type="iconSet" priority="587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5722" priority="586">
      <formula>$AH45=0</formula>
    </cfRule>
  </conditionalFormatting>
  <conditionalFormatting sqref="A98">
    <cfRule type="expression" dxfId="5721" priority="585">
      <formula>$AH98=0</formula>
    </cfRule>
  </conditionalFormatting>
  <conditionalFormatting sqref="A18">
    <cfRule type="expression" dxfId="5720" priority="584">
      <formula>$AH18=0</formula>
    </cfRule>
  </conditionalFormatting>
  <conditionalFormatting sqref="A196:A201">
    <cfRule type="expression" dxfId="5719" priority="583">
      <formula>$AH196=0</formula>
    </cfRule>
  </conditionalFormatting>
  <conditionalFormatting sqref="A190:A195">
    <cfRule type="expression" dxfId="5718" priority="582">
      <formula>$AH190=0</formula>
    </cfRule>
  </conditionalFormatting>
  <conditionalFormatting sqref="A58">
    <cfRule type="expression" dxfId="5717" priority="581">
      <formula>$AH58=0</formula>
    </cfRule>
  </conditionalFormatting>
  <conditionalFormatting sqref="A94">
    <cfRule type="expression" dxfId="5716" priority="580">
      <formula>$AH94=0</formula>
    </cfRule>
  </conditionalFormatting>
  <conditionalFormatting sqref="AD99:AF99 E99:X99">
    <cfRule type="expression" dxfId="5715" priority="576">
      <formula>E$9&gt;=20/24</formula>
    </cfRule>
    <cfRule type="expression" dxfId="5714" priority="577">
      <formula>AND(E$9&gt;=14/24,E$9&lt;20/24)</formula>
    </cfRule>
    <cfRule type="expression" dxfId="5713" priority="578">
      <formula>AND(E$9&gt;=8/24,E$9&lt;14/24)</formula>
    </cfRule>
    <cfRule type="expression" dxfId="5712" priority="579">
      <formula>E$9&lt;8/24</formula>
    </cfRule>
  </conditionalFormatting>
  <conditionalFormatting sqref="AL43">
    <cfRule type="iconSet" priority="57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11" priority="598">
      <formula>C$9&gt;=20/24</formula>
    </cfRule>
    <cfRule type="expression" dxfId="5710" priority="599">
      <formula>AND(C$9&gt;=14/24,C$9&lt;20/24)</formula>
    </cfRule>
    <cfRule type="expression" dxfId="5709" priority="600">
      <formula>AND(C$9&gt;=8/24,C$9&lt;14/24)</formula>
    </cfRule>
    <cfRule type="expression" dxfId="5708" priority="601">
      <formula>C$9&lt;8/24</formula>
    </cfRule>
  </conditionalFormatting>
  <conditionalFormatting sqref="A233">
    <cfRule type="expression" dxfId="5707" priority="602">
      <formula>$AH233=0</formula>
    </cfRule>
  </conditionalFormatting>
  <conditionalFormatting sqref="AG245">
    <cfRule type="expression" dxfId="5706" priority="603">
      <formula>B$9&gt;=20/24</formula>
    </cfRule>
    <cfRule type="expression" dxfId="5705" priority="604">
      <formula>AND(B$9&gt;=14/24,B$9&lt;20/24)</formula>
    </cfRule>
    <cfRule type="expression" dxfId="5704" priority="605">
      <formula>AND(B$9&gt;=8/24,B$9&lt;14/24)</formula>
    </cfRule>
    <cfRule type="expression" dxfId="5703" priority="606">
      <formula>B$9&lt;8/24</formula>
    </cfRule>
  </conditionalFormatting>
  <conditionalFormatting sqref="S8">
    <cfRule type="expression" dxfId="5702" priority="571">
      <formula>U$9&gt;=20/24</formula>
    </cfRule>
    <cfRule type="expression" dxfId="5701" priority="572">
      <formula>AND(U$9&gt;=14/24,U$9&lt;20/24)</formula>
    </cfRule>
    <cfRule type="expression" dxfId="5700" priority="573">
      <formula>AND(U$9&gt;=8/24,U$9&lt;14/24)</formula>
    </cfRule>
    <cfRule type="expression" dxfId="5699" priority="574">
      <formula>U$9&lt;8/24</formula>
    </cfRule>
  </conditionalFormatting>
  <conditionalFormatting sqref="AB8">
    <cfRule type="expression" dxfId="5698" priority="567">
      <formula>AD$9&gt;=20/24</formula>
    </cfRule>
    <cfRule type="expression" dxfId="5697" priority="568">
      <formula>AND(AD$9&gt;=14/24,AD$9&lt;20/24)</formula>
    </cfRule>
    <cfRule type="expression" dxfId="5696" priority="569">
      <formula>AND(AD$9&gt;=8/24,AD$9&lt;14/24)</formula>
    </cfRule>
    <cfRule type="expression" dxfId="5695" priority="570">
      <formula>AD$9&lt;8/24</formula>
    </cfRule>
  </conditionalFormatting>
  <conditionalFormatting sqref="AH245:AX245">
    <cfRule type="expression" dxfId="5694" priority="607">
      <formula>AG$9&gt;=20/24</formula>
    </cfRule>
    <cfRule type="expression" dxfId="5693" priority="608">
      <formula>AND(AG$9&gt;=14/24,AG$9&lt;20/24)</formula>
    </cfRule>
    <cfRule type="expression" dxfId="5692" priority="609">
      <formula>AND(AG$9&gt;=8/24,AG$9&lt;14/24)</formula>
    </cfRule>
    <cfRule type="expression" dxfId="5691" priority="610">
      <formula>AG$9&lt;8/24</formula>
    </cfRule>
  </conditionalFormatting>
  <conditionalFormatting sqref="T245">
    <cfRule type="expression" dxfId="5690" priority="611">
      <formula>AX$9&gt;=20/24</formula>
    </cfRule>
    <cfRule type="expression" dxfId="5689" priority="612">
      <formula>AND(AX$9&gt;=14/24,AX$9&lt;20/24)</formula>
    </cfRule>
    <cfRule type="expression" dxfId="5688" priority="613">
      <formula>AND(AX$9&gt;=8/24,AX$9&lt;14/24)</formula>
    </cfRule>
    <cfRule type="expression" dxfId="5687" priority="614">
      <formula>AX$9&lt;8/24</formula>
    </cfRule>
  </conditionalFormatting>
  <conditionalFormatting sqref="A115:A116">
    <cfRule type="expression" dxfId="5686" priority="566">
      <formula>$AH115=0</formula>
    </cfRule>
  </conditionalFormatting>
  <conditionalFormatting sqref="M54:S56 E71:AF71 AC54:AF57">
    <cfRule type="expression" dxfId="5685" priority="562">
      <formula>E$9&gt;=20/24</formula>
    </cfRule>
    <cfRule type="expression" dxfId="5684" priority="563">
      <formula>AND(E$9&gt;=14/24,E$9&lt;20/24)</formula>
    </cfRule>
    <cfRule type="expression" dxfId="5683" priority="564">
      <formula>AND(E$9&gt;=8/24,E$9&lt;14/24)</formula>
    </cfRule>
    <cfRule type="expression" dxfId="5682" priority="565">
      <formula>E$9&lt;8/24</formula>
    </cfRule>
  </conditionalFormatting>
  <conditionalFormatting sqref="M53:S53 AC53:AF53">
    <cfRule type="expression" dxfId="5681" priority="558">
      <formula>M$9&gt;=20/24</formula>
    </cfRule>
    <cfRule type="expression" dxfId="5680" priority="559">
      <formula>AND(M$9&gt;=14/24,M$9&lt;20/24)</formula>
    </cfRule>
    <cfRule type="expression" dxfId="5679" priority="560">
      <formula>AND(M$9&gt;=8/24,M$9&lt;14/24)</formula>
    </cfRule>
    <cfRule type="expression" dxfId="5678" priority="561">
      <formula>M$9&lt;8/24</formula>
    </cfRule>
  </conditionalFormatting>
  <conditionalFormatting sqref="M53:S56 AC53:AF57">
    <cfRule type="expression" dxfId="5677" priority="557">
      <formula>M53&gt;$AG53</formula>
    </cfRule>
  </conditionalFormatting>
  <conditionalFormatting sqref="D86:AF86 X96:AF96 AD100:AF106 X47:AF47 E72:X73 N100:X106 Y72:AF74 X67:AF69">
    <cfRule type="expression" dxfId="5676" priority="553">
      <formula>D$9&gt;=20/24</formula>
    </cfRule>
    <cfRule type="expression" dxfId="5675" priority="554">
      <formula>AND(D$9&gt;=14/24,D$9&lt;20/24)</formula>
    </cfRule>
    <cfRule type="expression" dxfId="5674" priority="555">
      <formula>AND(D$9&gt;=8/24,D$9&lt;14/24)</formula>
    </cfRule>
    <cfRule type="expression" dxfId="5673" priority="556">
      <formula>D$9&lt;8/24</formula>
    </cfRule>
  </conditionalFormatting>
  <conditionalFormatting sqref="X47:AF47 X67:AF69">
    <cfRule type="expression" dxfId="5672" priority="552">
      <formula>X47&gt;$AG47</formula>
    </cfRule>
  </conditionalFormatting>
  <conditionalFormatting sqref="S57 T53:AB57">
    <cfRule type="expression" dxfId="5671" priority="548">
      <formula>S$9&gt;=20/24</formula>
    </cfRule>
    <cfRule type="expression" dxfId="5670" priority="549">
      <formula>AND(S$9&gt;=14/24,S$9&lt;20/24)</formula>
    </cfRule>
    <cfRule type="expression" dxfId="5669" priority="550">
      <formula>AND(S$9&gt;=8/24,S$9&lt;14/24)</formula>
    </cfRule>
    <cfRule type="expression" dxfId="5668" priority="551">
      <formula>S$9&lt;8/24</formula>
    </cfRule>
  </conditionalFormatting>
  <conditionalFormatting sqref="S57 T53:AB57">
    <cfRule type="expression" dxfId="5667" priority="547">
      <formula>S53&gt;$AG53</formula>
    </cfRule>
  </conditionalFormatting>
  <conditionalFormatting sqref="C97:AF97 D88:AF88">
    <cfRule type="expression" dxfId="5666" priority="543">
      <formula>C$9&gt;=20/24</formula>
    </cfRule>
    <cfRule type="expression" dxfId="5665" priority="544">
      <formula>AND(C$9&gt;=14/24,C$9&lt;20/24)</formula>
    </cfRule>
    <cfRule type="expression" dxfId="5664" priority="545">
      <formula>AND(C$9&gt;=8/24,C$9&lt;14/24)</formula>
    </cfRule>
    <cfRule type="expression" dxfId="5663" priority="546">
      <formula>C$9&lt;8/24</formula>
    </cfRule>
  </conditionalFormatting>
  <conditionalFormatting sqref="T47:W47">
    <cfRule type="expression" dxfId="5662" priority="539">
      <formula>T$9&gt;=20/24</formula>
    </cfRule>
    <cfRule type="expression" dxfId="5661" priority="540">
      <formula>AND(T$9&gt;=14/24,T$9&lt;20/24)</formula>
    </cfRule>
    <cfRule type="expression" dxfId="5660" priority="541">
      <formula>AND(T$9&gt;=8/24,T$9&lt;14/24)</formula>
    </cfRule>
    <cfRule type="expression" dxfId="5659" priority="542">
      <formula>T$9&lt;8/24</formula>
    </cfRule>
  </conditionalFormatting>
  <conditionalFormatting sqref="T47:W47">
    <cfRule type="expression" dxfId="5658" priority="538">
      <formula>T47&gt;$AG47</formula>
    </cfRule>
  </conditionalFormatting>
  <conditionalFormatting sqref="E54:L55">
    <cfRule type="expression" dxfId="5657" priority="534">
      <formula>E$9&gt;=20/24</formula>
    </cfRule>
    <cfRule type="expression" dxfId="5656" priority="535">
      <formula>AND(E$9&gt;=14/24,E$9&lt;20/24)</formula>
    </cfRule>
    <cfRule type="expression" dxfId="5655" priority="536">
      <formula>AND(E$9&gt;=8/24,E$9&lt;14/24)</formula>
    </cfRule>
    <cfRule type="expression" dxfId="5654" priority="537">
      <formula>E$9&lt;8/24</formula>
    </cfRule>
  </conditionalFormatting>
  <conditionalFormatting sqref="E53:L53">
    <cfRule type="expression" dxfId="5653" priority="530">
      <formula>E$9&gt;=20/24</formula>
    </cfRule>
    <cfRule type="expression" dxfId="5652" priority="531">
      <formula>AND(E$9&gt;=14/24,E$9&lt;20/24)</formula>
    </cfRule>
    <cfRule type="expression" dxfId="5651" priority="532">
      <formula>AND(E$9&gt;=8/24,E$9&lt;14/24)</formula>
    </cfRule>
    <cfRule type="expression" dxfId="5650" priority="533">
      <formula>E$9&lt;8/24</formula>
    </cfRule>
  </conditionalFormatting>
  <conditionalFormatting sqref="E53:L55">
    <cfRule type="expression" dxfId="5649" priority="529">
      <formula>E53&gt;$AG53</formula>
    </cfRule>
  </conditionalFormatting>
  <conditionalFormatting sqref="AG70 AG87 E100:M106 Q67:W69">
    <cfRule type="expression" dxfId="5648" priority="525">
      <formula>E$9&gt;=20/24</formula>
    </cfRule>
    <cfRule type="expression" dxfId="5647" priority="526">
      <formula>AND(E$9&gt;=14/24,E$9&lt;20/24)</formula>
    </cfRule>
    <cfRule type="expression" dxfId="5646" priority="527">
      <formula>AND(E$9&gt;=8/24,E$9&lt;14/24)</formula>
    </cfRule>
    <cfRule type="expression" dxfId="5645" priority="528">
      <formula>E$9&lt;8/24</formula>
    </cfRule>
  </conditionalFormatting>
  <conditionalFormatting sqref="AG48 AG66 AG70 Q67:W69">
    <cfRule type="expression" dxfId="5644" priority="524">
      <formula>Q48&gt;$AG48</formula>
    </cfRule>
  </conditionalFormatting>
  <conditionalFormatting sqref="AC58:AF58">
    <cfRule type="expression" dxfId="5643" priority="520">
      <formula>AC$9&gt;=20/24</formula>
    </cfRule>
    <cfRule type="expression" dxfId="5642" priority="521">
      <formula>AND(AC$9&gt;=14/24,AC$9&lt;20/24)</formula>
    </cfRule>
    <cfRule type="expression" dxfId="5641" priority="522">
      <formula>AND(AC$9&gt;=8/24,AC$9&lt;14/24)</formula>
    </cfRule>
    <cfRule type="expression" dxfId="5640" priority="523">
      <formula>AC$9&lt;8/24</formula>
    </cfRule>
  </conditionalFormatting>
  <conditionalFormatting sqref="AC58:AF58">
    <cfRule type="expression" dxfId="5639" priority="519">
      <formula>AC58&gt;$AG58</formula>
    </cfRule>
  </conditionalFormatting>
  <conditionalFormatting sqref="A43">
    <cfRule type="expression" dxfId="5638" priority="518">
      <formula>$AH43=0</formula>
    </cfRule>
  </conditionalFormatting>
  <conditionalFormatting sqref="X91:AF95">
    <cfRule type="expression" dxfId="5637" priority="514">
      <formula>X$9&gt;=20/24</formula>
    </cfRule>
    <cfRule type="expression" dxfId="5636" priority="515">
      <formula>AND(X$9&gt;=14/24,X$9&lt;20/24)</formula>
    </cfRule>
    <cfRule type="expression" dxfId="5635" priority="516">
      <formula>AND(X$9&gt;=8/24,X$9&lt;14/24)</formula>
    </cfRule>
    <cfRule type="expression" dxfId="5634" priority="517">
      <formula>X$9&lt;8/24</formula>
    </cfRule>
  </conditionalFormatting>
  <conditionalFormatting sqref="AL45 AL41 AL22:AL32 AL38:AL39 AL7:AL15 AL17:AL20 AL34:AL36">
    <cfRule type="iconSet" priority="615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5633" priority="510">
      <formula>E$9&gt;=20/24</formula>
    </cfRule>
    <cfRule type="expression" dxfId="5632" priority="511">
      <formula>AND(E$9&gt;=14/24,E$9&lt;20/24)</formula>
    </cfRule>
    <cfRule type="expression" dxfId="5631" priority="512">
      <formula>AND(E$9&gt;=8/24,E$9&lt;14/24)</formula>
    </cfRule>
    <cfRule type="expression" dxfId="5630" priority="513">
      <formula>E$9&lt;8/24</formula>
    </cfRule>
  </conditionalFormatting>
  <conditionalFormatting sqref="E49:AF51">
    <cfRule type="expression" dxfId="5629" priority="509">
      <formula>E49&gt;$AG49</formula>
    </cfRule>
  </conditionalFormatting>
  <conditionalFormatting sqref="AG52">
    <cfRule type="expression" dxfId="5628" priority="505">
      <formula>AG$9&gt;=20/24</formula>
    </cfRule>
    <cfRule type="expression" dxfId="5627" priority="506">
      <formula>AND(AG$9&gt;=14/24,AG$9&lt;20/24)</formula>
    </cfRule>
    <cfRule type="expression" dxfId="5626" priority="507">
      <formula>AND(AG$9&gt;=8/24,AG$9&lt;14/24)</formula>
    </cfRule>
    <cfRule type="expression" dxfId="5625" priority="508">
      <formula>AG$9&lt;8/24</formula>
    </cfRule>
  </conditionalFormatting>
  <conditionalFormatting sqref="AG52">
    <cfRule type="expression" dxfId="5624" priority="504">
      <formula>AG52&gt;$AG52</formula>
    </cfRule>
  </conditionalFormatting>
  <conditionalFormatting sqref="C107:AF107">
    <cfRule type="expression" dxfId="5623" priority="500">
      <formula>C$9&gt;=20/24</formula>
    </cfRule>
    <cfRule type="expression" dxfId="5622" priority="501">
      <formula>AND(C$9&gt;=14/24,C$9&lt;20/24)</formula>
    </cfRule>
    <cfRule type="expression" dxfId="5621" priority="502">
      <formula>AND(C$9&gt;=8/24,C$9&lt;14/24)</formula>
    </cfRule>
    <cfRule type="expression" dxfId="5620" priority="503">
      <formula>C$9&lt;8/24</formula>
    </cfRule>
  </conditionalFormatting>
  <conditionalFormatting sqref="AL40">
    <cfRule type="iconSet" priority="499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619" priority="498">
      <formula>$AH40=0</formula>
    </cfRule>
  </conditionalFormatting>
  <conditionalFormatting sqref="A90">
    <cfRule type="expression" dxfId="5618" priority="496">
      <formula>$AH90=0</formula>
    </cfRule>
  </conditionalFormatting>
  <conditionalFormatting sqref="A87">
    <cfRule type="expression" dxfId="5617" priority="497">
      <formula>$AH87=0</formula>
    </cfRule>
  </conditionalFormatting>
  <conditionalFormatting sqref="D110:AF110">
    <cfRule type="expression" dxfId="5616" priority="492">
      <formula>D$9&gt;=20/24</formula>
    </cfRule>
    <cfRule type="expression" dxfId="5615" priority="493">
      <formula>AND(D$9&gt;=14/24,D$9&lt;20/24)</formula>
    </cfRule>
    <cfRule type="expression" dxfId="5614" priority="494">
      <formula>AND(D$9&gt;=8/24,D$9&lt;14/24)</formula>
    </cfRule>
    <cfRule type="expression" dxfId="5613" priority="495">
      <formula>D$9&lt;8/24</formula>
    </cfRule>
  </conditionalFormatting>
  <conditionalFormatting sqref="A110">
    <cfRule type="expression" dxfId="5612" priority="491">
      <formula>$AH110=0</formula>
    </cfRule>
  </conditionalFormatting>
  <conditionalFormatting sqref="A21">
    <cfRule type="expression" dxfId="5611" priority="489">
      <formula>$AH21=0</formula>
    </cfRule>
  </conditionalFormatting>
  <conditionalFormatting sqref="AL21">
    <cfRule type="iconSet" priority="49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610" priority="487">
      <formula>$AH37=0</formula>
    </cfRule>
  </conditionalFormatting>
  <conditionalFormatting sqref="AL37">
    <cfRule type="iconSet" priority="488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5609" priority="483">
      <formula>Y$9&gt;=20/24</formula>
    </cfRule>
    <cfRule type="expression" dxfId="5608" priority="484">
      <formula>AND(Y$9&gt;=14/24,Y$9&lt;20/24)</formula>
    </cfRule>
    <cfRule type="expression" dxfId="5607" priority="485">
      <formula>AND(Y$9&gt;=8/24,Y$9&lt;14/24)</formula>
    </cfRule>
    <cfRule type="expression" dxfId="5606" priority="486">
      <formula>Y$9&lt;8/24</formula>
    </cfRule>
  </conditionalFormatting>
  <conditionalFormatting sqref="Y100:AC106">
    <cfRule type="expression" dxfId="5605" priority="479">
      <formula>Y$9&gt;=20/24</formula>
    </cfRule>
    <cfRule type="expression" dxfId="5604" priority="480">
      <formula>AND(Y$9&gt;=14/24,Y$9&lt;20/24)</formula>
    </cfRule>
    <cfRule type="expression" dxfId="5603" priority="481">
      <formula>AND(Y$9&gt;=8/24,Y$9&lt;14/24)</formula>
    </cfRule>
    <cfRule type="expression" dxfId="5602" priority="482">
      <formula>Y$9&lt;8/24</formula>
    </cfRule>
  </conditionalFormatting>
  <conditionalFormatting sqref="C109 C111:C116 X17:Y22 Z34:AF43 Z17:AF32">
    <cfRule type="expression" dxfId="5601" priority="475">
      <formula>C$9&gt;=20/24</formula>
    </cfRule>
    <cfRule type="expression" dxfId="5600" priority="476">
      <formula>AND(C$9&gt;=14/24,C$9&lt;20/24)</formula>
    </cfRule>
    <cfRule type="expression" dxfId="5599" priority="477">
      <formula>AND(C$9&gt;=8/24,C$9&lt;14/24)</formula>
    </cfRule>
    <cfRule type="expression" dxfId="5598" priority="478">
      <formula>C$9&lt;8/24</formula>
    </cfRule>
  </conditionalFormatting>
  <conditionalFormatting sqref="C47:S47">
    <cfRule type="expression" dxfId="5597" priority="471">
      <formula>C$9&gt;=20/24</formula>
    </cfRule>
    <cfRule type="expression" dxfId="5596" priority="472">
      <formula>AND(C$9&gt;=14/24,C$9&lt;20/24)</formula>
    </cfRule>
    <cfRule type="expression" dxfId="5595" priority="473">
      <formula>AND(C$9&gt;=8/24,C$9&lt;14/24)</formula>
    </cfRule>
    <cfRule type="expression" dxfId="5594" priority="474">
      <formula>C$9&lt;8/24</formula>
    </cfRule>
  </conditionalFormatting>
  <conditionalFormatting sqref="C47:S47 X17:Y22 Z34:AF43 Z17:AF32">
    <cfRule type="expression" dxfId="5593" priority="470">
      <formula>C17&gt;$AG17</formula>
    </cfRule>
  </conditionalFormatting>
  <conditionalFormatting sqref="C99:D99">
    <cfRule type="expression" dxfId="5592" priority="466">
      <formula>C$9&gt;=20/24</formula>
    </cfRule>
    <cfRule type="expression" dxfId="5591" priority="467">
      <formula>AND(C$9&gt;=14/24,C$9&lt;20/24)</formula>
    </cfRule>
    <cfRule type="expression" dxfId="5590" priority="468">
      <formula>AND(C$9&gt;=8/24,C$9&lt;14/24)</formula>
    </cfRule>
    <cfRule type="expression" dxfId="5589" priority="469">
      <formula>C$9&lt;8/24</formula>
    </cfRule>
  </conditionalFormatting>
  <conditionalFormatting sqref="C86 C96:W96 C83:AF85 C100:D106 E67:P69 E74:X75 Y75:AD75 E76:AD76 AE75:AF76">
    <cfRule type="expression" dxfId="5588" priority="462">
      <formula>C$9&gt;=20/24</formula>
    </cfRule>
    <cfRule type="expression" dxfId="5587" priority="463">
      <formula>AND(C$9&gt;=14/24,C$9&lt;20/24)</formula>
    </cfRule>
    <cfRule type="expression" dxfId="5586" priority="464">
      <formula>AND(C$9&gt;=8/24,C$9&lt;14/24)</formula>
    </cfRule>
    <cfRule type="expression" dxfId="5585" priority="465">
      <formula>C$9&lt;8/24</formula>
    </cfRule>
  </conditionalFormatting>
  <conditionalFormatting sqref="H56:L57 E67:P69 M57:R57">
    <cfRule type="expression" dxfId="5584" priority="461">
      <formula>E56&gt;$AG56</formula>
    </cfRule>
  </conditionalFormatting>
  <conditionalFormatting sqref="H58:AB58">
    <cfRule type="expression" dxfId="5583" priority="457">
      <formula>H$9&gt;=20/24</formula>
    </cfRule>
    <cfRule type="expression" dxfId="5582" priority="458">
      <formula>AND(H$9&gt;=14/24,H$9&lt;20/24)</formula>
    </cfRule>
    <cfRule type="expression" dxfId="5581" priority="459">
      <formula>AND(H$9&gt;=8/24,H$9&lt;14/24)</formula>
    </cfRule>
    <cfRule type="expression" dxfId="5580" priority="460">
      <formula>H$9&lt;8/24</formula>
    </cfRule>
  </conditionalFormatting>
  <conditionalFormatting sqref="H58:AB58">
    <cfRule type="expression" dxfId="5579" priority="456">
      <formula>H58&gt;$AG58</formula>
    </cfRule>
  </conditionalFormatting>
  <conditionalFormatting sqref="C54:D57 E56:G57">
    <cfRule type="expression" dxfId="5578" priority="380">
      <formula>C$9&gt;=20/24</formula>
    </cfRule>
    <cfRule type="expression" dxfId="5577" priority="381">
      <formula>AND(C$9&gt;=14/24,C$9&lt;20/24)</formula>
    </cfRule>
    <cfRule type="expression" dxfId="5576" priority="382">
      <formula>AND(C$9&gt;=8/24,C$9&lt;14/24)</formula>
    </cfRule>
    <cfRule type="expression" dxfId="5575" priority="383">
      <formula>C$9&lt;8/24</formula>
    </cfRule>
  </conditionalFormatting>
  <conditionalFormatting sqref="Q46:AF46">
    <cfRule type="expression" dxfId="5574" priority="452">
      <formula>Q$9&gt;=20/24</formula>
    </cfRule>
    <cfRule type="expression" dxfId="5573" priority="453">
      <formula>AND(Q$9&gt;=14/24,Q$9&lt;20/24)</formula>
    </cfRule>
    <cfRule type="expression" dxfId="5572" priority="454">
      <formula>AND(Q$9&gt;=8/24,Q$9&lt;14/24)</formula>
    </cfRule>
    <cfRule type="expression" dxfId="5571" priority="455">
      <formula>Q$9&lt;8/24</formula>
    </cfRule>
  </conditionalFormatting>
  <conditionalFormatting sqref="Q46:AF46">
    <cfRule type="expression" dxfId="5570" priority="451">
      <formula>Q46&gt;$AG46</formula>
    </cfRule>
  </conditionalFormatting>
  <conditionalFormatting sqref="C87:AF87 C89:AF89 C98:AF98 C70:AF70">
    <cfRule type="expression" dxfId="5569" priority="447">
      <formula>C$9&gt;=20/24</formula>
    </cfRule>
    <cfRule type="expression" dxfId="5568" priority="448">
      <formula>AND(C$9&gt;=14/24,C$9&lt;20/24)</formula>
    </cfRule>
    <cfRule type="expression" dxfId="5567" priority="449">
      <formula>AND(C$9&gt;=8/24,C$9&lt;14/24)</formula>
    </cfRule>
    <cfRule type="expression" dxfId="5566" priority="450">
      <formula>C$9&lt;8/24</formula>
    </cfRule>
  </conditionalFormatting>
  <conditionalFormatting sqref="C70:AF70 C48:AF48 C65:AF66">
    <cfRule type="expression" dxfId="5565" priority="446">
      <formula>C48&gt;$AG48</formula>
    </cfRule>
  </conditionalFormatting>
  <conditionalFormatting sqref="C82:AF82">
    <cfRule type="expression" dxfId="5564" priority="442">
      <formula>C$9&gt;=20/24</formula>
    </cfRule>
    <cfRule type="expression" dxfId="5563" priority="443">
      <formula>AND(C$9&gt;=14/24,C$9&lt;20/24)</formula>
    </cfRule>
    <cfRule type="expression" dxfId="5562" priority="444">
      <formula>AND(C$9&gt;=8/24,C$9&lt;14/24)</formula>
    </cfRule>
    <cfRule type="expression" dxfId="5561" priority="445">
      <formula>C$9&lt;8/24</formula>
    </cfRule>
  </conditionalFormatting>
  <conditionalFormatting sqref="C91:W95">
    <cfRule type="expression" dxfId="5560" priority="438">
      <formula>C$9&gt;=20/24</formula>
    </cfRule>
    <cfRule type="expression" dxfId="5559" priority="439">
      <formula>AND(C$9&gt;=14/24,C$9&lt;20/24)</formula>
    </cfRule>
    <cfRule type="expression" dxfId="5558" priority="440">
      <formula>AND(C$9&gt;=8/24,C$9&lt;14/24)</formula>
    </cfRule>
    <cfRule type="expression" dxfId="5557" priority="441">
      <formula>C$9&lt;8/24</formula>
    </cfRule>
  </conditionalFormatting>
  <conditionalFormatting sqref="C52:AF52">
    <cfRule type="expression" dxfId="5556" priority="434">
      <formula>C$9&gt;=20/24</formula>
    </cfRule>
    <cfRule type="expression" dxfId="5555" priority="435">
      <formula>AND(C$9&gt;=14/24,C$9&lt;20/24)</formula>
    </cfRule>
    <cfRule type="expression" dxfId="5554" priority="436">
      <formula>AND(C$9&gt;=8/24,C$9&lt;14/24)</formula>
    </cfRule>
    <cfRule type="expression" dxfId="5553" priority="437">
      <formula>C$9&lt;8/24</formula>
    </cfRule>
  </conditionalFormatting>
  <conditionalFormatting sqref="C52:AF52">
    <cfRule type="expression" dxfId="5552" priority="433">
      <formula>C52&gt;$AG52</formula>
    </cfRule>
  </conditionalFormatting>
  <conditionalFormatting sqref="C49:D51">
    <cfRule type="expression" dxfId="5551" priority="348">
      <formula>C$9&gt;=20/24</formula>
    </cfRule>
    <cfRule type="expression" dxfId="5550" priority="349">
      <formula>AND(C$9&gt;=14/24,C$9&lt;20/24)</formula>
    </cfRule>
    <cfRule type="expression" dxfId="5549" priority="350">
      <formula>AND(C$9&gt;=8/24,C$9&lt;14/24)</formula>
    </cfRule>
    <cfRule type="expression" dxfId="5548" priority="351">
      <formula>C$9&lt;8/24</formula>
    </cfRule>
  </conditionalFormatting>
  <conditionalFormatting sqref="C110">
    <cfRule type="expression" dxfId="5547" priority="425">
      <formula>C$9&gt;=20/24</formula>
    </cfRule>
    <cfRule type="expression" dxfId="5546" priority="426">
      <formula>AND(C$9&gt;=14/24,C$9&lt;20/24)</formula>
    </cfRule>
    <cfRule type="expression" dxfId="5545" priority="427">
      <formula>AND(C$9&gt;=8/24,C$9&lt;14/24)</formula>
    </cfRule>
    <cfRule type="expression" dxfId="5544" priority="428">
      <formula>C$9&lt;8/24</formula>
    </cfRule>
  </conditionalFormatting>
  <conditionalFormatting sqref="H59:AF64">
    <cfRule type="expression" dxfId="5543" priority="421">
      <formula>H$9&gt;=20/24</formula>
    </cfRule>
    <cfRule type="expression" dxfId="5542" priority="422">
      <formula>AND(H$9&gt;=14/24,H$9&lt;20/24)</formula>
    </cfRule>
    <cfRule type="expression" dxfId="5541" priority="423">
      <formula>AND(H$9&gt;=8/24,H$9&lt;14/24)</formula>
    </cfRule>
    <cfRule type="expression" dxfId="5540" priority="424">
      <formula>H$9&lt;8/24</formula>
    </cfRule>
  </conditionalFormatting>
  <conditionalFormatting sqref="H59:AF64">
    <cfRule type="expression" dxfId="5539" priority="420">
      <formula>H59&gt;$AG59</formula>
    </cfRule>
  </conditionalFormatting>
  <conditionalFormatting sqref="Z45:AF45 T13:AF15">
    <cfRule type="expression" dxfId="5538" priority="419">
      <formula>T13&gt;$AG13</formula>
    </cfRule>
  </conditionalFormatting>
  <conditionalFormatting sqref="T12:AF12">
    <cfRule type="expression" dxfId="5537" priority="415">
      <formula>T$9&gt;=20/24</formula>
    </cfRule>
    <cfRule type="expression" dxfId="5536" priority="416">
      <formula>AND(T$9&gt;=14/24,T$9&lt;20/24)</formula>
    </cfRule>
    <cfRule type="expression" dxfId="5535" priority="417">
      <formula>AND(T$9&gt;=8/24,T$9&lt;14/24)</formula>
    </cfRule>
    <cfRule type="expression" dxfId="5534" priority="418">
      <formula>T$9&lt;8/24</formula>
    </cfRule>
  </conditionalFormatting>
  <conditionalFormatting sqref="T12:AF12">
    <cfRule type="expression" dxfId="5533" priority="414">
      <formula>T12&gt;$AG12</formula>
    </cfRule>
  </conditionalFormatting>
  <conditionalFormatting sqref="T13:AF15">
    <cfRule type="expression" dxfId="5532" priority="410">
      <formula>T$9&gt;=20/24</formula>
    </cfRule>
    <cfRule type="expression" dxfId="5531" priority="411">
      <formula>AND(T$9&gt;=14/24,T$9&lt;20/24)</formula>
    </cfRule>
    <cfRule type="expression" dxfId="5530" priority="412">
      <formula>AND(T$9&gt;=8/24,T$9&lt;14/24)</formula>
    </cfRule>
    <cfRule type="expression" dxfId="5529" priority="413">
      <formula>T$9&lt;8/24</formula>
    </cfRule>
  </conditionalFormatting>
  <conditionalFormatting sqref="Z45:AF45">
    <cfRule type="expression" dxfId="5528" priority="406">
      <formula>Z$9&gt;=20/24</formula>
    </cfRule>
    <cfRule type="expression" dxfId="5527" priority="407">
      <formula>AND(Z$9&gt;=14/24,Z$9&lt;20/24)</formula>
    </cfRule>
    <cfRule type="expression" dxfId="5526" priority="408">
      <formula>AND(Z$9&gt;=8/24,Z$9&lt;14/24)</formula>
    </cfRule>
    <cfRule type="expression" dxfId="5525" priority="409">
      <formula>Z$9&lt;8/24</formula>
    </cfRule>
  </conditionalFormatting>
  <conditionalFormatting sqref="E77:AF81">
    <cfRule type="expression" dxfId="5524" priority="402">
      <formula>E$9&gt;=20/24</formula>
    </cfRule>
    <cfRule type="expression" dxfId="5523" priority="403">
      <formula>AND(E$9&gt;=14/24,E$9&lt;20/24)</formula>
    </cfRule>
    <cfRule type="expression" dxfId="5522" priority="404">
      <formula>AND(E$9&gt;=8/24,E$9&lt;14/24)</formula>
    </cfRule>
    <cfRule type="expression" dxfId="5521" priority="405">
      <formula>E$9&lt;8/24</formula>
    </cfRule>
  </conditionalFormatting>
  <conditionalFormatting sqref="AL78:AN78 AL84:AN84 AN79:AN80">
    <cfRule type="expression" dxfId="5520" priority="398">
      <formula>AL$9&gt;=20/24</formula>
    </cfRule>
    <cfRule type="expression" dxfId="5519" priority="399">
      <formula>AND(AL$9&gt;=14/24,AL$9&lt;20/24)</formula>
    </cfRule>
    <cfRule type="expression" dxfId="5518" priority="400">
      <formula>AND(AL$9&gt;=8/24,AL$9&lt;14/24)</formula>
    </cfRule>
    <cfRule type="expression" dxfId="5517" priority="401">
      <formula>AL$9&lt;8/24</formula>
    </cfRule>
  </conditionalFormatting>
  <conditionalFormatting sqref="AN81:AN82">
    <cfRule type="expression" dxfId="5516" priority="394">
      <formula>AN$9&gt;=20/24</formula>
    </cfRule>
    <cfRule type="expression" dxfId="5515" priority="395">
      <formula>AND(AN$9&gt;=14/24,AN$9&lt;20/24)</formula>
    </cfRule>
    <cfRule type="expression" dxfId="5514" priority="396">
      <formula>AND(AN$9&gt;=8/24,AN$9&lt;14/24)</formula>
    </cfRule>
    <cfRule type="expression" dxfId="5513" priority="397">
      <formula>AN$9&lt;8/24</formula>
    </cfRule>
  </conditionalFormatting>
  <conditionalFormatting sqref="AL79:AM83">
    <cfRule type="expression" dxfId="5512" priority="616">
      <formula>AJ$9&gt;=20/24</formula>
    </cfRule>
    <cfRule type="expression" dxfId="5511" priority="617">
      <formula>AND(AJ$9&gt;=14/24,AJ$9&lt;20/24)</formula>
    </cfRule>
    <cfRule type="expression" dxfId="5510" priority="618">
      <formula>AND(AJ$9&gt;=8/24,AJ$9&lt;14/24)</formula>
    </cfRule>
    <cfRule type="expression" dxfId="5509" priority="619">
      <formula>AJ$9&lt;8/24</formula>
    </cfRule>
  </conditionalFormatting>
  <conditionalFormatting sqref="A117">
    <cfRule type="expression" dxfId="5508" priority="393">
      <formula>$AH117=0</formula>
    </cfRule>
  </conditionalFormatting>
  <conditionalFormatting sqref="C53:D53">
    <cfRule type="expression" dxfId="5507" priority="376">
      <formula>C$9&gt;=20/24</formula>
    </cfRule>
    <cfRule type="expression" dxfId="5506" priority="377">
      <formula>AND(C$9&gt;=14/24,C$9&lt;20/24)</formula>
    </cfRule>
    <cfRule type="expression" dxfId="5505" priority="378">
      <formula>AND(C$9&gt;=8/24,C$9&lt;14/24)</formula>
    </cfRule>
    <cfRule type="expression" dxfId="5504" priority="379">
      <formula>C$9&lt;8/24</formula>
    </cfRule>
  </conditionalFormatting>
  <conditionalFormatting sqref="C53:D57 E56:G57">
    <cfRule type="expression" dxfId="5503" priority="375">
      <formula>C53&gt;$AG53</formula>
    </cfRule>
  </conditionalFormatting>
  <conditionalFormatting sqref="C88">
    <cfRule type="expression" dxfId="5502" priority="366">
      <formula>C$9&gt;=20/24</formula>
    </cfRule>
    <cfRule type="expression" dxfId="5501" priority="367">
      <formula>AND(C$9&gt;=14/24,C$9&lt;20/24)</formula>
    </cfRule>
    <cfRule type="expression" dxfId="5500" priority="368">
      <formula>AND(C$9&gt;=8/24,C$9&lt;14/24)</formula>
    </cfRule>
    <cfRule type="expression" dxfId="5499" priority="369">
      <formula>C$9&lt;8/24</formula>
    </cfRule>
  </conditionalFormatting>
  <conditionalFormatting sqref="E46:P46">
    <cfRule type="expression" dxfId="5498" priority="362">
      <formula>E$9&gt;=20/24</formula>
    </cfRule>
    <cfRule type="expression" dxfId="5497" priority="363">
      <formula>AND(E$9&gt;=14/24,E$9&lt;20/24)</formula>
    </cfRule>
    <cfRule type="expression" dxfId="5496" priority="364">
      <formula>AND(E$9&gt;=8/24,E$9&lt;14/24)</formula>
    </cfRule>
    <cfRule type="expression" dxfId="5495" priority="365">
      <formula>E$9&lt;8/24</formula>
    </cfRule>
  </conditionalFormatting>
  <conditionalFormatting sqref="E46:P46">
    <cfRule type="expression" dxfId="5494" priority="361">
      <formula>E46&gt;$AG46</formula>
    </cfRule>
  </conditionalFormatting>
  <conditionalFormatting sqref="C49:D51">
    <cfRule type="expression" dxfId="5493" priority="347">
      <formula>C49&gt;$AG49</formula>
    </cfRule>
  </conditionalFormatting>
  <conditionalFormatting sqref="A11">
    <cfRule type="expression" dxfId="5492" priority="307">
      <formula>$AH11=0</formula>
    </cfRule>
  </conditionalFormatting>
  <conditionalFormatting sqref="T11:AF11">
    <cfRule type="expression" dxfId="5491" priority="303">
      <formula>T$9&gt;=20/24</formula>
    </cfRule>
    <cfRule type="expression" dxfId="5490" priority="304">
      <formula>AND(T$9&gt;=14/24,T$9&lt;20/24)</formula>
    </cfRule>
    <cfRule type="expression" dxfId="5489" priority="305">
      <formula>AND(T$9&gt;=8/24,T$9&lt;14/24)</formula>
    </cfRule>
    <cfRule type="expression" dxfId="5488" priority="306">
      <formula>T$9&lt;8/24</formula>
    </cfRule>
  </conditionalFormatting>
  <conditionalFormatting sqref="T11:AF11">
    <cfRule type="expression" dxfId="5487" priority="302">
      <formula>T11&gt;$AG11</formula>
    </cfRule>
  </conditionalFormatting>
  <conditionalFormatting sqref="A16">
    <cfRule type="expression" dxfId="5486" priority="295">
      <formula>$AH16=0</formula>
    </cfRule>
  </conditionalFormatting>
  <conditionalFormatting sqref="AL1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T16:AF16">
    <cfRule type="expression" dxfId="5485" priority="291">
      <formula>T$9&gt;=20/24</formula>
    </cfRule>
    <cfRule type="expression" dxfId="5484" priority="292">
      <formula>AND(T$9&gt;=14/24,T$9&lt;20/24)</formula>
    </cfRule>
    <cfRule type="expression" dxfId="5483" priority="293">
      <formula>AND(T$9&gt;=8/24,T$9&lt;14/24)</formula>
    </cfRule>
    <cfRule type="expression" dxfId="5482" priority="294">
      <formula>T$9&lt;8/24</formula>
    </cfRule>
  </conditionalFormatting>
  <conditionalFormatting sqref="T16:AF16">
    <cfRule type="expression" dxfId="5481" priority="290">
      <formula>T16&gt;$AG16</formula>
    </cfRule>
  </conditionalFormatting>
  <conditionalFormatting sqref="A33">
    <cfRule type="expression" dxfId="5480" priority="283">
      <formula>$AH33=0</formula>
    </cfRule>
  </conditionalFormatting>
  <conditionalFormatting sqref="AL33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5479" priority="279">
      <formula>Z$9&gt;=20/24</formula>
    </cfRule>
    <cfRule type="expression" dxfId="5478" priority="280">
      <formula>AND(Z$9&gt;=14/24,Z$9&lt;20/24)</formula>
    </cfRule>
    <cfRule type="expression" dxfId="5477" priority="281">
      <formula>AND(Z$9&gt;=8/24,Z$9&lt;14/24)</formula>
    </cfRule>
    <cfRule type="expression" dxfId="5476" priority="282">
      <formula>Z$9&lt;8/24</formula>
    </cfRule>
  </conditionalFormatting>
  <conditionalFormatting sqref="Z33:AF33">
    <cfRule type="expression" dxfId="5475" priority="278">
      <formula>Z33&gt;$AG33</formula>
    </cfRule>
  </conditionalFormatting>
  <conditionalFormatting sqref="A44">
    <cfRule type="expression" dxfId="5474" priority="271">
      <formula>$AH44=0</formula>
    </cfRule>
  </conditionalFormatting>
  <conditionalFormatting sqref="AL44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5473" priority="270">
      <formula>Z44&gt;$AG44</formula>
    </cfRule>
  </conditionalFormatting>
  <conditionalFormatting sqref="Z44:AF44">
    <cfRule type="expression" dxfId="5472" priority="266">
      <formula>Z$9&gt;=20/24</formula>
    </cfRule>
    <cfRule type="expression" dxfId="5471" priority="267">
      <formula>AND(Z$9&gt;=14/24,Z$9&lt;20/24)</formula>
    </cfRule>
    <cfRule type="expression" dxfId="5470" priority="268">
      <formula>AND(Z$9&gt;=8/24,Z$9&lt;14/24)</formula>
    </cfRule>
    <cfRule type="expression" dxfId="5469" priority="269">
      <formula>Z$9&lt;8/24</formula>
    </cfRule>
  </conditionalFormatting>
  <conditionalFormatting sqref="D117:AF117">
    <cfRule type="expression" dxfId="5468" priority="257">
      <formula>D$9&gt;=20/24</formula>
    </cfRule>
    <cfRule type="expression" dxfId="5467" priority="258">
      <formula>AND(D$9&gt;=14/24,D$9&lt;20/24)</formula>
    </cfRule>
    <cfRule type="expression" dxfId="5466" priority="259">
      <formula>AND(D$9&gt;=8/24,D$9&lt;14/24)</formula>
    </cfRule>
    <cfRule type="expression" dxfId="5465" priority="260">
      <formula>D$9&lt;8/24</formula>
    </cfRule>
  </conditionalFormatting>
  <conditionalFormatting sqref="C117">
    <cfRule type="expression" dxfId="5464" priority="253">
      <formula>C$9&gt;=20/24</formula>
    </cfRule>
    <cfRule type="expression" dxfId="5463" priority="254">
      <formula>AND(C$9&gt;=14/24,C$9&lt;20/24)</formula>
    </cfRule>
    <cfRule type="expression" dxfId="5462" priority="255">
      <formula>AND(C$9&gt;=8/24,C$9&lt;14/24)</formula>
    </cfRule>
    <cfRule type="expression" dxfId="5461" priority="256">
      <formula>C$9&lt;8/24</formula>
    </cfRule>
  </conditionalFormatting>
  <conditionalFormatting sqref="B109 B111:B116">
    <cfRule type="expression" dxfId="5460" priority="121">
      <formula>B$9&gt;=20/24</formula>
    </cfRule>
    <cfRule type="expression" dxfId="5459" priority="122">
      <formula>AND(B$9&gt;=14/24,B$9&lt;20/24)</formula>
    </cfRule>
    <cfRule type="expression" dxfId="5458" priority="123">
      <formula>AND(B$9&gt;=8/24,B$9&lt;14/24)</formula>
    </cfRule>
    <cfRule type="expression" dxfId="5457" priority="124">
      <formula>B$9&lt;8/24</formula>
    </cfRule>
  </conditionalFormatting>
  <conditionalFormatting sqref="B99">
    <cfRule type="expression" dxfId="5456" priority="117">
      <formula>B$9&gt;=20/24</formula>
    </cfRule>
    <cfRule type="expression" dxfId="5455" priority="118">
      <formula>AND(B$9&gt;=14/24,B$9&lt;20/24)</formula>
    </cfRule>
    <cfRule type="expression" dxfId="5454" priority="119">
      <formula>AND(B$9&gt;=8/24,B$9&lt;14/24)</formula>
    </cfRule>
    <cfRule type="expression" dxfId="5453" priority="120">
      <formula>B$9&lt;8/24</formula>
    </cfRule>
  </conditionalFormatting>
  <conditionalFormatting sqref="B54:B57 B71:D71">
    <cfRule type="expression" dxfId="5452" priority="113">
      <formula>B$9&gt;=20/24</formula>
    </cfRule>
    <cfRule type="expression" dxfId="5451" priority="114">
      <formula>AND(B$9&gt;=14/24,B$9&lt;20/24)</formula>
    </cfRule>
    <cfRule type="expression" dxfId="5450" priority="115">
      <formula>AND(B$9&gt;=8/24,B$9&lt;14/24)</formula>
    </cfRule>
    <cfRule type="expression" dxfId="5449" priority="116">
      <formula>B$9&lt;8/24</formula>
    </cfRule>
  </conditionalFormatting>
  <conditionalFormatting sqref="B53">
    <cfRule type="expression" dxfId="5448" priority="109">
      <formula>B$9&gt;=20/24</formula>
    </cfRule>
    <cfRule type="expression" dxfId="5447" priority="110">
      <formula>AND(B$9&gt;=14/24,B$9&lt;20/24)</formula>
    </cfRule>
    <cfRule type="expression" dxfId="5446" priority="111">
      <formula>AND(B$9&gt;=8/24,B$9&lt;14/24)</formula>
    </cfRule>
    <cfRule type="expression" dxfId="5445" priority="112">
      <formula>B$9&lt;8/24</formula>
    </cfRule>
  </conditionalFormatting>
  <conditionalFormatting sqref="B53:B57">
    <cfRule type="expression" dxfId="5444" priority="108">
      <formula>B53&gt;$AG53</formula>
    </cfRule>
  </conditionalFormatting>
  <conditionalFormatting sqref="B96 B100:B106 B47 B86 B67:D69 B72:D74">
    <cfRule type="expression" dxfId="5443" priority="104">
      <formula>B$9&gt;=20/24</formula>
    </cfRule>
    <cfRule type="expression" dxfId="5442" priority="105">
      <formula>AND(B$9&gt;=14/24,B$9&lt;20/24)</formula>
    </cfRule>
    <cfRule type="expression" dxfId="5441" priority="106">
      <formula>AND(B$9&gt;=8/24,B$9&lt;14/24)</formula>
    </cfRule>
    <cfRule type="expression" dxfId="5440" priority="107">
      <formula>B$9&lt;8/24</formula>
    </cfRule>
  </conditionalFormatting>
  <conditionalFormatting sqref="B47 B67:D69">
    <cfRule type="expression" dxfId="5439" priority="103">
      <formula>B47&gt;$AG47</formula>
    </cfRule>
  </conditionalFormatting>
  <conditionalFormatting sqref="B97 B88">
    <cfRule type="expression" dxfId="5438" priority="99">
      <formula>B$9&gt;=20/24</formula>
    </cfRule>
    <cfRule type="expression" dxfId="5437" priority="100">
      <formula>AND(B$9&gt;=14/24,B$9&lt;20/24)</formula>
    </cfRule>
    <cfRule type="expression" dxfId="5436" priority="101">
      <formula>AND(B$9&gt;=8/24,B$9&lt;14/24)</formula>
    </cfRule>
    <cfRule type="expression" dxfId="5435" priority="102">
      <formula>B$9&lt;8/24</formula>
    </cfRule>
  </conditionalFormatting>
  <conditionalFormatting sqref="B58:G58">
    <cfRule type="expression" dxfId="5434" priority="95">
      <formula>B$9&gt;=20/24</formula>
    </cfRule>
    <cfRule type="expression" dxfId="5433" priority="96">
      <formula>AND(B$9&gt;=14/24,B$9&lt;20/24)</formula>
    </cfRule>
    <cfRule type="expression" dxfId="5432" priority="97">
      <formula>AND(B$9&gt;=8/24,B$9&lt;14/24)</formula>
    </cfRule>
    <cfRule type="expression" dxfId="5431" priority="98">
      <formula>B$9&lt;8/24</formula>
    </cfRule>
  </conditionalFormatting>
  <conditionalFormatting sqref="B58:G58">
    <cfRule type="expression" dxfId="5430" priority="94">
      <formula>B58&gt;$AG58</formula>
    </cfRule>
  </conditionalFormatting>
  <conditionalFormatting sqref="B91:B95">
    <cfRule type="expression" dxfId="5429" priority="90">
      <formula>B$9&gt;=20/24</formula>
    </cfRule>
    <cfRule type="expression" dxfId="5428" priority="91">
      <formula>AND(B$9&gt;=14/24,B$9&lt;20/24)</formula>
    </cfRule>
    <cfRule type="expression" dxfId="5427" priority="92">
      <formula>AND(B$9&gt;=8/24,B$9&lt;14/24)</formula>
    </cfRule>
    <cfRule type="expression" dxfId="5426" priority="93">
      <formula>B$9&lt;8/24</formula>
    </cfRule>
  </conditionalFormatting>
  <conditionalFormatting sqref="B49:B51">
    <cfRule type="expression" dxfId="5425" priority="86">
      <formula>B$9&gt;=20/24</formula>
    </cfRule>
    <cfRule type="expression" dxfId="5424" priority="87">
      <formula>AND(B$9&gt;=14/24,B$9&lt;20/24)</formula>
    </cfRule>
    <cfRule type="expression" dxfId="5423" priority="88">
      <formula>AND(B$9&gt;=8/24,B$9&lt;14/24)</formula>
    </cfRule>
    <cfRule type="expression" dxfId="5422" priority="89">
      <formula>B$9&lt;8/24</formula>
    </cfRule>
  </conditionalFormatting>
  <conditionalFormatting sqref="B49:B51">
    <cfRule type="expression" dxfId="5421" priority="85">
      <formula>B49&gt;$AG49</formula>
    </cfRule>
  </conditionalFormatting>
  <conditionalFormatting sqref="B107">
    <cfRule type="expression" dxfId="5420" priority="81">
      <formula>B$9&gt;=20/24</formula>
    </cfRule>
    <cfRule type="expression" dxfId="5419" priority="82">
      <formula>AND(B$9&gt;=14/24,B$9&lt;20/24)</formula>
    </cfRule>
    <cfRule type="expression" dxfId="5418" priority="83">
      <formula>AND(B$9&gt;=8/24,B$9&lt;14/24)</formula>
    </cfRule>
    <cfRule type="expression" dxfId="5417" priority="84">
      <formula>B$9&lt;8/24</formula>
    </cfRule>
  </conditionalFormatting>
  <conditionalFormatting sqref="B110">
    <cfRule type="expression" dxfId="5416" priority="77">
      <formula>B$9&gt;=20/24</formula>
    </cfRule>
    <cfRule type="expression" dxfId="5415" priority="78">
      <formula>AND(B$9&gt;=14/24,B$9&lt;20/24)</formula>
    </cfRule>
    <cfRule type="expression" dxfId="5414" priority="79">
      <formula>AND(B$9&gt;=8/24,B$9&lt;14/24)</formula>
    </cfRule>
    <cfRule type="expression" dxfId="5413" priority="80">
      <formula>B$9&lt;8/24</formula>
    </cfRule>
  </conditionalFormatting>
  <conditionalFormatting sqref="B17:W32 X23:Y32">
    <cfRule type="expression" dxfId="5412" priority="73">
      <formula>B$9&gt;=20/24</formula>
    </cfRule>
    <cfRule type="expression" dxfId="5411" priority="74">
      <formula>AND(B$9&gt;=14/24,B$9&lt;20/24)</formula>
    </cfRule>
    <cfRule type="expression" dxfId="5410" priority="75">
      <formula>AND(B$9&gt;=8/24,B$9&lt;14/24)</formula>
    </cfRule>
    <cfRule type="expression" dxfId="5409" priority="76">
      <formula>B$9&lt;8/24</formula>
    </cfRule>
  </conditionalFormatting>
  <conditionalFormatting sqref="B17:W32 X23:Y32">
    <cfRule type="expression" dxfId="5408" priority="72">
      <formula>B17&gt;$AG17</formula>
    </cfRule>
  </conditionalFormatting>
  <conditionalFormatting sqref="B83:B85 B75:D81">
    <cfRule type="expression" dxfId="5407" priority="68">
      <formula>B$9&gt;=20/24</formula>
    </cfRule>
    <cfRule type="expression" dxfId="5406" priority="69">
      <formula>AND(B$9&gt;=14/24,B$9&lt;20/24)</formula>
    </cfRule>
    <cfRule type="expression" dxfId="5405" priority="70">
      <formula>AND(B$9&gt;=8/24,B$9&lt;14/24)</formula>
    </cfRule>
    <cfRule type="expression" dxfId="5404" priority="71">
      <formula>B$9&lt;8/24</formula>
    </cfRule>
  </conditionalFormatting>
  <conditionalFormatting sqref="B46:D46">
    <cfRule type="expression" dxfId="5403" priority="64">
      <formula>B$9&gt;=20/24</formula>
    </cfRule>
    <cfRule type="expression" dxfId="5402" priority="65">
      <formula>AND(B$9&gt;=14/24,B$9&lt;20/24)</formula>
    </cfRule>
    <cfRule type="expression" dxfId="5401" priority="66">
      <formula>AND(B$9&gt;=8/24,B$9&lt;14/24)</formula>
    </cfRule>
    <cfRule type="expression" dxfId="5400" priority="67">
      <formula>B$9&lt;8/24</formula>
    </cfRule>
  </conditionalFormatting>
  <conditionalFormatting sqref="B46:D46">
    <cfRule type="expression" dxfId="5399" priority="63">
      <formula>B46&gt;$AG46</formula>
    </cfRule>
  </conditionalFormatting>
  <conditionalFormatting sqref="B87 B89 B98 B70">
    <cfRule type="expression" dxfId="5398" priority="59">
      <formula>B$9&gt;=20/24</formula>
    </cfRule>
    <cfRule type="expression" dxfId="5397" priority="60">
      <formula>AND(B$9&gt;=14/24,B$9&lt;20/24)</formula>
    </cfRule>
    <cfRule type="expression" dxfId="5396" priority="61">
      <formula>AND(B$9&gt;=8/24,B$9&lt;14/24)</formula>
    </cfRule>
    <cfRule type="expression" dxfId="5395" priority="62">
      <formula>B$9&lt;8/24</formula>
    </cfRule>
  </conditionalFormatting>
  <conditionalFormatting sqref="B70 B65:B66 B48">
    <cfRule type="expression" dxfId="5394" priority="58">
      <formula>B48&gt;$AG48</formula>
    </cfRule>
  </conditionalFormatting>
  <conditionalFormatting sqref="B82">
    <cfRule type="expression" dxfId="5393" priority="54">
      <formula>B$9&gt;=20/24</formula>
    </cfRule>
    <cfRule type="expression" dxfId="5392" priority="55">
      <formula>AND(B$9&gt;=14/24,B$9&lt;20/24)</formula>
    </cfRule>
    <cfRule type="expression" dxfId="5391" priority="56">
      <formula>AND(B$9&gt;=8/24,B$9&lt;14/24)</formula>
    </cfRule>
    <cfRule type="expression" dxfId="5390" priority="57">
      <formula>B$9&lt;8/24</formula>
    </cfRule>
  </conditionalFormatting>
  <conditionalFormatting sqref="B52">
    <cfRule type="expression" dxfId="5389" priority="50">
      <formula>B$9&gt;=20/24</formula>
    </cfRule>
    <cfRule type="expression" dxfId="5388" priority="51">
      <formula>AND(B$9&gt;=14/24,B$9&lt;20/24)</formula>
    </cfRule>
    <cfRule type="expression" dxfId="5387" priority="52">
      <formula>AND(B$9&gt;=8/24,B$9&lt;14/24)</formula>
    </cfRule>
    <cfRule type="expression" dxfId="5386" priority="53">
      <formula>B$9&lt;8/24</formula>
    </cfRule>
  </conditionalFormatting>
  <conditionalFormatting sqref="B52">
    <cfRule type="expression" dxfId="5385" priority="49">
      <formula>B52&gt;$AG52</formula>
    </cfRule>
  </conditionalFormatting>
  <conditionalFormatting sqref="B59:G64">
    <cfRule type="expression" dxfId="5384" priority="41">
      <formula>B$9&gt;=20/24</formula>
    </cfRule>
    <cfRule type="expression" dxfId="5383" priority="42">
      <formula>AND(B$9&gt;=14/24,B$9&lt;20/24)</formula>
    </cfRule>
    <cfRule type="expression" dxfId="5382" priority="43">
      <formula>AND(B$9&gt;=8/24,B$9&lt;14/24)</formula>
    </cfRule>
    <cfRule type="expression" dxfId="5381" priority="44">
      <formula>B$9&lt;8/24</formula>
    </cfRule>
  </conditionalFormatting>
  <conditionalFormatting sqref="B59:G64">
    <cfRule type="expression" dxfId="5380" priority="40">
      <formula>B59&gt;$AG59</formula>
    </cfRule>
  </conditionalFormatting>
  <conditionalFormatting sqref="B13:S15">
    <cfRule type="expression" dxfId="5379" priority="39">
      <formula>B13&gt;$AG13</formula>
    </cfRule>
  </conditionalFormatting>
  <conditionalFormatting sqref="B12:S12">
    <cfRule type="expression" dxfId="5378" priority="35">
      <formula>B$9&gt;=20/24</formula>
    </cfRule>
    <cfRule type="expression" dxfId="5377" priority="36">
      <formula>AND(B$9&gt;=14/24,B$9&lt;20/24)</formula>
    </cfRule>
    <cfRule type="expression" dxfId="5376" priority="37">
      <formula>AND(B$9&gt;=8/24,B$9&lt;14/24)</formula>
    </cfRule>
    <cfRule type="expression" dxfId="5375" priority="38">
      <formula>B$9&lt;8/24</formula>
    </cfRule>
  </conditionalFormatting>
  <conditionalFormatting sqref="B12:S12">
    <cfRule type="expression" dxfId="5374" priority="34">
      <formula>B12&gt;$AG12</formula>
    </cfRule>
  </conditionalFormatting>
  <conditionalFormatting sqref="B13:S15">
    <cfRule type="expression" dxfId="5373" priority="30">
      <formula>B$9&gt;=20/24</formula>
    </cfRule>
    <cfRule type="expression" dxfId="5372" priority="31">
      <formula>AND(B$9&gt;=14/24,B$9&lt;20/24)</formula>
    </cfRule>
    <cfRule type="expression" dxfId="5371" priority="32">
      <formula>AND(B$9&gt;=8/24,B$9&lt;14/24)</formula>
    </cfRule>
    <cfRule type="expression" dxfId="5370" priority="33">
      <formula>B$9&lt;8/24</formula>
    </cfRule>
  </conditionalFormatting>
  <conditionalFormatting sqref="B34:Y43 B45:Y45">
    <cfRule type="expression" dxfId="5369" priority="26">
      <formula>B$9&gt;=20/24</formula>
    </cfRule>
    <cfRule type="expression" dxfId="5368" priority="27">
      <formula>AND(B$9&gt;=14/24,B$9&lt;20/24)</formula>
    </cfRule>
    <cfRule type="expression" dxfId="5367" priority="28">
      <formula>AND(B$9&gt;=8/24,B$9&lt;14/24)</formula>
    </cfRule>
    <cfRule type="expression" dxfId="5366" priority="29">
      <formula>B$9&lt;8/24</formula>
    </cfRule>
  </conditionalFormatting>
  <conditionalFormatting sqref="B34:Y43 B45:Y45">
    <cfRule type="expression" dxfId="5365" priority="25">
      <formula>B34&gt;$AG34</formula>
    </cfRule>
  </conditionalFormatting>
  <conditionalFormatting sqref="B11:S11">
    <cfRule type="expression" dxfId="5364" priority="21">
      <formula>B$9&gt;=20/24</formula>
    </cfRule>
    <cfRule type="expression" dxfId="5363" priority="22">
      <formula>AND(B$9&gt;=14/24,B$9&lt;20/24)</formula>
    </cfRule>
    <cfRule type="expression" dxfId="5362" priority="23">
      <formula>AND(B$9&gt;=8/24,B$9&lt;14/24)</formula>
    </cfRule>
    <cfRule type="expression" dxfId="5361" priority="24">
      <formula>B$9&lt;8/24</formula>
    </cfRule>
  </conditionalFormatting>
  <conditionalFormatting sqref="B11:S11">
    <cfRule type="expression" dxfId="5360" priority="20">
      <formula>B11&gt;$AG11</formula>
    </cfRule>
  </conditionalFormatting>
  <conditionalFormatting sqref="B16:S16">
    <cfRule type="expression" dxfId="5359" priority="16">
      <formula>B$9&gt;=20/24</formula>
    </cfRule>
    <cfRule type="expression" dxfId="5358" priority="17">
      <formula>AND(B$9&gt;=14/24,B$9&lt;20/24)</formula>
    </cfRule>
    <cfRule type="expression" dxfId="5357" priority="18">
      <formula>AND(B$9&gt;=8/24,B$9&lt;14/24)</formula>
    </cfRule>
    <cfRule type="expression" dxfId="5356" priority="19">
      <formula>B$9&lt;8/24</formula>
    </cfRule>
  </conditionalFormatting>
  <conditionalFormatting sqref="B16:S16">
    <cfRule type="expression" dxfId="5355" priority="15">
      <formula>B16&gt;$AG16</formula>
    </cfRule>
  </conditionalFormatting>
  <conditionalFormatting sqref="B33:Y33">
    <cfRule type="expression" dxfId="5354" priority="11">
      <formula>B$9&gt;=20/24</formula>
    </cfRule>
    <cfRule type="expression" dxfId="5353" priority="12">
      <formula>AND(B$9&gt;=14/24,B$9&lt;20/24)</formula>
    </cfRule>
    <cfRule type="expression" dxfId="5352" priority="13">
      <formula>AND(B$9&gt;=8/24,B$9&lt;14/24)</formula>
    </cfRule>
    <cfRule type="expression" dxfId="5351" priority="14">
      <formula>B$9&lt;8/24</formula>
    </cfRule>
  </conditionalFormatting>
  <conditionalFormatting sqref="B33:Y33">
    <cfRule type="expression" dxfId="5350" priority="10">
      <formula>B33&gt;$AG33</formula>
    </cfRule>
  </conditionalFormatting>
  <conditionalFormatting sqref="B44:Y44">
    <cfRule type="expression" dxfId="5349" priority="6">
      <formula>B$9&gt;=20/24</formula>
    </cfRule>
    <cfRule type="expression" dxfId="5348" priority="7">
      <formula>AND(B$9&gt;=14/24,B$9&lt;20/24)</formula>
    </cfRule>
    <cfRule type="expression" dxfId="5347" priority="8">
      <formula>AND(B$9&gt;=8/24,B$9&lt;14/24)</formula>
    </cfRule>
    <cfRule type="expression" dxfId="5346" priority="9">
      <formula>B$9&lt;8/24</formula>
    </cfRule>
  </conditionalFormatting>
  <conditionalFormatting sqref="B44:Y44">
    <cfRule type="expression" dxfId="5345" priority="5">
      <formula>B44&gt;$AG44</formula>
    </cfRule>
  </conditionalFormatting>
  <conditionalFormatting sqref="B117">
    <cfRule type="expression" dxfId="5344" priority="1">
      <formula>B$9&gt;=20/24</formula>
    </cfRule>
    <cfRule type="expression" dxfId="5343" priority="2">
      <formula>AND(B$9&gt;=14/24,B$9&lt;20/24)</formula>
    </cfRule>
    <cfRule type="expression" dxfId="5342" priority="3">
      <formula>AND(B$9&gt;=8/24,B$9&lt;14/24)</formula>
    </cfRule>
    <cfRule type="expression" dxfId="5341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29" id="{D44DF43C-A4DF-49BA-88E6-9022D66B183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0" id="{7D6638CD-773C-42F6-86D0-4A3E662464C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1" id="{3DBA6721-4530-4F3B-A7DE-77573C3EE0F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2" id="{E0CCC496-9771-48CC-90AA-C4DF452DC1E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45" id="{3A5CB7A5-7084-43F2-B370-179B7CF6C66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C07116F1-B7CB-443F-BA77-A9B0684EB47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7" id="{65D12A71-B6FF-4DB3-A7CC-15AAD18D559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8" id="{3BC666CD-B2F9-433B-A948-7AC0D9848EA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96" activePane="bottomLeft" state="frozen"/>
      <selection activeCell="Z85" sqref="Z85"/>
      <selection pane="bottomLeft" activeCell="Y67" sqref="Y6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2079/12/19</v>
      </c>
      <c r="C4" s="196"/>
      <c r="D4" s="196"/>
      <c r="E4" s="197" t="str">
        <f ca="1">"2079/"&amp;"12/"&amp;INT(MID(CELL("filename",G6),FIND("]",CELL("filename",G6))+1,200))</f>
        <v>2079/12/19</v>
      </c>
      <c r="F4" s="197"/>
      <c r="G4" s="197"/>
      <c r="H4" s="197" t="str">
        <f ca="1">TEXT(E4,"dddd")</f>
        <v>Tuesday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303.7</v>
      </c>
      <c r="C5" s="33">
        <f t="shared" si="0"/>
        <v>312</v>
      </c>
      <c r="D5" s="33">
        <f t="shared" si="0"/>
        <v>330</v>
      </c>
      <c r="E5" s="33">
        <f t="shared" si="0"/>
        <v>316.8</v>
      </c>
      <c r="F5" s="33">
        <f t="shared" si="0"/>
        <v>370.50000000000006</v>
      </c>
      <c r="G5" s="33">
        <f t="shared" si="0"/>
        <v>378.7</v>
      </c>
      <c r="H5" s="33">
        <f t="shared" si="0"/>
        <v>410.1</v>
      </c>
      <c r="I5" s="33">
        <f t="shared" si="0"/>
        <v>432.9</v>
      </c>
      <c r="J5" s="33">
        <f t="shared" si="0"/>
        <v>415.7</v>
      </c>
      <c r="K5" s="33">
        <f t="shared" si="0"/>
        <v>450</v>
      </c>
      <c r="L5" s="33">
        <f t="shared" si="0"/>
        <v>458.03500000000003</v>
      </c>
      <c r="M5" s="33">
        <f t="shared" si="0"/>
        <v>409.1</v>
      </c>
      <c r="N5" s="33">
        <f t="shared" si="0"/>
        <v>409.1</v>
      </c>
      <c r="O5" s="33">
        <f t="shared" si="0"/>
        <v>423.2</v>
      </c>
      <c r="P5" s="33">
        <f t="shared" si="0"/>
        <v>433.20000000000005</v>
      </c>
      <c r="Q5" s="33">
        <f t="shared" si="0"/>
        <v>378</v>
      </c>
      <c r="R5" s="33">
        <f t="shared" si="0"/>
        <v>485.3</v>
      </c>
      <c r="S5" s="33">
        <f t="shared" si="0"/>
        <v>479.40000000000003</v>
      </c>
      <c r="T5" s="33">
        <f t="shared" si="0"/>
        <v>458.4</v>
      </c>
      <c r="U5" s="33">
        <f t="shared" si="0"/>
        <v>421.59999999999997</v>
      </c>
      <c r="V5" s="33">
        <f t="shared" si="0"/>
        <v>438.2</v>
      </c>
      <c r="W5" s="33">
        <f t="shared" si="0"/>
        <v>444.1</v>
      </c>
      <c r="X5" s="33">
        <f t="shared" si="0"/>
        <v>443.59999999999997</v>
      </c>
      <c r="Y5" s="33">
        <f t="shared" si="0"/>
        <v>449.99999999999994</v>
      </c>
      <c r="Z5" s="33">
        <f t="shared" si="0"/>
        <v>442.00000000000006</v>
      </c>
      <c r="AA5" s="33">
        <f t="shared" si="0"/>
        <v>433.6</v>
      </c>
      <c r="AB5" s="33">
        <f t="shared" si="0"/>
        <v>434.7</v>
      </c>
      <c r="AC5" s="33">
        <f t="shared" si="0"/>
        <v>393.7</v>
      </c>
      <c r="AD5" s="33">
        <f t="shared" si="0"/>
        <v>383.7</v>
      </c>
      <c r="AE5" s="33">
        <f t="shared" si="0"/>
        <v>386.1</v>
      </c>
      <c r="AF5" s="33">
        <f>B82</f>
        <v>60.5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1256MW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Load=838</v>
      </c>
      <c r="B7" s="38">
        <f t="shared" ref="B7:AF7" si="1">B89</f>
        <v>856.6400000000001</v>
      </c>
      <c r="C7" s="38">
        <f t="shared" si="1"/>
        <v>837.54</v>
      </c>
      <c r="D7" s="38">
        <f t="shared" si="1"/>
        <v>852.04000000000008</v>
      </c>
      <c r="E7" s="38">
        <f t="shared" si="1"/>
        <v>860.04000000000008</v>
      </c>
      <c r="F7" s="38">
        <f t="shared" si="1"/>
        <v>864.84000000000015</v>
      </c>
      <c r="G7" s="38">
        <f t="shared" si="1"/>
        <v>918.54000000000019</v>
      </c>
      <c r="H7" s="38">
        <f t="shared" si="1"/>
        <v>995.1400000000001</v>
      </c>
      <c r="I7" s="38">
        <f t="shared" si="1"/>
        <v>1033.8400000000001</v>
      </c>
      <c r="J7" s="38">
        <f t="shared" si="1"/>
        <v>1133.1399999999999</v>
      </c>
      <c r="K7" s="38">
        <f t="shared" si="1"/>
        <v>1237.04</v>
      </c>
      <c r="L7" s="38">
        <f t="shared" si="1"/>
        <v>1245.6399999999999</v>
      </c>
      <c r="M7" s="38">
        <f t="shared" si="1"/>
        <v>1256.1750000000002</v>
      </c>
      <c r="N7" s="38">
        <f>N89</f>
        <v>1192.3400000000001</v>
      </c>
      <c r="O7" s="38">
        <f t="shared" si="1"/>
        <v>1205.99</v>
      </c>
      <c r="P7" s="38">
        <f t="shared" si="1"/>
        <v>1216.74</v>
      </c>
      <c r="Q7" s="38">
        <f t="shared" si="1"/>
        <v>1258.44</v>
      </c>
      <c r="R7" s="38">
        <f t="shared" si="1"/>
        <v>1194.3400000000001</v>
      </c>
      <c r="S7" s="38">
        <f t="shared" si="1"/>
        <v>1218.04</v>
      </c>
      <c r="T7" s="38">
        <f t="shared" si="1"/>
        <v>1249.04</v>
      </c>
      <c r="U7" s="38">
        <f t="shared" si="1"/>
        <v>1190.8399999999999</v>
      </c>
      <c r="V7" s="38">
        <f t="shared" si="1"/>
        <v>1132.74</v>
      </c>
      <c r="W7" s="38">
        <f t="shared" si="1"/>
        <v>1131.1399999999999</v>
      </c>
      <c r="X7" s="38">
        <f t="shared" si="1"/>
        <v>1193.74</v>
      </c>
      <c r="Y7" s="38">
        <f t="shared" si="1"/>
        <v>1334.84</v>
      </c>
      <c r="Z7" s="38">
        <f t="shared" si="1"/>
        <v>1436.64</v>
      </c>
      <c r="AA7" s="38">
        <f t="shared" si="1"/>
        <v>1399.14</v>
      </c>
      <c r="AB7" s="38">
        <f t="shared" si="1"/>
        <v>1257.7399999999998</v>
      </c>
      <c r="AC7" s="38">
        <f t="shared" si="1"/>
        <v>1237.44</v>
      </c>
      <c r="AD7" s="38">
        <f t="shared" si="1"/>
        <v>1172.44</v>
      </c>
      <c r="AE7" s="38">
        <f t="shared" si="1"/>
        <v>1060.3399999999999</v>
      </c>
      <c r="AF7" s="38">
        <f t="shared" si="1"/>
        <v>988.94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42</v>
      </c>
      <c r="C11" s="50">
        <v>42</v>
      </c>
      <c r="D11" s="50">
        <v>42</v>
      </c>
      <c r="E11" s="50">
        <v>42</v>
      </c>
      <c r="F11" s="50">
        <v>42</v>
      </c>
      <c r="G11" s="50">
        <v>42</v>
      </c>
      <c r="H11" s="50">
        <v>42</v>
      </c>
      <c r="I11" s="50">
        <v>42</v>
      </c>
      <c r="J11" s="50">
        <v>42</v>
      </c>
      <c r="K11" s="50">
        <v>42</v>
      </c>
      <c r="L11" s="50">
        <v>34</v>
      </c>
      <c r="M11" s="50">
        <v>34</v>
      </c>
      <c r="N11" s="50">
        <v>34</v>
      </c>
      <c r="O11" s="50">
        <v>34</v>
      </c>
      <c r="P11" s="50">
        <v>34</v>
      </c>
      <c r="Q11" s="50">
        <v>32</v>
      </c>
      <c r="R11" s="50">
        <v>32</v>
      </c>
      <c r="S11" s="50">
        <v>30</v>
      </c>
      <c r="T11" s="50">
        <v>30</v>
      </c>
      <c r="U11" s="50">
        <v>30</v>
      </c>
      <c r="V11" s="50">
        <v>30</v>
      </c>
      <c r="W11" s="50">
        <v>30</v>
      </c>
      <c r="X11" s="50">
        <v>30</v>
      </c>
      <c r="Y11" s="50">
        <v>32</v>
      </c>
      <c r="Z11" s="50">
        <v>31</v>
      </c>
      <c r="AA11" s="50">
        <v>31</v>
      </c>
      <c r="AB11" s="50">
        <v>40</v>
      </c>
      <c r="AC11" s="50">
        <v>40</v>
      </c>
      <c r="AD11" s="50">
        <v>40</v>
      </c>
      <c r="AE11" s="50">
        <v>40</v>
      </c>
      <c r="AF11" s="50">
        <v>40</v>
      </c>
      <c r="AG11" s="51">
        <v>86</v>
      </c>
      <c r="AH11" s="52">
        <f t="shared" ref="AH11:AH74" si="2">MAX(B11:AF11)</f>
        <v>42</v>
      </c>
      <c r="AI11" s="53">
        <f t="shared" ref="AI11:AI74" si="3">MIN(B11:AF11)</f>
        <v>30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27.5</v>
      </c>
      <c r="C12" s="50">
        <v>27.5</v>
      </c>
      <c r="D12" s="50">
        <v>27.5</v>
      </c>
      <c r="E12" s="50">
        <v>27.5</v>
      </c>
      <c r="F12" s="50">
        <v>27.5</v>
      </c>
      <c r="G12" s="50">
        <v>27.5</v>
      </c>
      <c r="H12" s="50">
        <v>27.5</v>
      </c>
      <c r="I12" s="50">
        <v>27.5</v>
      </c>
      <c r="J12" s="50">
        <v>18</v>
      </c>
      <c r="K12" s="50">
        <v>17.5</v>
      </c>
      <c r="L12" s="50">
        <v>17.5</v>
      </c>
      <c r="M12" s="50">
        <v>17.5</v>
      </c>
      <c r="N12" s="50">
        <v>17.5</v>
      </c>
      <c r="O12" s="50">
        <v>17.5</v>
      </c>
      <c r="P12" s="50">
        <v>17.5</v>
      </c>
      <c r="Q12" s="50">
        <v>17.5</v>
      </c>
      <c r="R12" s="50">
        <v>17.5</v>
      </c>
      <c r="S12" s="50">
        <v>17.5</v>
      </c>
      <c r="T12" s="50">
        <v>17.5</v>
      </c>
      <c r="U12" s="50">
        <v>17.5</v>
      </c>
      <c r="V12" s="50">
        <v>17.5</v>
      </c>
      <c r="W12" s="50">
        <v>17.5</v>
      </c>
      <c r="X12" s="50">
        <v>17.5</v>
      </c>
      <c r="Y12" s="50">
        <v>17.600000000000001</v>
      </c>
      <c r="Z12" s="50">
        <v>17.600000000000001</v>
      </c>
      <c r="AA12" s="50">
        <v>17.600000000000001</v>
      </c>
      <c r="AB12" s="50">
        <v>22</v>
      </c>
      <c r="AC12" s="50">
        <v>22</v>
      </c>
      <c r="AD12" s="50">
        <v>22</v>
      </c>
      <c r="AE12" s="50">
        <v>22</v>
      </c>
      <c r="AF12" s="50">
        <v>22</v>
      </c>
      <c r="AG12" s="51">
        <v>52.4</v>
      </c>
      <c r="AH12" s="52">
        <f t="shared" si="2"/>
        <v>27.5</v>
      </c>
      <c r="AI12" s="53">
        <f t="shared" si="3"/>
        <v>17.5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35</v>
      </c>
      <c r="C13" s="50">
        <v>35</v>
      </c>
      <c r="D13" s="50">
        <v>35</v>
      </c>
      <c r="E13" s="50">
        <v>35</v>
      </c>
      <c r="F13" s="50">
        <v>35</v>
      </c>
      <c r="G13" s="50">
        <v>35</v>
      </c>
      <c r="H13" s="50">
        <v>35</v>
      </c>
      <c r="I13" s="50">
        <v>35</v>
      </c>
      <c r="J13" s="50">
        <v>35</v>
      </c>
      <c r="K13" s="50">
        <v>31</v>
      </c>
      <c r="L13" s="50">
        <v>31</v>
      </c>
      <c r="M13" s="50">
        <v>31</v>
      </c>
      <c r="N13" s="50">
        <v>31</v>
      </c>
      <c r="O13" s="50">
        <v>31</v>
      </c>
      <c r="P13" s="50">
        <v>31</v>
      </c>
      <c r="Q13" s="50">
        <v>27.7</v>
      </c>
      <c r="R13" s="50">
        <v>27.7</v>
      </c>
      <c r="S13" s="50">
        <v>28.2</v>
      </c>
      <c r="T13" s="50">
        <v>28.2</v>
      </c>
      <c r="U13" s="50">
        <v>28.2</v>
      </c>
      <c r="V13" s="50">
        <v>28.2</v>
      </c>
      <c r="W13" s="50">
        <v>28.2</v>
      </c>
      <c r="X13" s="50">
        <v>28.2</v>
      </c>
      <c r="Y13" s="50">
        <v>31</v>
      </c>
      <c r="Z13" s="50">
        <v>31</v>
      </c>
      <c r="AA13" s="50">
        <v>31</v>
      </c>
      <c r="AB13" s="50">
        <v>31</v>
      </c>
      <c r="AC13" s="50">
        <v>31</v>
      </c>
      <c r="AD13" s="50">
        <v>31</v>
      </c>
      <c r="AE13" s="50">
        <v>31</v>
      </c>
      <c r="AF13" s="50">
        <v>31</v>
      </c>
      <c r="AG13" s="55">
        <v>50</v>
      </c>
      <c r="AH13" s="52">
        <f t="shared" si="2"/>
        <v>35</v>
      </c>
      <c r="AI13" s="53">
        <f t="shared" si="3"/>
        <v>27.7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18.600000000000001</v>
      </c>
      <c r="C14" s="50">
        <v>18.600000000000001</v>
      </c>
      <c r="D14" s="50">
        <v>18.600000000000001</v>
      </c>
      <c r="E14" s="50">
        <v>18.600000000000001</v>
      </c>
      <c r="F14" s="50">
        <v>18.600000000000001</v>
      </c>
      <c r="G14" s="50">
        <v>18.600000000000001</v>
      </c>
      <c r="H14" s="50">
        <v>18.600000000000001</v>
      </c>
      <c r="I14" s="50">
        <v>18.600000000000001</v>
      </c>
      <c r="J14" s="50">
        <v>18.600000000000001</v>
      </c>
      <c r="K14" s="50">
        <v>18.600000000000001</v>
      </c>
      <c r="L14" s="50">
        <v>16.399999999999999</v>
      </c>
      <c r="M14" s="50">
        <v>16.399999999999999</v>
      </c>
      <c r="N14" s="50">
        <v>16.399999999999999</v>
      </c>
      <c r="O14" s="50">
        <v>16.399999999999999</v>
      </c>
      <c r="P14" s="50">
        <v>16.399999999999999</v>
      </c>
      <c r="Q14" s="50">
        <v>15.6</v>
      </c>
      <c r="R14" s="50">
        <v>15.6</v>
      </c>
      <c r="S14" s="50">
        <v>14.9</v>
      </c>
      <c r="T14" s="50">
        <v>14.9</v>
      </c>
      <c r="U14" s="50">
        <v>14.9</v>
      </c>
      <c r="V14" s="50">
        <v>14.9</v>
      </c>
      <c r="W14" s="50">
        <v>14.9</v>
      </c>
      <c r="X14" s="50">
        <v>14.9</v>
      </c>
      <c r="Y14" s="50">
        <v>18.3</v>
      </c>
      <c r="Z14" s="50">
        <v>18.3</v>
      </c>
      <c r="AA14" s="50">
        <v>18.3</v>
      </c>
      <c r="AB14" s="50">
        <v>18.3</v>
      </c>
      <c r="AC14" s="50">
        <v>18.3</v>
      </c>
      <c r="AD14" s="50">
        <v>18.3</v>
      </c>
      <c r="AE14" s="50">
        <v>18.3</v>
      </c>
      <c r="AF14" s="50">
        <v>18.3</v>
      </c>
      <c r="AG14" s="55">
        <v>45</v>
      </c>
      <c r="AH14" s="52">
        <f t="shared" si="2"/>
        <v>18.600000000000001</v>
      </c>
      <c r="AI14" s="53">
        <f t="shared" si="3"/>
        <v>14.9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8.5</v>
      </c>
      <c r="C18" s="50">
        <v>8.5</v>
      </c>
      <c r="D18" s="50">
        <v>8.5</v>
      </c>
      <c r="E18" s="50">
        <v>8.5</v>
      </c>
      <c r="F18" s="50">
        <v>8.5</v>
      </c>
      <c r="G18" s="50">
        <v>8.5</v>
      </c>
      <c r="H18" s="50">
        <v>8.5</v>
      </c>
      <c r="I18" s="50">
        <v>8.5</v>
      </c>
      <c r="J18" s="50">
        <v>8.5</v>
      </c>
      <c r="K18" s="50">
        <v>8.5</v>
      </c>
      <c r="L18" s="50">
        <v>8.5</v>
      </c>
      <c r="M18" s="50">
        <v>8.5</v>
      </c>
      <c r="N18" s="50">
        <v>8.5</v>
      </c>
      <c r="O18" s="50">
        <v>8.5</v>
      </c>
      <c r="P18" s="50">
        <v>8.5</v>
      </c>
      <c r="Q18" s="50">
        <v>8.5</v>
      </c>
      <c r="R18" s="50">
        <v>8.5</v>
      </c>
      <c r="S18" s="50">
        <v>8.5</v>
      </c>
      <c r="T18" s="50">
        <v>8.5</v>
      </c>
      <c r="U18" s="50">
        <v>8.5</v>
      </c>
      <c r="V18" s="50">
        <v>8.5</v>
      </c>
      <c r="W18" s="50">
        <v>8.5</v>
      </c>
      <c r="X18" s="50">
        <v>8.5</v>
      </c>
      <c r="Y18" s="50">
        <v>10.9</v>
      </c>
      <c r="Z18" s="50">
        <v>10.9</v>
      </c>
      <c r="AA18" s="50">
        <v>10.9</v>
      </c>
      <c r="AB18" s="50">
        <v>10.9</v>
      </c>
      <c r="AC18" s="50">
        <v>10.9</v>
      </c>
      <c r="AD18" s="50">
        <v>10.9</v>
      </c>
      <c r="AE18" s="50">
        <v>10.9</v>
      </c>
      <c r="AF18" s="50">
        <v>10.9</v>
      </c>
      <c r="AG18" s="56">
        <v>30</v>
      </c>
      <c r="AH18" s="52">
        <f t="shared" si="2"/>
        <v>10.9</v>
      </c>
      <c r="AI18" s="53">
        <f t="shared" si="3"/>
        <v>8.5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7.7</v>
      </c>
      <c r="C19" s="50">
        <v>7.7</v>
      </c>
      <c r="D19" s="50">
        <v>7.7</v>
      </c>
      <c r="E19" s="50">
        <v>7.7</v>
      </c>
      <c r="F19" s="50">
        <v>7.7</v>
      </c>
      <c r="G19" s="50">
        <v>7.7</v>
      </c>
      <c r="H19" s="50">
        <v>7.7</v>
      </c>
      <c r="I19" s="50">
        <v>7.7</v>
      </c>
      <c r="J19" s="50">
        <v>7.7</v>
      </c>
      <c r="K19" s="50">
        <v>7.7</v>
      </c>
      <c r="L19" s="50">
        <v>8.4</v>
      </c>
      <c r="M19" s="50">
        <v>8.4</v>
      </c>
      <c r="N19" s="50">
        <v>8.4</v>
      </c>
      <c r="O19" s="50">
        <v>8.4</v>
      </c>
      <c r="P19" s="50">
        <v>8.4</v>
      </c>
      <c r="Q19" s="50">
        <v>8.4</v>
      </c>
      <c r="R19" s="50">
        <v>8.4</v>
      </c>
      <c r="S19" s="50">
        <v>8.4</v>
      </c>
      <c r="T19" s="50">
        <v>8.4</v>
      </c>
      <c r="U19" s="50">
        <v>8.4</v>
      </c>
      <c r="V19" s="50">
        <v>8.4</v>
      </c>
      <c r="W19" s="50">
        <v>8.4</v>
      </c>
      <c r="X19" s="50">
        <v>8.4</v>
      </c>
      <c r="Y19" s="50">
        <v>10.3</v>
      </c>
      <c r="Z19" s="50">
        <v>10.3</v>
      </c>
      <c r="AA19" s="50">
        <v>10.3</v>
      </c>
      <c r="AB19" s="50">
        <v>10.3</v>
      </c>
      <c r="AC19" s="50">
        <v>10.3</v>
      </c>
      <c r="AD19" s="50">
        <v>10.3</v>
      </c>
      <c r="AE19" s="50">
        <v>10.3</v>
      </c>
      <c r="AF19" s="50">
        <v>10.3</v>
      </c>
      <c r="AG19" s="55">
        <v>24.2</v>
      </c>
      <c r="AH19" s="52">
        <f t="shared" si="2"/>
        <v>10.3</v>
      </c>
      <c r="AI19" s="53">
        <f t="shared" si="3"/>
        <v>7.7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12</v>
      </c>
      <c r="N20" s="50">
        <v>12</v>
      </c>
      <c r="O20" s="50">
        <v>12</v>
      </c>
      <c r="P20" s="50">
        <v>12</v>
      </c>
      <c r="Q20" s="50">
        <v>12</v>
      </c>
      <c r="R20" s="50">
        <v>12</v>
      </c>
      <c r="S20" s="50">
        <v>12</v>
      </c>
      <c r="T20" s="50">
        <v>12</v>
      </c>
      <c r="U20" s="50">
        <v>12</v>
      </c>
      <c r="V20" s="50">
        <v>12</v>
      </c>
      <c r="W20" s="50">
        <v>12</v>
      </c>
      <c r="X20" s="50">
        <v>12</v>
      </c>
      <c r="Y20" s="50">
        <v>12</v>
      </c>
      <c r="Z20" s="50">
        <v>12</v>
      </c>
      <c r="AA20" s="50">
        <v>12</v>
      </c>
      <c r="AB20" s="50">
        <v>12</v>
      </c>
      <c r="AC20" s="50">
        <v>12</v>
      </c>
      <c r="AD20" s="50">
        <v>12</v>
      </c>
      <c r="AE20" s="50">
        <v>12</v>
      </c>
      <c r="AF20" s="50">
        <v>12</v>
      </c>
      <c r="AG20" s="55">
        <v>28</v>
      </c>
      <c r="AH20" s="52">
        <f t="shared" si="2"/>
        <v>12</v>
      </c>
      <c r="AI20" s="53">
        <f t="shared" si="3"/>
        <v>12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8</v>
      </c>
      <c r="C21" s="50">
        <v>8</v>
      </c>
      <c r="D21" s="50">
        <v>8</v>
      </c>
      <c r="E21" s="50">
        <v>8</v>
      </c>
      <c r="F21" s="50">
        <v>8</v>
      </c>
      <c r="G21" s="50">
        <v>8</v>
      </c>
      <c r="H21" s="50">
        <v>8</v>
      </c>
      <c r="I21" s="50">
        <v>8</v>
      </c>
      <c r="J21" s="50">
        <v>8</v>
      </c>
      <c r="K21" s="50">
        <v>8</v>
      </c>
      <c r="L21" s="50">
        <v>8</v>
      </c>
      <c r="M21" s="50">
        <v>8</v>
      </c>
      <c r="N21" s="50">
        <v>8</v>
      </c>
      <c r="O21" s="50">
        <v>8</v>
      </c>
      <c r="P21" s="50">
        <v>8</v>
      </c>
      <c r="Q21" s="50">
        <v>8</v>
      </c>
      <c r="R21" s="50">
        <v>8</v>
      </c>
      <c r="S21" s="50">
        <v>8</v>
      </c>
      <c r="T21" s="50">
        <v>8</v>
      </c>
      <c r="U21" s="50">
        <v>8</v>
      </c>
      <c r="V21" s="50">
        <v>8</v>
      </c>
      <c r="W21" s="50">
        <v>8</v>
      </c>
      <c r="X21" s="50">
        <v>8</v>
      </c>
      <c r="Y21" s="50">
        <v>8</v>
      </c>
      <c r="Z21" s="50">
        <v>8</v>
      </c>
      <c r="AA21" s="50">
        <v>8</v>
      </c>
      <c r="AB21" s="50">
        <v>8</v>
      </c>
      <c r="AC21" s="50">
        <v>8</v>
      </c>
      <c r="AD21" s="50">
        <v>8</v>
      </c>
      <c r="AE21" s="50">
        <v>8</v>
      </c>
      <c r="AF21" s="50">
        <v>8</v>
      </c>
      <c r="AG21" s="56">
        <v>30</v>
      </c>
      <c r="AH21" s="52">
        <f t="shared" si="2"/>
        <v>8</v>
      </c>
      <c r="AI21" s="53">
        <f t="shared" si="3"/>
        <v>8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11</v>
      </c>
      <c r="C22" s="50">
        <v>11</v>
      </c>
      <c r="D22" s="50">
        <v>11</v>
      </c>
      <c r="E22" s="50">
        <v>11</v>
      </c>
      <c r="F22" s="50">
        <v>11</v>
      </c>
      <c r="G22" s="50">
        <v>11</v>
      </c>
      <c r="H22" s="50">
        <v>11</v>
      </c>
      <c r="I22" s="50">
        <v>11</v>
      </c>
      <c r="J22" s="50">
        <v>11</v>
      </c>
      <c r="K22" s="50">
        <v>11</v>
      </c>
      <c r="L22" s="50">
        <v>10.1</v>
      </c>
      <c r="M22" s="50">
        <v>10.1</v>
      </c>
      <c r="N22" s="50">
        <v>10.1</v>
      </c>
      <c r="O22" s="50">
        <v>10.1</v>
      </c>
      <c r="P22" s="50">
        <v>10.1</v>
      </c>
      <c r="Q22" s="50">
        <v>10.1</v>
      </c>
      <c r="R22" s="50">
        <v>10.1</v>
      </c>
      <c r="S22" s="50">
        <v>10.1</v>
      </c>
      <c r="T22" s="50">
        <v>10.1</v>
      </c>
      <c r="U22" s="50">
        <v>10.1</v>
      </c>
      <c r="V22" s="50">
        <v>10.1</v>
      </c>
      <c r="W22" s="50">
        <v>10.1</v>
      </c>
      <c r="X22" s="50">
        <v>10.1</v>
      </c>
      <c r="Y22" s="50">
        <v>11.9</v>
      </c>
      <c r="Z22" s="50">
        <v>11.9</v>
      </c>
      <c r="AA22" s="50">
        <v>11.9</v>
      </c>
      <c r="AB22" s="50">
        <v>11.9</v>
      </c>
      <c r="AC22" s="50">
        <v>11.9</v>
      </c>
      <c r="AD22" s="50">
        <v>11.9</v>
      </c>
      <c r="AE22" s="50">
        <v>11.9</v>
      </c>
      <c r="AF22" s="50">
        <v>11.9</v>
      </c>
      <c r="AG22" s="55">
        <v>25</v>
      </c>
      <c r="AH22" s="52">
        <f t="shared" si="2"/>
        <v>11.9</v>
      </c>
      <c r="AI22" s="53">
        <f t="shared" si="3"/>
        <v>10.1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8.9</v>
      </c>
      <c r="C26" s="50">
        <v>8.9</v>
      </c>
      <c r="D26" s="50">
        <v>8.9</v>
      </c>
      <c r="E26" s="50">
        <v>8.9</v>
      </c>
      <c r="F26" s="50">
        <v>8.9</v>
      </c>
      <c r="G26" s="50">
        <v>8.9</v>
      </c>
      <c r="H26" s="50">
        <v>8.9</v>
      </c>
      <c r="I26" s="50">
        <v>8.9</v>
      </c>
      <c r="J26" s="50">
        <v>8.9</v>
      </c>
      <c r="K26" s="50">
        <v>8.9</v>
      </c>
      <c r="L26" s="50">
        <v>8.9</v>
      </c>
      <c r="M26" s="50">
        <v>8.9</v>
      </c>
      <c r="N26" s="50">
        <v>8.9</v>
      </c>
      <c r="O26" s="50">
        <v>8.9</v>
      </c>
      <c r="P26" s="50">
        <v>8.9</v>
      </c>
      <c r="Q26" s="50">
        <v>8.9</v>
      </c>
      <c r="R26" s="50">
        <v>8.9</v>
      </c>
      <c r="S26" s="50">
        <v>8.9</v>
      </c>
      <c r="T26" s="50">
        <v>8.9</v>
      </c>
      <c r="U26" s="50">
        <v>8.9</v>
      </c>
      <c r="V26" s="50">
        <v>8.9</v>
      </c>
      <c r="W26" s="50">
        <v>8.9</v>
      </c>
      <c r="X26" s="50">
        <v>8.9</v>
      </c>
      <c r="Y26" s="50">
        <v>8.9</v>
      </c>
      <c r="Z26" s="50">
        <v>8.9</v>
      </c>
      <c r="AA26" s="50">
        <v>8.9</v>
      </c>
      <c r="AB26" s="50">
        <v>8.9</v>
      </c>
      <c r="AC26" s="50">
        <v>8.9</v>
      </c>
      <c r="AD26" s="50">
        <v>8.9</v>
      </c>
      <c r="AE26" s="50">
        <v>8.9</v>
      </c>
      <c r="AF26" s="50">
        <v>8.9</v>
      </c>
      <c r="AG26" s="55">
        <v>23.5</v>
      </c>
      <c r="AH26" s="52">
        <f t="shared" si="2"/>
        <v>8.9</v>
      </c>
      <c r="AI26" s="53">
        <f t="shared" si="3"/>
        <v>8.9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14</v>
      </c>
      <c r="C30" s="50">
        <v>14</v>
      </c>
      <c r="D30" s="50">
        <v>14</v>
      </c>
      <c r="E30" s="50">
        <v>14</v>
      </c>
      <c r="F30" s="50">
        <v>14</v>
      </c>
      <c r="G30" s="50">
        <v>14</v>
      </c>
      <c r="H30" s="50">
        <v>14</v>
      </c>
      <c r="I30" s="50">
        <v>14</v>
      </c>
      <c r="J30" s="50">
        <v>14</v>
      </c>
      <c r="K30" s="50">
        <v>14</v>
      </c>
      <c r="L30" s="50">
        <v>14</v>
      </c>
      <c r="M30" s="50">
        <v>14</v>
      </c>
      <c r="N30" s="50">
        <v>14</v>
      </c>
      <c r="O30" s="50">
        <v>14</v>
      </c>
      <c r="P30" s="50">
        <v>14</v>
      </c>
      <c r="Q30" s="50">
        <v>14</v>
      </c>
      <c r="R30" s="50">
        <v>14</v>
      </c>
      <c r="S30" s="50">
        <v>14</v>
      </c>
      <c r="T30" s="50">
        <v>14</v>
      </c>
      <c r="U30" s="50">
        <v>14</v>
      </c>
      <c r="V30" s="50">
        <v>14</v>
      </c>
      <c r="W30" s="50">
        <v>14</v>
      </c>
      <c r="X30" s="50">
        <v>14</v>
      </c>
      <c r="Y30" s="50">
        <v>13.5</v>
      </c>
      <c r="Z30" s="50">
        <v>13.5</v>
      </c>
      <c r="AA30" s="50">
        <v>13.5</v>
      </c>
      <c r="AB30" s="50">
        <v>13.5</v>
      </c>
      <c r="AC30" s="50">
        <v>13.5</v>
      </c>
      <c r="AD30" s="50">
        <v>13.5</v>
      </c>
      <c r="AE30" s="50">
        <v>13.5</v>
      </c>
      <c r="AF30" s="50">
        <v>13.5</v>
      </c>
      <c r="AG30" s="55">
        <v>22</v>
      </c>
      <c r="AH30" s="52">
        <f t="shared" si="2"/>
        <v>14</v>
      </c>
      <c r="AI30" s="53">
        <f t="shared" si="3"/>
        <v>13.5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10</v>
      </c>
      <c r="C38" s="50">
        <v>10</v>
      </c>
      <c r="D38" s="50">
        <v>10</v>
      </c>
      <c r="E38" s="50">
        <v>10</v>
      </c>
      <c r="F38" s="50">
        <v>10</v>
      </c>
      <c r="G38" s="50">
        <v>10</v>
      </c>
      <c r="H38" s="50">
        <v>10</v>
      </c>
      <c r="I38" s="50">
        <v>10</v>
      </c>
      <c r="J38" s="50">
        <v>10</v>
      </c>
      <c r="K38" s="50">
        <v>10</v>
      </c>
      <c r="L38" s="50">
        <v>10</v>
      </c>
      <c r="M38" s="50">
        <v>10</v>
      </c>
      <c r="N38" s="50">
        <v>10</v>
      </c>
      <c r="O38" s="50">
        <v>10</v>
      </c>
      <c r="P38" s="50">
        <v>10</v>
      </c>
      <c r="Q38" s="50">
        <v>10</v>
      </c>
      <c r="R38" s="50">
        <v>10</v>
      </c>
      <c r="S38" s="50">
        <v>10</v>
      </c>
      <c r="T38" s="50">
        <v>10</v>
      </c>
      <c r="U38" s="50">
        <v>10</v>
      </c>
      <c r="V38" s="50">
        <v>10</v>
      </c>
      <c r="W38" s="50">
        <v>10</v>
      </c>
      <c r="X38" s="50">
        <v>10</v>
      </c>
      <c r="Y38" s="50">
        <v>10</v>
      </c>
      <c r="Z38" s="50">
        <v>10</v>
      </c>
      <c r="AA38" s="50">
        <v>10</v>
      </c>
      <c r="AB38" s="50">
        <v>10</v>
      </c>
      <c r="AC38" s="50">
        <v>10</v>
      </c>
      <c r="AD38" s="50">
        <v>10</v>
      </c>
      <c r="AE38" s="50">
        <v>10</v>
      </c>
      <c r="AF38" s="50">
        <v>10</v>
      </c>
      <c r="AG38" s="55">
        <v>12</v>
      </c>
      <c r="AH38" s="52">
        <f t="shared" si="2"/>
        <v>10</v>
      </c>
      <c r="AI38" s="53">
        <f t="shared" si="3"/>
        <v>10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2.2999999999999998</v>
      </c>
      <c r="C41" s="50">
        <v>2.2999999999999998</v>
      </c>
      <c r="D41" s="50">
        <v>2.2999999999999998</v>
      </c>
      <c r="E41" s="50">
        <v>2.2999999999999998</v>
      </c>
      <c r="F41" s="50">
        <v>2.2999999999999998</v>
      </c>
      <c r="G41" s="50">
        <v>2.2999999999999998</v>
      </c>
      <c r="H41" s="50">
        <v>2.2999999999999998</v>
      </c>
      <c r="I41" s="50">
        <v>2.2999999999999998</v>
      </c>
      <c r="J41" s="50">
        <v>2.2999999999999998</v>
      </c>
      <c r="K41" s="50">
        <v>2.2999999999999998</v>
      </c>
      <c r="L41" s="50">
        <v>2.2999999999999998</v>
      </c>
      <c r="M41" s="50">
        <v>2.2999999999999998</v>
      </c>
      <c r="N41" s="50">
        <v>2.2999999999999998</v>
      </c>
      <c r="O41" s="50">
        <v>2.2999999999999998</v>
      </c>
      <c r="P41" s="50">
        <v>2.2999999999999998</v>
      </c>
      <c r="Q41" s="50">
        <v>2.2999999999999998</v>
      </c>
      <c r="R41" s="50">
        <v>2.2999999999999998</v>
      </c>
      <c r="S41" s="50">
        <v>2.2999999999999998</v>
      </c>
      <c r="T41" s="50">
        <v>2.2999999999999998</v>
      </c>
      <c r="U41" s="50">
        <v>2.2999999999999998</v>
      </c>
      <c r="V41" s="50">
        <v>2.2999999999999998</v>
      </c>
      <c r="W41" s="50">
        <v>2.2999999999999998</v>
      </c>
      <c r="X41" s="50">
        <v>2.2999999999999998</v>
      </c>
      <c r="Y41" s="50">
        <v>2.2999999999999998</v>
      </c>
      <c r="Z41" s="50">
        <v>2.2999999999999998</v>
      </c>
      <c r="AA41" s="50">
        <v>2.2999999999999998</v>
      </c>
      <c r="AB41" s="50">
        <v>2.2999999999999998</v>
      </c>
      <c r="AC41" s="50">
        <v>2.2999999999999998</v>
      </c>
      <c r="AD41" s="50">
        <v>2.2999999999999998</v>
      </c>
      <c r="AE41" s="50">
        <v>2.2999999999999998</v>
      </c>
      <c r="AF41" s="50">
        <v>2.2999999999999998</v>
      </c>
      <c r="AG41" s="56">
        <v>11.88</v>
      </c>
      <c r="AH41" s="52">
        <f t="shared" si="2"/>
        <v>2.2999999999999998</v>
      </c>
      <c r="AI41" s="53">
        <f t="shared" si="3"/>
        <v>2.2999999999999998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389.00000000000006</v>
      </c>
      <c r="C48" s="67">
        <f t="shared" si="4"/>
        <v>389.00000000000006</v>
      </c>
      <c r="D48" s="67">
        <f t="shared" si="4"/>
        <v>389.00000000000006</v>
      </c>
      <c r="E48" s="67">
        <f t="shared" si="4"/>
        <v>389.00000000000006</v>
      </c>
      <c r="F48" s="67">
        <f t="shared" si="4"/>
        <v>389.00000000000006</v>
      </c>
      <c r="G48" s="67">
        <f t="shared" si="4"/>
        <v>389.00000000000006</v>
      </c>
      <c r="H48" s="67">
        <f t="shared" si="4"/>
        <v>389.00000000000006</v>
      </c>
      <c r="I48" s="67">
        <f t="shared" si="4"/>
        <v>389.00000000000006</v>
      </c>
      <c r="J48" s="67">
        <f t="shared" si="4"/>
        <v>379.50000000000006</v>
      </c>
      <c r="K48" s="67">
        <f t="shared" si="4"/>
        <v>375.00000000000006</v>
      </c>
      <c r="L48" s="67">
        <f t="shared" si="4"/>
        <v>372.6</v>
      </c>
      <c r="M48" s="67">
        <f t="shared" ref="M48" si="5">SUM(M12:M46)</f>
        <v>372.6</v>
      </c>
      <c r="N48" s="67">
        <f t="shared" si="4"/>
        <v>372.6</v>
      </c>
      <c r="O48" s="67">
        <f t="shared" si="4"/>
        <v>372.6</v>
      </c>
      <c r="P48" s="67">
        <f t="shared" si="4"/>
        <v>372.6</v>
      </c>
      <c r="Q48" s="67">
        <f t="shared" si="4"/>
        <v>368.5</v>
      </c>
      <c r="R48" s="67">
        <f t="shared" si="4"/>
        <v>368.5</v>
      </c>
      <c r="S48" s="67">
        <f t="shared" si="4"/>
        <v>368.3</v>
      </c>
      <c r="T48" s="67">
        <f t="shared" si="4"/>
        <v>368.3</v>
      </c>
      <c r="U48" s="67">
        <f t="shared" si="4"/>
        <v>368.3</v>
      </c>
      <c r="V48" s="67">
        <f t="shared" si="4"/>
        <v>368.3</v>
      </c>
      <c r="W48" s="67">
        <f t="shared" si="4"/>
        <v>368.3</v>
      </c>
      <c r="X48" s="67">
        <f t="shared" si="4"/>
        <v>368.3</v>
      </c>
      <c r="Y48" s="67">
        <f t="shared" si="4"/>
        <v>380.20000000000005</v>
      </c>
      <c r="Z48" s="67">
        <f t="shared" si="4"/>
        <v>380.20000000000005</v>
      </c>
      <c r="AA48" s="67">
        <f t="shared" si="4"/>
        <v>380.20000000000005</v>
      </c>
      <c r="AB48" s="67">
        <f t="shared" si="4"/>
        <v>384.6</v>
      </c>
      <c r="AC48" s="67">
        <f t="shared" si="4"/>
        <v>384.6</v>
      </c>
      <c r="AD48" s="67">
        <f t="shared" si="4"/>
        <v>384.6</v>
      </c>
      <c r="AE48" s="67">
        <f t="shared" si="4"/>
        <v>384.6</v>
      </c>
      <c r="AF48" s="67">
        <f t="shared" si="4"/>
        <v>384.6</v>
      </c>
      <c r="AG48" s="68">
        <f t="shared" si="4"/>
        <v>875.68</v>
      </c>
      <c r="AH48" s="52">
        <f t="shared" si="2"/>
        <v>389.00000000000006</v>
      </c>
      <c r="AI48" s="53">
        <f t="shared" si="3"/>
        <v>368.3</v>
      </c>
      <c r="AK48" s="54"/>
    </row>
    <row r="49" spans="1:41" x14ac:dyDescent="0.25">
      <c r="A49" s="69" t="s">
        <v>53</v>
      </c>
      <c r="B49" s="50">
        <v>200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15</v>
      </c>
      <c r="K49" s="50">
        <v>15</v>
      </c>
      <c r="L49" s="50">
        <v>0</v>
      </c>
      <c r="M49" s="50">
        <v>0</v>
      </c>
      <c r="N49" s="50">
        <v>0</v>
      </c>
      <c r="O49" s="50">
        <v>76.5</v>
      </c>
      <c r="P49" s="50">
        <v>55</v>
      </c>
      <c r="Q49" s="50">
        <v>55</v>
      </c>
      <c r="R49" s="50">
        <v>81.8</v>
      </c>
      <c r="S49" s="50">
        <v>15</v>
      </c>
      <c r="T49" s="50">
        <v>0</v>
      </c>
      <c r="U49" s="50">
        <v>20</v>
      </c>
      <c r="V49" s="50">
        <v>30</v>
      </c>
      <c r="W49" s="50">
        <v>20</v>
      </c>
      <c r="X49" s="50">
        <v>30</v>
      </c>
      <c r="Y49" s="50">
        <v>60</v>
      </c>
      <c r="Z49" s="50">
        <v>110</v>
      </c>
      <c r="AA49" s="50">
        <v>130</v>
      </c>
      <c r="AB49" s="50">
        <v>110</v>
      </c>
      <c r="AC49" s="50">
        <v>99</v>
      </c>
      <c r="AD49" s="50">
        <v>100</v>
      </c>
      <c r="AE49" s="50">
        <v>100</v>
      </c>
      <c r="AF49" s="50">
        <v>65</v>
      </c>
      <c r="AG49" s="56">
        <v>456</v>
      </c>
      <c r="AH49" s="52">
        <f t="shared" si="2"/>
        <v>200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48</v>
      </c>
      <c r="C50" s="72">
        <v>48</v>
      </c>
      <c r="D50" s="72">
        <v>58</v>
      </c>
      <c r="E50" s="72">
        <v>48</v>
      </c>
      <c r="F50" s="72">
        <v>48</v>
      </c>
      <c r="G50" s="72">
        <v>48</v>
      </c>
      <c r="H50" s="72">
        <v>48</v>
      </c>
      <c r="I50" s="72">
        <v>48</v>
      </c>
      <c r="J50" s="72">
        <v>48</v>
      </c>
      <c r="K50" s="72">
        <v>48</v>
      </c>
      <c r="L50" s="72">
        <v>37</v>
      </c>
      <c r="M50" s="72">
        <v>37</v>
      </c>
      <c r="N50" s="72">
        <v>37</v>
      </c>
      <c r="O50" s="72">
        <v>37</v>
      </c>
      <c r="P50" s="72">
        <v>37</v>
      </c>
      <c r="Q50" s="72">
        <v>37</v>
      </c>
      <c r="R50" s="72">
        <v>37</v>
      </c>
      <c r="S50" s="72">
        <v>37</v>
      </c>
      <c r="T50" s="72">
        <v>37</v>
      </c>
      <c r="U50" s="72">
        <v>37</v>
      </c>
      <c r="V50" s="72">
        <v>37</v>
      </c>
      <c r="W50" s="72">
        <v>37</v>
      </c>
      <c r="X50" s="72">
        <v>37</v>
      </c>
      <c r="Y50" s="72">
        <v>37</v>
      </c>
      <c r="Z50" s="72">
        <v>37</v>
      </c>
      <c r="AA50" s="72">
        <v>37</v>
      </c>
      <c r="AB50" s="72">
        <v>37</v>
      </c>
      <c r="AC50" s="72">
        <v>37</v>
      </c>
      <c r="AD50" s="72">
        <v>37</v>
      </c>
      <c r="AE50" s="72">
        <v>37</v>
      </c>
      <c r="AF50" s="72">
        <v>37</v>
      </c>
      <c r="AG50" s="61">
        <v>60</v>
      </c>
      <c r="AH50" s="52">
        <f t="shared" si="2"/>
        <v>58</v>
      </c>
      <c r="AI50" s="53">
        <f t="shared" si="3"/>
        <v>37</v>
      </c>
      <c r="AK50" s="54"/>
    </row>
    <row r="51" spans="1:41" ht="15.75" thickBot="1" x14ac:dyDescent="0.3">
      <c r="A51" s="73" t="s">
        <v>55</v>
      </c>
      <c r="B51" s="74">
        <v>11.2</v>
      </c>
      <c r="C51" s="74">
        <v>11.2</v>
      </c>
      <c r="D51" s="74">
        <v>11.2</v>
      </c>
      <c r="E51" s="74">
        <v>11.2</v>
      </c>
      <c r="F51" s="74">
        <v>11.2</v>
      </c>
      <c r="G51" s="74">
        <v>11.2</v>
      </c>
      <c r="H51" s="74">
        <v>11.2</v>
      </c>
      <c r="I51" s="74">
        <v>11.2</v>
      </c>
      <c r="J51" s="74">
        <v>11.2</v>
      </c>
      <c r="K51" s="74">
        <v>11.2</v>
      </c>
      <c r="L51" s="74">
        <v>11.2</v>
      </c>
      <c r="M51" s="74">
        <v>11.2</v>
      </c>
      <c r="N51" s="74">
        <v>11.2</v>
      </c>
      <c r="O51" s="74">
        <v>11.2</v>
      </c>
      <c r="P51" s="74">
        <v>11.2</v>
      </c>
      <c r="Q51" s="74">
        <v>11.2</v>
      </c>
      <c r="R51" s="74">
        <v>11.2</v>
      </c>
      <c r="S51" s="74">
        <v>11.2</v>
      </c>
      <c r="T51" s="74">
        <v>11.2</v>
      </c>
      <c r="U51" s="74">
        <v>11.2</v>
      </c>
      <c r="V51" s="74">
        <v>11.2</v>
      </c>
      <c r="W51" s="74">
        <v>11.2</v>
      </c>
      <c r="X51" s="74">
        <v>9.5</v>
      </c>
      <c r="Y51" s="74">
        <v>9.6</v>
      </c>
      <c r="Z51" s="74">
        <v>9.5</v>
      </c>
      <c r="AA51" s="74">
        <v>9.5</v>
      </c>
      <c r="AB51" s="74">
        <v>11.2</v>
      </c>
      <c r="AC51" s="74">
        <v>11.2</v>
      </c>
      <c r="AD51" s="74">
        <v>11.2</v>
      </c>
      <c r="AE51" s="74">
        <v>11.2</v>
      </c>
      <c r="AF51" s="74">
        <v>11.2</v>
      </c>
      <c r="AG51" s="75">
        <v>22.1</v>
      </c>
      <c r="AH51" s="52">
        <f t="shared" si="2"/>
        <v>11.2</v>
      </c>
      <c r="AI51" s="53">
        <f t="shared" si="3"/>
        <v>9.5</v>
      </c>
      <c r="AK51" s="54"/>
    </row>
    <row r="52" spans="1:41" ht="15.75" thickBot="1" x14ac:dyDescent="0.3">
      <c r="A52" s="76" t="s">
        <v>56</v>
      </c>
      <c r="B52" s="67">
        <f>SUM(B49:B51)</f>
        <v>259.2</v>
      </c>
      <c r="C52" s="67">
        <f t="shared" ref="C52:AG52" si="6">SUM(C49:C51)</f>
        <v>59.2</v>
      </c>
      <c r="D52" s="67">
        <f t="shared" si="6"/>
        <v>69.2</v>
      </c>
      <c r="E52" s="67">
        <f t="shared" si="6"/>
        <v>59.2</v>
      </c>
      <c r="F52" s="67">
        <f t="shared" si="6"/>
        <v>59.2</v>
      </c>
      <c r="G52" s="67">
        <f t="shared" si="6"/>
        <v>59.2</v>
      </c>
      <c r="H52" s="67">
        <f t="shared" si="6"/>
        <v>59.2</v>
      </c>
      <c r="I52" s="67">
        <f t="shared" si="6"/>
        <v>59.2</v>
      </c>
      <c r="J52" s="67">
        <f t="shared" si="6"/>
        <v>74.2</v>
      </c>
      <c r="K52" s="67">
        <f t="shared" si="6"/>
        <v>74.2</v>
      </c>
      <c r="L52" s="67">
        <f t="shared" si="6"/>
        <v>48.2</v>
      </c>
      <c r="M52" s="67">
        <f t="shared" ref="M52" si="7">SUM(M49:M51)</f>
        <v>48.2</v>
      </c>
      <c r="N52" s="67">
        <f t="shared" si="6"/>
        <v>48.2</v>
      </c>
      <c r="O52" s="67">
        <f t="shared" si="6"/>
        <v>124.7</v>
      </c>
      <c r="P52" s="67">
        <f t="shared" si="6"/>
        <v>103.2</v>
      </c>
      <c r="Q52" s="67">
        <f t="shared" si="6"/>
        <v>103.2</v>
      </c>
      <c r="R52" s="67">
        <f t="shared" si="6"/>
        <v>130</v>
      </c>
      <c r="S52" s="67">
        <f t="shared" si="6"/>
        <v>63.2</v>
      </c>
      <c r="T52" s="67">
        <f t="shared" si="6"/>
        <v>48.2</v>
      </c>
      <c r="U52" s="67">
        <f t="shared" si="6"/>
        <v>68.2</v>
      </c>
      <c r="V52" s="67">
        <f t="shared" si="6"/>
        <v>78.2</v>
      </c>
      <c r="W52" s="67">
        <f t="shared" si="6"/>
        <v>68.2</v>
      </c>
      <c r="X52" s="67">
        <f t="shared" si="6"/>
        <v>76.5</v>
      </c>
      <c r="Y52" s="67">
        <f t="shared" si="6"/>
        <v>106.6</v>
      </c>
      <c r="Z52" s="67">
        <f t="shared" si="6"/>
        <v>156.5</v>
      </c>
      <c r="AA52" s="67">
        <f t="shared" si="6"/>
        <v>176.5</v>
      </c>
      <c r="AB52" s="67">
        <f t="shared" si="6"/>
        <v>158.19999999999999</v>
      </c>
      <c r="AC52" s="67">
        <f t="shared" si="6"/>
        <v>147.19999999999999</v>
      </c>
      <c r="AD52" s="67">
        <f t="shared" si="6"/>
        <v>148.19999999999999</v>
      </c>
      <c r="AE52" s="67">
        <f t="shared" si="6"/>
        <v>148.19999999999999</v>
      </c>
      <c r="AF52" s="67">
        <f t="shared" si="6"/>
        <v>113.2</v>
      </c>
      <c r="AG52" s="68">
        <f t="shared" si="6"/>
        <v>538.1</v>
      </c>
      <c r="AH52" s="52">
        <f t="shared" si="2"/>
        <v>259.2</v>
      </c>
      <c r="AI52" s="53">
        <f t="shared" si="3"/>
        <v>48.2</v>
      </c>
      <c r="AK52" s="54"/>
    </row>
    <row r="53" spans="1:41" x14ac:dyDescent="0.25">
      <c r="A53" s="49" t="s">
        <v>57</v>
      </c>
      <c r="B53" s="50">
        <v>28.6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28.1</v>
      </c>
      <c r="I53" s="50">
        <v>28.2</v>
      </c>
      <c r="J53" s="50">
        <v>73</v>
      </c>
      <c r="K53" s="50">
        <v>95.2</v>
      </c>
      <c r="L53" s="50">
        <v>61.3</v>
      </c>
      <c r="M53" s="50">
        <v>61.3</v>
      </c>
      <c r="N53" s="50">
        <v>93.5</v>
      </c>
      <c r="O53" s="50">
        <v>93.5</v>
      </c>
      <c r="P53" s="50">
        <v>68.400000000000006</v>
      </c>
      <c r="Q53" s="50">
        <v>75</v>
      </c>
      <c r="R53" s="50">
        <v>61</v>
      </c>
      <c r="S53" s="50">
        <v>75</v>
      </c>
      <c r="T53" s="50">
        <v>91.7</v>
      </c>
      <c r="U53" s="50">
        <v>60</v>
      </c>
      <c r="V53" s="50">
        <v>61.6</v>
      </c>
      <c r="W53" s="50">
        <v>61</v>
      </c>
      <c r="X53" s="50">
        <v>60.7</v>
      </c>
      <c r="Y53" s="50">
        <v>102.1</v>
      </c>
      <c r="Z53" s="50">
        <v>101.6</v>
      </c>
      <c r="AA53" s="50">
        <v>103.1</v>
      </c>
      <c r="AB53" s="50">
        <v>61.4</v>
      </c>
      <c r="AC53" s="50">
        <v>78.900000000000006</v>
      </c>
      <c r="AD53" s="50">
        <v>78.900000000000006</v>
      </c>
      <c r="AE53" s="50">
        <v>0</v>
      </c>
      <c r="AF53" s="50">
        <v>0</v>
      </c>
      <c r="AG53" s="56">
        <v>144</v>
      </c>
      <c r="AH53" s="52">
        <f t="shared" si="2"/>
        <v>103.1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34.700000000000003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25.8</v>
      </c>
      <c r="I54" s="72">
        <v>24.2</v>
      </c>
      <c r="J54" s="72">
        <v>44.7</v>
      </c>
      <c r="K54" s="72">
        <v>50.3</v>
      </c>
      <c r="L54" s="72">
        <v>45.5</v>
      </c>
      <c r="M54" s="72">
        <v>45.5</v>
      </c>
      <c r="N54" s="72">
        <v>69.2</v>
      </c>
      <c r="O54" s="72">
        <v>35</v>
      </c>
      <c r="P54" s="72">
        <v>30.6</v>
      </c>
      <c r="Q54" s="72">
        <v>25</v>
      </c>
      <c r="R54" s="72">
        <v>25</v>
      </c>
      <c r="S54" s="72">
        <v>25</v>
      </c>
      <c r="T54" s="72">
        <v>34.9</v>
      </c>
      <c r="U54" s="50">
        <v>25</v>
      </c>
      <c r="V54" s="50">
        <v>24.8</v>
      </c>
      <c r="W54" s="50">
        <v>21.6</v>
      </c>
      <c r="X54" s="50">
        <v>0</v>
      </c>
      <c r="Y54" s="50">
        <v>24.5</v>
      </c>
      <c r="Z54" s="50">
        <v>34.799999999999997</v>
      </c>
      <c r="AA54" s="50">
        <v>34.799999999999997</v>
      </c>
      <c r="AB54" s="72">
        <v>34.799999999999997</v>
      </c>
      <c r="AC54" s="72">
        <v>34.799999999999997</v>
      </c>
      <c r="AD54" s="72">
        <v>34.799999999999997</v>
      </c>
      <c r="AE54" s="72">
        <v>24</v>
      </c>
      <c r="AF54" s="72">
        <v>35</v>
      </c>
      <c r="AG54" s="61">
        <v>70</v>
      </c>
      <c r="AH54" s="52">
        <f t="shared" si="2"/>
        <v>69.2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18</v>
      </c>
      <c r="G55" s="72">
        <v>20.8</v>
      </c>
      <c r="H55" s="72">
        <v>37.5</v>
      </c>
      <c r="I55" s="72">
        <v>36.299999999999997</v>
      </c>
      <c r="J55" s="72">
        <v>42</v>
      </c>
      <c r="K55" s="72">
        <v>49.8</v>
      </c>
      <c r="L55" s="72">
        <v>52.2</v>
      </c>
      <c r="M55" s="72">
        <v>52.2</v>
      </c>
      <c r="N55" s="72">
        <v>46.6</v>
      </c>
      <c r="O55" s="72">
        <v>58</v>
      </c>
      <c r="P55" s="72">
        <v>33.5</v>
      </c>
      <c r="Q55" s="72">
        <v>33.5</v>
      </c>
      <c r="R55" s="72">
        <v>33</v>
      </c>
      <c r="S55" s="72">
        <v>33.5</v>
      </c>
      <c r="T55" s="72">
        <v>44.3</v>
      </c>
      <c r="U55" s="50">
        <v>31.6</v>
      </c>
      <c r="V55" s="50">
        <v>34.200000000000003</v>
      </c>
      <c r="W55" s="50">
        <v>34.6</v>
      </c>
      <c r="X55" s="50">
        <v>34.5</v>
      </c>
      <c r="Y55" s="50">
        <v>49.1</v>
      </c>
      <c r="Z55" s="50">
        <v>61.7</v>
      </c>
      <c r="AA55" s="50">
        <v>51.8</v>
      </c>
      <c r="AB55" s="72">
        <v>55.2</v>
      </c>
      <c r="AC55" s="72">
        <v>44</v>
      </c>
      <c r="AD55" s="72">
        <v>32</v>
      </c>
      <c r="AE55" s="72">
        <v>32</v>
      </c>
      <c r="AF55" s="72">
        <v>0</v>
      </c>
      <c r="AG55" s="61">
        <v>69</v>
      </c>
      <c r="AH55" s="52">
        <f t="shared" si="2"/>
        <v>61.7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46.1</v>
      </c>
      <c r="C56" s="72">
        <v>47.1</v>
      </c>
      <c r="D56" s="72">
        <v>44.3</v>
      </c>
      <c r="E56" s="63">
        <v>44.3</v>
      </c>
      <c r="F56" s="63">
        <v>44.3</v>
      </c>
      <c r="G56" s="63">
        <v>41.5</v>
      </c>
      <c r="H56" s="63">
        <v>39.299999999999997</v>
      </c>
      <c r="I56" s="63">
        <v>39.299999999999997</v>
      </c>
      <c r="J56" s="63">
        <v>39.299999999999997</v>
      </c>
      <c r="K56" s="63">
        <v>39.299999999999997</v>
      </c>
      <c r="L56" s="63">
        <v>39.299999999999997</v>
      </c>
      <c r="M56" s="72">
        <v>39.299999999999997</v>
      </c>
      <c r="N56" s="72">
        <v>39.299999999999997</v>
      </c>
      <c r="O56" s="72">
        <v>39.299999999999997</v>
      </c>
      <c r="P56" s="72">
        <v>39.299999999999997</v>
      </c>
      <c r="Q56" s="72">
        <v>39</v>
      </c>
      <c r="R56" s="72">
        <v>39</v>
      </c>
      <c r="S56" s="72">
        <v>39</v>
      </c>
      <c r="T56" s="72">
        <v>39</v>
      </c>
      <c r="U56" s="72">
        <v>39</v>
      </c>
      <c r="V56" s="50">
        <v>38.5</v>
      </c>
      <c r="W56" s="50">
        <v>38.5</v>
      </c>
      <c r="X56" s="50">
        <v>40.1</v>
      </c>
      <c r="Y56" s="50">
        <v>40.299999999999997</v>
      </c>
      <c r="Z56" s="50">
        <v>40.299999999999997</v>
      </c>
      <c r="AA56" s="50">
        <v>40.299999999999997</v>
      </c>
      <c r="AB56" s="72">
        <v>40.299999999999997</v>
      </c>
      <c r="AC56" s="72">
        <v>40.299999999999997</v>
      </c>
      <c r="AD56" s="72">
        <v>40.299999999999997</v>
      </c>
      <c r="AE56" s="72">
        <v>40.299999999999997</v>
      </c>
      <c r="AF56" s="72">
        <v>40.299999999999997</v>
      </c>
      <c r="AG56" s="61">
        <v>60</v>
      </c>
      <c r="AH56" s="52">
        <f t="shared" si="2"/>
        <v>47.1</v>
      </c>
      <c r="AI56" s="53">
        <f t="shared" si="3"/>
        <v>38.5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0</v>
      </c>
      <c r="F57" s="63">
        <v>0</v>
      </c>
      <c r="G57" s="63">
        <v>0</v>
      </c>
      <c r="H57" s="63">
        <v>0</v>
      </c>
      <c r="I57" s="63">
        <v>10</v>
      </c>
      <c r="J57" s="63">
        <v>10</v>
      </c>
      <c r="K57" s="63">
        <v>10</v>
      </c>
      <c r="L57" s="63">
        <v>15</v>
      </c>
      <c r="M57" s="72">
        <v>15</v>
      </c>
      <c r="N57" s="72">
        <v>15</v>
      </c>
      <c r="O57" s="72">
        <v>15</v>
      </c>
      <c r="P57" s="72">
        <v>21.6</v>
      </c>
      <c r="Q57" s="72">
        <v>20</v>
      </c>
      <c r="R57" s="72">
        <v>10</v>
      </c>
      <c r="S57" s="72">
        <v>0</v>
      </c>
      <c r="T57" s="72">
        <v>0</v>
      </c>
      <c r="U57" s="72">
        <v>0</v>
      </c>
      <c r="V57" s="50">
        <v>0</v>
      </c>
      <c r="W57" s="50">
        <v>0</v>
      </c>
      <c r="X57" s="50">
        <v>13.5</v>
      </c>
      <c r="Y57" s="50">
        <v>13.5</v>
      </c>
      <c r="Z57" s="50">
        <v>28.8</v>
      </c>
      <c r="AA57" s="50">
        <v>28.8</v>
      </c>
      <c r="AB57" s="72">
        <v>28</v>
      </c>
      <c r="AC57" s="72">
        <v>28</v>
      </c>
      <c r="AD57" s="72">
        <v>15</v>
      </c>
      <c r="AE57" s="72">
        <v>0</v>
      </c>
      <c r="AF57" s="72">
        <v>0</v>
      </c>
      <c r="AG57" s="61">
        <v>30</v>
      </c>
      <c r="AH57" s="52">
        <f t="shared" si="2"/>
        <v>28.8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2.5</v>
      </c>
      <c r="N58" s="72">
        <v>7.3</v>
      </c>
      <c r="O58" s="72">
        <v>17.25</v>
      </c>
      <c r="P58" s="72">
        <v>19.5</v>
      </c>
      <c r="Q58" s="72">
        <v>20.3</v>
      </c>
      <c r="R58" s="72">
        <v>20.3</v>
      </c>
      <c r="S58" s="72">
        <v>4</v>
      </c>
      <c r="T58" s="72">
        <v>4</v>
      </c>
      <c r="U58" s="72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20.3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14</v>
      </c>
      <c r="C59" s="72">
        <v>14</v>
      </c>
      <c r="D59" s="72">
        <v>14</v>
      </c>
      <c r="E59" s="72">
        <v>14</v>
      </c>
      <c r="F59" s="72">
        <v>14</v>
      </c>
      <c r="G59" s="72">
        <v>14</v>
      </c>
      <c r="H59" s="72">
        <v>14</v>
      </c>
      <c r="I59" s="72">
        <v>14</v>
      </c>
      <c r="J59" s="72">
        <v>14</v>
      </c>
      <c r="K59" s="72">
        <v>14</v>
      </c>
      <c r="L59" s="72">
        <v>14</v>
      </c>
      <c r="M59" s="72">
        <v>14</v>
      </c>
      <c r="N59" s="72">
        <v>14</v>
      </c>
      <c r="O59" s="72">
        <v>14</v>
      </c>
      <c r="P59" s="72">
        <v>14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14</v>
      </c>
      <c r="AA59" s="72">
        <v>14</v>
      </c>
      <c r="AB59" s="72">
        <v>14</v>
      </c>
      <c r="AC59" s="72">
        <v>14</v>
      </c>
      <c r="AD59" s="72">
        <v>14</v>
      </c>
      <c r="AE59" s="72">
        <v>14</v>
      </c>
      <c r="AF59" s="72">
        <v>14</v>
      </c>
      <c r="AG59" s="61">
        <v>24</v>
      </c>
      <c r="AH59" s="52">
        <f t="shared" si="2"/>
        <v>14</v>
      </c>
      <c r="AI59" s="53">
        <f t="shared" si="3"/>
        <v>14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12.4</v>
      </c>
      <c r="C61" s="72">
        <v>12.4</v>
      </c>
      <c r="D61" s="72">
        <v>12.4</v>
      </c>
      <c r="E61" s="72">
        <v>12.4</v>
      </c>
      <c r="F61" s="72">
        <v>12.4</v>
      </c>
      <c r="G61" s="72">
        <v>12.4</v>
      </c>
      <c r="H61" s="72">
        <v>12.4</v>
      </c>
      <c r="I61" s="72">
        <v>12.4</v>
      </c>
      <c r="J61" s="72">
        <v>12.4</v>
      </c>
      <c r="K61" s="72">
        <v>12.4</v>
      </c>
      <c r="L61" s="72">
        <v>12.4</v>
      </c>
      <c r="M61" s="72">
        <v>12.4</v>
      </c>
      <c r="N61" s="72">
        <v>12.4</v>
      </c>
      <c r="O61" s="72">
        <v>12.4</v>
      </c>
      <c r="P61" s="72">
        <v>12.4</v>
      </c>
      <c r="Q61" s="72">
        <v>12.4</v>
      </c>
      <c r="R61" s="72">
        <v>12.4</v>
      </c>
      <c r="S61" s="72">
        <v>12.4</v>
      </c>
      <c r="T61" s="72">
        <v>12.4</v>
      </c>
      <c r="U61" s="72">
        <v>12.4</v>
      </c>
      <c r="V61" s="72">
        <v>12.4</v>
      </c>
      <c r="W61" s="72">
        <v>12.4</v>
      </c>
      <c r="X61" s="72">
        <v>12.4</v>
      </c>
      <c r="Y61" s="72">
        <v>12.4</v>
      </c>
      <c r="Z61" s="72">
        <v>12.4</v>
      </c>
      <c r="AA61" s="72">
        <v>0</v>
      </c>
      <c r="AB61" s="72">
        <v>0</v>
      </c>
      <c r="AC61" s="72">
        <v>0</v>
      </c>
      <c r="AD61" s="72">
        <v>0</v>
      </c>
      <c r="AE61" s="72">
        <v>0</v>
      </c>
      <c r="AF61" s="72">
        <v>0</v>
      </c>
      <c r="AG61" s="61">
        <v>14.1</v>
      </c>
      <c r="AH61" s="52">
        <f t="shared" si="2"/>
        <v>12.4</v>
      </c>
      <c r="AI61" s="53">
        <f t="shared" si="3"/>
        <v>0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0</v>
      </c>
      <c r="C62" s="72">
        <v>0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4</v>
      </c>
      <c r="M62" s="72">
        <v>4</v>
      </c>
      <c r="N62" s="72">
        <v>4</v>
      </c>
      <c r="O62" s="72">
        <v>4</v>
      </c>
      <c r="P62" s="72">
        <v>4</v>
      </c>
      <c r="Q62" s="72">
        <v>4</v>
      </c>
      <c r="R62" s="72">
        <v>4</v>
      </c>
      <c r="S62" s="72">
        <v>4</v>
      </c>
      <c r="T62" s="72">
        <v>4</v>
      </c>
      <c r="U62" s="72">
        <v>4</v>
      </c>
      <c r="V62" s="72">
        <v>4</v>
      </c>
      <c r="W62" s="72">
        <v>4</v>
      </c>
      <c r="X62" s="72">
        <v>4.5999999999999996</v>
      </c>
      <c r="Y62" s="72">
        <v>4.5999999999999996</v>
      </c>
      <c r="Z62" s="72">
        <v>4.5999999999999996</v>
      </c>
      <c r="AA62" s="72">
        <v>4.5999999999999996</v>
      </c>
      <c r="AB62" s="72">
        <v>4.5999999999999996</v>
      </c>
      <c r="AC62" s="72">
        <v>4.5999999999999996</v>
      </c>
      <c r="AD62" s="72">
        <v>4.5999999999999996</v>
      </c>
      <c r="AE62" s="72">
        <v>4.5999999999999996</v>
      </c>
      <c r="AF62" s="72">
        <v>4.5999999999999996</v>
      </c>
      <c r="AG62" s="61">
        <v>14</v>
      </c>
      <c r="AH62" s="52">
        <f t="shared" si="2"/>
        <v>4.5999999999999996</v>
      </c>
      <c r="AI62" s="53">
        <f t="shared" si="3"/>
        <v>0</v>
      </c>
      <c r="AK62" s="54"/>
    </row>
    <row r="63" spans="1:41" x14ac:dyDescent="0.25">
      <c r="A63" s="60" t="s">
        <v>67</v>
      </c>
      <c r="B63" s="72">
        <v>6.2</v>
      </c>
      <c r="C63" s="72">
        <v>6.2</v>
      </c>
      <c r="D63" s="72">
        <v>5.2</v>
      </c>
      <c r="E63" s="72">
        <v>5.2</v>
      </c>
      <c r="F63" s="72">
        <v>5.2</v>
      </c>
      <c r="G63" s="72">
        <v>5.2</v>
      </c>
      <c r="H63" s="72">
        <v>5.2</v>
      </c>
      <c r="I63" s="72">
        <v>5.2</v>
      </c>
      <c r="J63" s="72">
        <v>5.2</v>
      </c>
      <c r="K63" s="72">
        <v>5.2</v>
      </c>
      <c r="L63" s="72">
        <v>5.2</v>
      </c>
      <c r="M63" s="72">
        <v>5.2</v>
      </c>
      <c r="N63" s="72">
        <v>5.2</v>
      </c>
      <c r="O63" s="72">
        <v>5.2</v>
      </c>
      <c r="P63" s="72">
        <v>5.2</v>
      </c>
      <c r="Q63" s="72">
        <v>5.2</v>
      </c>
      <c r="R63" s="72">
        <v>5.2</v>
      </c>
      <c r="S63" s="72">
        <v>5.2</v>
      </c>
      <c r="T63" s="72">
        <v>5.2</v>
      </c>
      <c r="U63" s="72">
        <v>5.2</v>
      </c>
      <c r="V63" s="72">
        <v>5.2</v>
      </c>
      <c r="W63" s="72">
        <v>5.2</v>
      </c>
      <c r="X63" s="72">
        <v>5.2</v>
      </c>
      <c r="Y63" s="72">
        <v>5.2</v>
      </c>
      <c r="Z63" s="72">
        <v>5.2</v>
      </c>
      <c r="AA63" s="72">
        <v>5.2</v>
      </c>
      <c r="AB63" s="72">
        <v>5.2</v>
      </c>
      <c r="AC63" s="72">
        <v>5.2</v>
      </c>
      <c r="AD63" s="72">
        <v>5.2</v>
      </c>
      <c r="AE63" s="72">
        <v>5.2</v>
      </c>
      <c r="AF63" s="72">
        <v>5.2</v>
      </c>
      <c r="AG63" s="61">
        <v>10.050000000000001</v>
      </c>
      <c r="AH63" s="52">
        <f t="shared" si="2"/>
        <v>6.2</v>
      </c>
      <c r="AI63" s="53">
        <f t="shared" si="3"/>
        <v>5.2</v>
      </c>
      <c r="AK63" s="54"/>
    </row>
    <row r="64" spans="1:41" x14ac:dyDescent="0.25">
      <c r="A64" s="60" t="s">
        <v>68</v>
      </c>
      <c r="B64" s="72">
        <v>2.4</v>
      </c>
      <c r="C64" s="72">
        <v>2.4</v>
      </c>
      <c r="D64" s="72">
        <v>2.4</v>
      </c>
      <c r="E64" s="72">
        <v>2.4</v>
      </c>
      <c r="F64" s="72">
        <v>2.4</v>
      </c>
      <c r="G64" s="72">
        <v>2.4</v>
      </c>
      <c r="H64" s="72">
        <v>2.4</v>
      </c>
      <c r="I64" s="72">
        <v>2.4</v>
      </c>
      <c r="J64" s="72">
        <v>2.4</v>
      </c>
      <c r="K64" s="72">
        <v>2.4</v>
      </c>
      <c r="L64" s="72">
        <v>2.4</v>
      </c>
      <c r="M64" s="72">
        <v>2.4</v>
      </c>
      <c r="N64" s="72">
        <v>2.4</v>
      </c>
      <c r="O64" s="72">
        <v>2.4</v>
      </c>
      <c r="P64" s="72">
        <v>2.4</v>
      </c>
      <c r="Q64" s="72">
        <v>2.4</v>
      </c>
      <c r="R64" s="72">
        <v>2.4</v>
      </c>
      <c r="S64" s="72">
        <v>2.4</v>
      </c>
      <c r="T64" s="72">
        <v>2.4</v>
      </c>
      <c r="U64" s="72">
        <v>2.4</v>
      </c>
      <c r="V64" s="72">
        <v>2.4</v>
      </c>
      <c r="W64" s="72">
        <v>2.4</v>
      </c>
      <c r="X64" s="72">
        <v>2.4</v>
      </c>
      <c r="Y64" s="72">
        <v>2.4</v>
      </c>
      <c r="Z64" s="72">
        <v>2.4</v>
      </c>
      <c r="AA64" s="72">
        <v>2.4</v>
      </c>
      <c r="AB64" s="72">
        <v>2.4</v>
      </c>
      <c r="AC64" s="72">
        <v>2.4</v>
      </c>
      <c r="AD64" s="72">
        <v>2.4</v>
      </c>
      <c r="AE64" s="72">
        <v>2.4</v>
      </c>
      <c r="AF64" s="72">
        <v>2.4</v>
      </c>
      <c r="AG64" s="61">
        <v>6.2</v>
      </c>
      <c r="AH64" s="52">
        <f t="shared" si="2"/>
        <v>2.4</v>
      </c>
      <c r="AI64" s="53">
        <f t="shared" si="3"/>
        <v>2.4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8">SUM(B53:B65)</f>
        <v>147.94</v>
      </c>
      <c r="C66" s="67">
        <f t="shared" si="8"/>
        <v>85.640000000000015</v>
      </c>
      <c r="D66" s="67">
        <f t="shared" si="8"/>
        <v>81.840000000000018</v>
      </c>
      <c r="E66" s="67">
        <f t="shared" si="8"/>
        <v>81.840000000000018</v>
      </c>
      <c r="F66" s="67">
        <f t="shared" si="8"/>
        <v>99.840000000000018</v>
      </c>
      <c r="G66" s="67">
        <f t="shared" si="8"/>
        <v>99.840000000000018</v>
      </c>
      <c r="H66" s="67">
        <f t="shared" si="8"/>
        <v>168.23999999999998</v>
      </c>
      <c r="I66" s="67">
        <f t="shared" si="8"/>
        <v>175.54</v>
      </c>
      <c r="J66" s="67">
        <f t="shared" si="8"/>
        <v>246.54</v>
      </c>
      <c r="K66" s="67">
        <f t="shared" si="8"/>
        <v>282.14</v>
      </c>
      <c r="L66" s="67">
        <f t="shared" si="8"/>
        <v>254.84</v>
      </c>
      <c r="M66" s="67">
        <f t="shared" si="8"/>
        <v>257.34000000000003</v>
      </c>
      <c r="N66" s="67">
        <f t="shared" si="8"/>
        <v>312.43999999999994</v>
      </c>
      <c r="O66" s="67">
        <f t="shared" si="8"/>
        <v>299.58999999999997</v>
      </c>
      <c r="P66" s="67">
        <f t="shared" si="8"/>
        <v>254.44</v>
      </c>
      <c r="Q66" s="67">
        <f t="shared" si="8"/>
        <v>254.34</v>
      </c>
      <c r="R66" s="67">
        <f t="shared" si="8"/>
        <v>229.84</v>
      </c>
      <c r="S66" s="67">
        <f t="shared" si="8"/>
        <v>218.04</v>
      </c>
      <c r="T66" s="67">
        <f t="shared" si="8"/>
        <v>255.43999999999997</v>
      </c>
      <c r="U66" s="67">
        <f t="shared" si="8"/>
        <v>197.14</v>
      </c>
      <c r="V66" s="67">
        <f t="shared" si="8"/>
        <v>200.64000000000001</v>
      </c>
      <c r="W66" s="67">
        <f t="shared" si="8"/>
        <v>197.23999999999998</v>
      </c>
      <c r="X66" s="67">
        <f t="shared" si="8"/>
        <v>190.94</v>
      </c>
      <c r="Y66" s="67">
        <f t="shared" si="8"/>
        <v>271.64</v>
      </c>
      <c r="Z66" s="67">
        <f t="shared" si="8"/>
        <v>309.33999999999997</v>
      </c>
      <c r="AA66" s="67">
        <f t="shared" si="8"/>
        <v>288.54000000000002</v>
      </c>
      <c r="AB66" s="67">
        <f t="shared" si="8"/>
        <v>249.43999999999997</v>
      </c>
      <c r="AC66" s="67">
        <f t="shared" si="8"/>
        <v>255.73999999999998</v>
      </c>
      <c r="AD66" s="67">
        <f t="shared" si="8"/>
        <v>230.73999999999998</v>
      </c>
      <c r="AE66" s="67">
        <f t="shared" si="8"/>
        <v>126.04</v>
      </c>
      <c r="AF66" s="67">
        <f t="shared" si="8"/>
        <v>105.04</v>
      </c>
      <c r="AG66" s="68">
        <f t="shared" si="8"/>
        <v>489.91</v>
      </c>
      <c r="AH66" s="52">
        <f t="shared" si="2"/>
        <v>312.43999999999994</v>
      </c>
      <c r="AI66" s="53">
        <f t="shared" si="3"/>
        <v>81.840000000000018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40</v>
      </c>
      <c r="Q67" s="50">
        <v>60</v>
      </c>
      <c r="R67" s="50">
        <v>55</v>
      </c>
      <c r="S67" s="50">
        <v>50</v>
      </c>
      <c r="T67" s="50">
        <v>60</v>
      </c>
      <c r="U67" s="50">
        <v>60</v>
      </c>
      <c r="V67" s="50">
        <v>40</v>
      </c>
      <c r="W67" s="50">
        <v>35</v>
      </c>
      <c r="X67" s="50">
        <v>14</v>
      </c>
      <c r="Y67" s="50">
        <v>25</v>
      </c>
      <c r="Z67" s="50">
        <v>25</v>
      </c>
      <c r="AA67" s="50">
        <v>20</v>
      </c>
      <c r="AB67" s="50">
        <v>20</v>
      </c>
      <c r="AC67" s="50">
        <v>10</v>
      </c>
      <c r="AD67" s="50">
        <v>10</v>
      </c>
      <c r="AE67" s="50">
        <v>10</v>
      </c>
      <c r="AF67" s="50">
        <v>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17</v>
      </c>
      <c r="Q68" s="50">
        <v>28.8</v>
      </c>
      <c r="R68" s="50">
        <v>24</v>
      </c>
      <c r="S68" s="72">
        <v>24.3</v>
      </c>
      <c r="T68" s="72">
        <v>27.6</v>
      </c>
      <c r="U68" s="72">
        <v>28.4</v>
      </c>
      <c r="V68" s="72">
        <v>17.600000000000001</v>
      </c>
      <c r="W68" s="72">
        <v>14.2</v>
      </c>
      <c r="X68" s="72">
        <v>14.6</v>
      </c>
      <c r="Y68" s="72">
        <v>5.7</v>
      </c>
      <c r="Z68" s="72">
        <v>11.4</v>
      </c>
      <c r="AA68" s="72">
        <v>8.6999999999999993</v>
      </c>
      <c r="AB68" s="72">
        <v>8.6999999999999993</v>
      </c>
      <c r="AC68" s="72">
        <v>3.8</v>
      </c>
      <c r="AD68" s="72">
        <v>3.8</v>
      </c>
      <c r="AE68" s="72">
        <v>5.7</v>
      </c>
      <c r="AF68" s="50">
        <v>0</v>
      </c>
      <c r="AG68" s="61">
        <v>32</v>
      </c>
      <c r="AH68" s="52">
        <f t="shared" si="2"/>
        <v>28.8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6.3</v>
      </c>
      <c r="Q69" s="50">
        <v>10.4</v>
      </c>
      <c r="R69" s="50">
        <v>9</v>
      </c>
      <c r="S69" s="74">
        <v>8.9</v>
      </c>
      <c r="T69" s="74">
        <v>10.1</v>
      </c>
      <c r="U69" s="74">
        <v>10.4</v>
      </c>
      <c r="V69" s="74">
        <v>6.4</v>
      </c>
      <c r="W69" s="74">
        <v>10</v>
      </c>
      <c r="X69" s="74">
        <v>5.3</v>
      </c>
      <c r="Y69" s="74">
        <v>2.1</v>
      </c>
      <c r="Z69" s="74">
        <v>4.2</v>
      </c>
      <c r="AA69" s="74">
        <v>3.2</v>
      </c>
      <c r="AB69" s="74">
        <v>3.2</v>
      </c>
      <c r="AC69" s="74">
        <v>1.4</v>
      </c>
      <c r="AD69" s="74">
        <v>1.4</v>
      </c>
      <c r="AE69" s="74">
        <v>2.1</v>
      </c>
      <c r="AF69" s="50">
        <v>0</v>
      </c>
      <c r="AG69" s="75">
        <v>14</v>
      </c>
      <c r="AH69" s="52">
        <f t="shared" si="2"/>
        <v>10.4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9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10">M67+M68+M69</f>
        <v>0</v>
      </c>
      <c r="N70" s="67">
        <f t="shared" si="10"/>
        <v>0</v>
      </c>
      <c r="O70" s="67">
        <f t="shared" si="10"/>
        <v>0</v>
      </c>
      <c r="P70" s="67">
        <f t="shared" si="10"/>
        <v>63.3</v>
      </c>
      <c r="Q70" s="67">
        <f t="shared" si="10"/>
        <v>99.2</v>
      </c>
      <c r="R70" s="67">
        <f t="shared" si="10"/>
        <v>88</v>
      </c>
      <c r="S70" s="67">
        <f t="shared" si="10"/>
        <v>83.2</v>
      </c>
      <c r="T70" s="67">
        <f t="shared" si="10"/>
        <v>97.699999999999989</v>
      </c>
      <c r="U70" s="67">
        <f t="shared" si="10"/>
        <v>98.800000000000011</v>
      </c>
      <c r="V70" s="67">
        <f t="shared" si="10"/>
        <v>64</v>
      </c>
      <c r="W70" s="67">
        <f t="shared" si="10"/>
        <v>59.2</v>
      </c>
      <c r="X70" s="67">
        <f t="shared" si="10"/>
        <v>33.9</v>
      </c>
      <c r="Y70" s="67">
        <f t="shared" si="10"/>
        <v>32.799999999999997</v>
      </c>
      <c r="Z70" s="67">
        <f t="shared" si="10"/>
        <v>40.6</v>
      </c>
      <c r="AA70" s="67">
        <f t="shared" si="10"/>
        <v>31.9</v>
      </c>
      <c r="AB70" s="67">
        <f t="shared" si="10"/>
        <v>31.9</v>
      </c>
      <c r="AC70" s="67">
        <f t="shared" si="10"/>
        <v>15.200000000000001</v>
      </c>
      <c r="AD70" s="67">
        <f t="shared" si="10"/>
        <v>15.200000000000001</v>
      </c>
      <c r="AE70" s="67">
        <f t="shared" si="10"/>
        <v>17.8</v>
      </c>
      <c r="AF70" s="67">
        <f t="shared" si="10"/>
        <v>0</v>
      </c>
      <c r="AG70" s="68">
        <f>SUM(AG67:AG69)</f>
        <v>106</v>
      </c>
      <c r="AH70" s="52">
        <f t="shared" si="2"/>
        <v>99.2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12.7</v>
      </c>
      <c r="C71" s="50">
        <v>33.6</v>
      </c>
      <c r="D71" s="50">
        <v>35.5</v>
      </c>
      <c r="E71" s="50">
        <v>40</v>
      </c>
      <c r="F71" s="50">
        <v>38.299999999999997</v>
      </c>
      <c r="G71" s="50">
        <v>39.1</v>
      </c>
      <c r="H71" s="50">
        <v>42.4</v>
      </c>
      <c r="I71" s="50">
        <v>40</v>
      </c>
      <c r="J71" s="50">
        <v>49.3</v>
      </c>
      <c r="K71" s="50">
        <v>41</v>
      </c>
      <c r="L71" s="50">
        <v>49.1</v>
      </c>
      <c r="M71" s="50">
        <v>50.034999999999997</v>
      </c>
      <c r="N71" s="50">
        <v>51.5</v>
      </c>
      <c r="O71" s="50">
        <v>51.5</v>
      </c>
      <c r="P71" s="50">
        <v>57</v>
      </c>
      <c r="Q71" s="50">
        <v>65.3</v>
      </c>
      <c r="R71" s="50">
        <v>47</v>
      </c>
      <c r="S71" s="50">
        <v>55.4</v>
      </c>
      <c r="T71" s="50">
        <v>55.3</v>
      </c>
      <c r="U71" s="50">
        <v>47.7</v>
      </c>
      <c r="V71" s="50">
        <v>40.4</v>
      </c>
      <c r="W71" s="50">
        <v>52</v>
      </c>
      <c r="X71" s="50">
        <v>57.8</v>
      </c>
      <c r="Y71" s="50">
        <v>55.9</v>
      </c>
      <c r="Z71" s="50">
        <v>59.9</v>
      </c>
      <c r="AA71" s="50">
        <v>62.6</v>
      </c>
      <c r="AB71" s="50">
        <v>55</v>
      </c>
      <c r="AC71" s="50">
        <v>44.7</v>
      </c>
      <c r="AD71" s="50">
        <v>44.7</v>
      </c>
      <c r="AE71" s="50">
        <v>59</v>
      </c>
      <c r="AF71" s="50">
        <v>43</v>
      </c>
      <c r="AG71" s="56"/>
      <c r="AH71" s="52">
        <f t="shared" si="2"/>
        <v>65.3</v>
      </c>
      <c r="AI71" s="53">
        <f t="shared" si="3"/>
        <v>12.7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1.8</v>
      </c>
      <c r="C73" s="72">
        <v>223.1</v>
      </c>
      <c r="D73" s="72">
        <v>231.8</v>
      </c>
      <c r="E73" s="72">
        <v>246</v>
      </c>
      <c r="F73" s="72">
        <v>234</v>
      </c>
      <c r="G73" s="72">
        <v>264.3</v>
      </c>
      <c r="H73" s="72">
        <v>267</v>
      </c>
      <c r="I73" s="72">
        <v>302</v>
      </c>
      <c r="J73" s="72">
        <v>311</v>
      </c>
      <c r="K73" s="72">
        <v>300</v>
      </c>
      <c r="L73" s="72">
        <v>322</v>
      </c>
      <c r="M73" s="72">
        <v>333.6</v>
      </c>
      <c r="N73" s="72">
        <v>278</v>
      </c>
      <c r="O73" s="72">
        <v>278</v>
      </c>
      <c r="P73" s="72">
        <v>282</v>
      </c>
      <c r="Q73" s="72">
        <v>279</v>
      </c>
      <c r="R73" s="72">
        <v>255</v>
      </c>
      <c r="S73" s="72">
        <v>353.3</v>
      </c>
      <c r="T73" s="72">
        <v>341.6</v>
      </c>
      <c r="U73" s="72">
        <v>333.9</v>
      </c>
      <c r="V73" s="72">
        <v>301.2</v>
      </c>
      <c r="W73" s="72">
        <v>306</v>
      </c>
      <c r="X73" s="72">
        <v>308.39999999999998</v>
      </c>
      <c r="Y73" s="72">
        <v>310</v>
      </c>
      <c r="Z73" s="72">
        <v>309</v>
      </c>
      <c r="AA73" s="72">
        <v>302</v>
      </c>
      <c r="AB73" s="72">
        <v>302</v>
      </c>
      <c r="AC73" s="72">
        <v>316</v>
      </c>
      <c r="AD73" s="72">
        <v>275</v>
      </c>
      <c r="AE73" s="72">
        <v>255</v>
      </c>
      <c r="AF73" s="72">
        <v>270</v>
      </c>
      <c r="AG73" s="82"/>
      <c r="AH73" s="52">
        <f t="shared" si="2"/>
        <v>353.3</v>
      </c>
      <c r="AI73" s="53">
        <f t="shared" si="3"/>
        <v>1.8</v>
      </c>
      <c r="AK73" s="54"/>
    </row>
    <row r="74" spans="1:40" x14ac:dyDescent="0.25">
      <c r="A74" s="60" t="s">
        <v>78</v>
      </c>
      <c r="B74" s="72">
        <v>46</v>
      </c>
      <c r="C74" s="72">
        <v>47</v>
      </c>
      <c r="D74" s="72">
        <v>44.7</v>
      </c>
      <c r="E74" s="83">
        <v>44</v>
      </c>
      <c r="F74" s="83">
        <v>44.5</v>
      </c>
      <c r="G74" s="83">
        <v>47.1</v>
      </c>
      <c r="H74" s="83">
        <v>49.3</v>
      </c>
      <c r="I74" s="83">
        <v>49</v>
      </c>
      <c r="J74" s="83">
        <v>51.9</v>
      </c>
      <c r="K74" s="83">
        <v>52.7</v>
      </c>
      <c r="L74" s="83">
        <v>52.7</v>
      </c>
      <c r="M74" s="83">
        <v>49.6</v>
      </c>
      <c r="N74" s="83">
        <v>49</v>
      </c>
      <c r="O74" s="83">
        <v>49</v>
      </c>
      <c r="P74" s="83">
        <v>53.3</v>
      </c>
      <c r="Q74" s="83">
        <v>58.8</v>
      </c>
      <c r="R74" s="83">
        <v>49</v>
      </c>
      <c r="S74" s="83">
        <v>52.8</v>
      </c>
      <c r="T74" s="83">
        <v>53</v>
      </c>
      <c r="U74" s="83">
        <v>52.5</v>
      </c>
      <c r="V74" s="83">
        <v>50.6</v>
      </c>
      <c r="W74" s="83">
        <v>50.5</v>
      </c>
      <c r="X74" s="83">
        <v>49.6</v>
      </c>
      <c r="Y74" s="72">
        <v>50</v>
      </c>
      <c r="Z74" s="72">
        <v>55.7</v>
      </c>
      <c r="AA74" s="72">
        <v>54.6</v>
      </c>
      <c r="AB74" s="72">
        <v>54.6</v>
      </c>
      <c r="AC74" s="72">
        <v>51.9</v>
      </c>
      <c r="AD74" s="72">
        <v>51.9</v>
      </c>
      <c r="AE74" s="72">
        <v>47</v>
      </c>
      <c r="AF74" s="72">
        <v>47</v>
      </c>
      <c r="AG74" s="82"/>
      <c r="AH74" s="52">
        <f t="shared" si="2"/>
        <v>58.8</v>
      </c>
      <c r="AI74" s="53">
        <f t="shared" si="3"/>
        <v>44</v>
      </c>
      <c r="AK74" s="54"/>
    </row>
    <row r="75" spans="1:40" x14ac:dyDescent="0.25">
      <c r="A75" s="60" t="s">
        <v>79</v>
      </c>
      <c r="B75" s="50">
        <v>0</v>
      </c>
      <c r="C75" s="50">
        <v>0</v>
      </c>
      <c r="D75" s="50">
        <v>0</v>
      </c>
      <c r="E75" s="50">
        <v>0</v>
      </c>
      <c r="F75" s="50">
        <v>0</v>
      </c>
      <c r="G75" s="50">
        <v>20</v>
      </c>
      <c r="H75" s="50">
        <v>20</v>
      </c>
      <c r="I75" s="50">
        <v>19.100000000000001</v>
      </c>
      <c r="J75" s="50">
        <v>20.7</v>
      </c>
      <c r="K75" s="50">
        <v>22</v>
      </c>
      <c r="L75" s="50">
        <v>26.2</v>
      </c>
      <c r="M75" s="50">
        <v>24.8</v>
      </c>
      <c r="N75" s="50">
        <v>30.6</v>
      </c>
      <c r="O75" s="50">
        <v>30.6</v>
      </c>
      <c r="P75" s="50">
        <v>30.9</v>
      </c>
      <c r="Q75" s="50">
        <v>30.1</v>
      </c>
      <c r="R75" s="50">
        <v>27</v>
      </c>
      <c r="S75" s="50">
        <v>20.6</v>
      </c>
      <c r="T75" s="50">
        <v>26.3</v>
      </c>
      <c r="U75" s="50">
        <v>21.1</v>
      </c>
      <c r="V75" s="50">
        <v>26.2</v>
      </c>
      <c r="W75" s="50">
        <v>26.5</v>
      </c>
      <c r="X75" s="50">
        <v>25.1</v>
      </c>
      <c r="Y75" s="50">
        <v>24.5</v>
      </c>
      <c r="Z75" s="50">
        <v>21.4</v>
      </c>
      <c r="AA75" s="50">
        <v>22.8</v>
      </c>
      <c r="AB75" s="50">
        <v>22</v>
      </c>
      <c r="AC75" s="50">
        <v>22.1</v>
      </c>
      <c r="AD75" s="50">
        <v>22.1</v>
      </c>
      <c r="AE75" s="50">
        <v>22.7</v>
      </c>
      <c r="AF75" s="50">
        <v>26.1</v>
      </c>
      <c r="AG75" s="82"/>
      <c r="AH75" s="52">
        <f t="shared" ref="AH75:AH117" si="11">MAX(B75:AF75)</f>
        <v>30.9</v>
      </c>
      <c r="AI75" s="53">
        <f t="shared" ref="AI75:AI117" si="12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1"/>
        <v>0</v>
      </c>
      <c r="AI76" s="53">
        <f t="shared" si="12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1"/>
        <v>0</v>
      </c>
      <c r="AI77" s="53">
        <f t="shared" si="12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3.2</v>
      </c>
      <c r="T78" s="84">
        <v>3.2</v>
      </c>
      <c r="U78" s="84">
        <v>3.2</v>
      </c>
      <c r="V78" s="84">
        <v>3.2</v>
      </c>
      <c r="W78" s="84">
        <v>3.2</v>
      </c>
      <c r="X78" s="84">
        <v>3.2</v>
      </c>
      <c r="Y78" s="84">
        <v>3.2</v>
      </c>
      <c r="Z78" s="84">
        <v>4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1"/>
        <v>4</v>
      </c>
      <c r="AI78" s="53">
        <f t="shared" si="12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1"/>
        <v>0</v>
      </c>
      <c r="AI79" s="53">
        <f t="shared" si="12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1"/>
        <v>0</v>
      </c>
      <c r="AI80" s="53">
        <f t="shared" si="12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1"/>
        <v>0</v>
      </c>
      <c r="AI81" s="53">
        <f t="shared" si="12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3">SUMIF(B71:B81,"&gt;0")</f>
        <v>60.5</v>
      </c>
      <c r="C82" s="67">
        <f t="shared" si="13"/>
        <v>303.7</v>
      </c>
      <c r="D82" s="67">
        <f t="shared" si="13"/>
        <v>312</v>
      </c>
      <c r="E82" s="67">
        <f t="shared" si="13"/>
        <v>330</v>
      </c>
      <c r="F82" s="67">
        <f t="shared" si="13"/>
        <v>316.8</v>
      </c>
      <c r="G82" s="67">
        <f t="shared" si="13"/>
        <v>370.50000000000006</v>
      </c>
      <c r="H82" s="67">
        <f t="shared" si="13"/>
        <v>378.7</v>
      </c>
      <c r="I82" s="67">
        <f t="shared" si="13"/>
        <v>410.1</v>
      </c>
      <c r="J82" s="67">
        <f t="shared" si="13"/>
        <v>432.9</v>
      </c>
      <c r="K82" s="67">
        <f t="shared" si="13"/>
        <v>415.7</v>
      </c>
      <c r="L82" s="67">
        <f t="shared" si="13"/>
        <v>450</v>
      </c>
      <c r="M82" s="67">
        <f t="shared" si="13"/>
        <v>458.03500000000003</v>
      </c>
      <c r="N82" s="67">
        <f t="shared" si="13"/>
        <v>409.1</v>
      </c>
      <c r="O82" s="67">
        <f t="shared" si="13"/>
        <v>409.1</v>
      </c>
      <c r="P82" s="67">
        <f t="shared" si="13"/>
        <v>423.2</v>
      </c>
      <c r="Q82" s="67">
        <f t="shared" si="13"/>
        <v>433.20000000000005</v>
      </c>
      <c r="R82" s="67">
        <f t="shared" si="13"/>
        <v>378</v>
      </c>
      <c r="S82" s="67">
        <f t="shared" si="13"/>
        <v>485.3</v>
      </c>
      <c r="T82" s="67">
        <f t="shared" si="13"/>
        <v>479.40000000000003</v>
      </c>
      <c r="U82" s="67">
        <f t="shared" si="13"/>
        <v>458.4</v>
      </c>
      <c r="V82" s="67">
        <f t="shared" si="13"/>
        <v>421.59999999999997</v>
      </c>
      <c r="W82" s="67">
        <f t="shared" si="13"/>
        <v>438.2</v>
      </c>
      <c r="X82" s="67">
        <f t="shared" si="13"/>
        <v>444.1</v>
      </c>
      <c r="Y82" s="67">
        <f t="shared" si="13"/>
        <v>443.59999999999997</v>
      </c>
      <c r="Z82" s="67">
        <f t="shared" si="13"/>
        <v>449.99999999999994</v>
      </c>
      <c r="AA82" s="67">
        <f t="shared" si="13"/>
        <v>442.00000000000006</v>
      </c>
      <c r="AB82" s="67">
        <f t="shared" si="13"/>
        <v>433.6</v>
      </c>
      <c r="AC82" s="67">
        <f t="shared" si="13"/>
        <v>434.7</v>
      </c>
      <c r="AD82" s="67">
        <f t="shared" si="13"/>
        <v>393.7</v>
      </c>
      <c r="AE82" s="67">
        <f t="shared" si="13"/>
        <v>383.7</v>
      </c>
      <c r="AF82" s="67">
        <f t="shared" si="13"/>
        <v>386.1</v>
      </c>
      <c r="AG82" s="95">
        <f>SUM(AG71:AG81)</f>
        <v>0</v>
      </c>
      <c r="AH82" s="52">
        <f t="shared" si="11"/>
        <v>485.3</v>
      </c>
      <c r="AI82" s="53">
        <f t="shared" si="12"/>
        <v>60.5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1"/>
        <v>0</v>
      </c>
      <c r="AI83" s="53">
        <f t="shared" si="12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1"/>
        <v>0</v>
      </c>
      <c r="AI84" s="53">
        <f t="shared" si="12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1"/>
        <v>0</v>
      </c>
      <c r="AI85" s="53">
        <f t="shared" si="12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1"/>
        <v>0</v>
      </c>
      <c r="AI86" s="53">
        <f t="shared" si="12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4">B48+B52+B70+B66+B82+B86</f>
        <v>856.6400000000001</v>
      </c>
      <c r="C87" s="102">
        <f t="shared" si="14"/>
        <v>837.54</v>
      </c>
      <c r="D87" s="102">
        <f t="shared" si="14"/>
        <v>852.04000000000008</v>
      </c>
      <c r="E87" s="102">
        <f t="shared" si="14"/>
        <v>860.04000000000008</v>
      </c>
      <c r="F87" s="102">
        <f t="shared" si="14"/>
        <v>864.84000000000015</v>
      </c>
      <c r="G87" s="102">
        <f t="shared" si="14"/>
        <v>918.54000000000019</v>
      </c>
      <c r="H87" s="102">
        <f t="shared" si="14"/>
        <v>995.1400000000001</v>
      </c>
      <c r="I87" s="102">
        <f t="shared" si="14"/>
        <v>1033.8400000000001</v>
      </c>
      <c r="J87" s="102">
        <f t="shared" si="14"/>
        <v>1133.1399999999999</v>
      </c>
      <c r="K87" s="102">
        <f t="shared" si="14"/>
        <v>1147.04</v>
      </c>
      <c r="L87" s="102">
        <f t="shared" si="14"/>
        <v>1125.6399999999999</v>
      </c>
      <c r="M87" s="102">
        <f t="shared" si="14"/>
        <v>1136.1750000000002</v>
      </c>
      <c r="N87" s="102">
        <f t="shared" si="14"/>
        <v>1142.3400000000001</v>
      </c>
      <c r="O87" s="102">
        <f t="shared" si="14"/>
        <v>1205.99</v>
      </c>
      <c r="P87" s="102">
        <f t="shared" si="14"/>
        <v>1216.74</v>
      </c>
      <c r="Q87" s="102">
        <f t="shared" si="14"/>
        <v>1258.44</v>
      </c>
      <c r="R87" s="102">
        <f t="shared" si="14"/>
        <v>1194.3400000000001</v>
      </c>
      <c r="S87" s="102">
        <f t="shared" si="14"/>
        <v>1218.04</v>
      </c>
      <c r="T87" s="102">
        <f t="shared" si="14"/>
        <v>1249.04</v>
      </c>
      <c r="U87" s="102">
        <f t="shared" si="14"/>
        <v>1190.8399999999999</v>
      </c>
      <c r="V87" s="102">
        <f t="shared" si="14"/>
        <v>1132.74</v>
      </c>
      <c r="W87" s="102">
        <f t="shared" si="14"/>
        <v>1131.1399999999999</v>
      </c>
      <c r="X87" s="102">
        <f t="shared" si="14"/>
        <v>1113.74</v>
      </c>
      <c r="Y87" s="102">
        <f t="shared" si="14"/>
        <v>1234.8399999999999</v>
      </c>
      <c r="Z87" s="102">
        <f t="shared" si="14"/>
        <v>1336.64</v>
      </c>
      <c r="AA87" s="102">
        <f t="shared" si="14"/>
        <v>1319.14</v>
      </c>
      <c r="AB87" s="102">
        <f t="shared" si="14"/>
        <v>1257.7399999999998</v>
      </c>
      <c r="AC87" s="102">
        <f t="shared" si="14"/>
        <v>1237.44</v>
      </c>
      <c r="AD87" s="102">
        <f t="shared" si="14"/>
        <v>1172.44</v>
      </c>
      <c r="AE87" s="102">
        <f t="shared" si="14"/>
        <v>1060.3399999999999</v>
      </c>
      <c r="AF87" s="102">
        <f t="shared" si="14"/>
        <v>988.94</v>
      </c>
      <c r="AG87" s="68">
        <f t="shared" si="14"/>
        <v>2065.09</v>
      </c>
      <c r="AH87" s="52">
        <f>MAX(B87:AF87)</f>
        <v>1336.64</v>
      </c>
      <c r="AI87" s="53">
        <f>MIN(B87:AF87)</f>
        <v>837.54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90</v>
      </c>
      <c r="L88" s="104">
        <v>120</v>
      </c>
      <c r="M88" s="104">
        <v>120</v>
      </c>
      <c r="N88" s="104">
        <v>50</v>
      </c>
      <c r="O88" s="104"/>
      <c r="P88" s="104"/>
      <c r="Q88" s="104"/>
      <c r="R88" s="104"/>
      <c r="S88" s="104"/>
      <c r="T88" s="104"/>
      <c r="U88" s="104"/>
      <c r="V88" s="104"/>
      <c r="W88" s="104"/>
      <c r="X88" s="104">
        <v>80</v>
      </c>
      <c r="Y88" s="104">
        <v>100</v>
      </c>
      <c r="Z88" s="104">
        <v>100</v>
      </c>
      <c r="AA88" s="104">
        <v>80</v>
      </c>
      <c r="AB88" s="104"/>
      <c r="AC88" s="104"/>
      <c r="AD88" s="104"/>
      <c r="AE88" s="104"/>
      <c r="AF88" s="104"/>
      <c r="AG88" s="95"/>
      <c r="AH88" s="52">
        <f t="shared" si="11"/>
        <v>120</v>
      </c>
      <c r="AI88" s="53">
        <f t="shared" si="12"/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5">B87+B88</f>
        <v>856.6400000000001</v>
      </c>
      <c r="C89" s="102">
        <f t="shared" si="15"/>
        <v>837.54</v>
      </c>
      <c r="D89" s="102">
        <f t="shared" si="15"/>
        <v>852.04000000000008</v>
      </c>
      <c r="E89" s="102">
        <f t="shared" si="15"/>
        <v>860.04000000000008</v>
      </c>
      <c r="F89" s="102">
        <f t="shared" si="15"/>
        <v>864.84000000000015</v>
      </c>
      <c r="G89" s="102">
        <f t="shared" si="15"/>
        <v>918.54000000000019</v>
      </c>
      <c r="H89" s="102">
        <f t="shared" si="15"/>
        <v>995.1400000000001</v>
      </c>
      <c r="I89" s="102">
        <f t="shared" si="15"/>
        <v>1033.8400000000001</v>
      </c>
      <c r="J89" s="102">
        <f t="shared" si="15"/>
        <v>1133.1399999999999</v>
      </c>
      <c r="K89" s="102">
        <f t="shared" si="15"/>
        <v>1237.04</v>
      </c>
      <c r="L89" s="102">
        <f t="shared" si="15"/>
        <v>1245.6399999999999</v>
      </c>
      <c r="M89" s="102">
        <f t="shared" si="15"/>
        <v>1256.1750000000002</v>
      </c>
      <c r="N89" s="102">
        <f t="shared" si="15"/>
        <v>1192.3400000000001</v>
      </c>
      <c r="O89" s="102">
        <f t="shared" si="15"/>
        <v>1205.99</v>
      </c>
      <c r="P89" s="102">
        <f t="shared" si="15"/>
        <v>1216.74</v>
      </c>
      <c r="Q89" s="102">
        <f t="shared" si="15"/>
        <v>1258.44</v>
      </c>
      <c r="R89" s="102">
        <f t="shared" si="15"/>
        <v>1194.3400000000001</v>
      </c>
      <c r="S89" s="102">
        <f t="shared" si="15"/>
        <v>1218.04</v>
      </c>
      <c r="T89" s="102">
        <f t="shared" si="15"/>
        <v>1249.04</v>
      </c>
      <c r="U89" s="102">
        <f t="shared" si="15"/>
        <v>1190.8399999999999</v>
      </c>
      <c r="V89" s="102">
        <f t="shared" si="15"/>
        <v>1132.74</v>
      </c>
      <c r="W89" s="102">
        <f t="shared" si="15"/>
        <v>1131.1399999999999</v>
      </c>
      <c r="X89" s="102">
        <f t="shared" si="15"/>
        <v>1193.74</v>
      </c>
      <c r="Y89" s="102">
        <f t="shared" si="15"/>
        <v>1334.84</v>
      </c>
      <c r="Z89" s="102">
        <f t="shared" si="15"/>
        <v>1436.64</v>
      </c>
      <c r="AA89" s="102">
        <f t="shared" si="15"/>
        <v>1399.14</v>
      </c>
      <c r="AB89" s="102">
        <f t="shared" si="15"/>
        <v>1257.7399999999998</v>
      </c>
      <c r="AC89" s="102">
        <f t="shared" si="15"/>
        <v>1237.44</v>
      </c>
      <c r="AD89" s="102">
        <f t="shared" si="15"/>
        <v>1172.44</v>
      </c>
      <c r="AE89" s="102">
        <f t="shared" si="15"/>
        <v>1060.3399999999999</v>
      </c>
      <c r="AF89" s="102">
        <f t="shared" si="15"/>
        <v>988.94</v>
      </c>
      <c r="AG89" s="95">
        <f>AG86+AG82+AG70+AG66+AG48+AG88</f>
        <v>1526.99</v>
      </c>
      <c r="AH89" s="52">
        <f t="shared" si="11"/>
        <v>1436.64</v>
      </c>
      <c r="AI89" s="53">
        <f t="shared" si="12"/>
        <v>837.54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16">B89-B97</f>
        <v>856.6400000000001</v>
      </c>
      <c r="C90" s="102">
        <f t="shared" si="16"/>
        <v>837.54</v>
      </c>
      <c r="D90" s="102">
        <f t="shared" si="16"/>
        <v>852.04000000000008</v>
      </c>
      <c r="E90" s="102">
        <f t="shared" si="16"/>
        <v>860.04000000000008</v>
      </c>
      <c r="F90" s="102">
        <f t="shared" si="16"/>
        <v>864.84000000000015</v>
      </c>
      <c r="G90" s="102">
        <f t="shared" si="16"/>
        <v>918.54000000000019</v>
      </c>
      <c r="H90" s="102">
        <f t="shared" si="16"/>
        <v>995.1400000000001</v>
      </c>
      <c r="I90" s="102">
        <f t="shared" si="16"/>
        <v>1033.8400000000001</v>
      </c>
      <c r="J90" s="102">
        <f t="shared" si="16"/>
        <v>1133.1399999999999</v>
      </c>
      <c r="K90" s="102">
        <f t="shared" si="16"/>
        <v>1237.04</v>
      </c>
      <c r="L90" s="102">
        <f t="shared" si="16"/>
        <v>1245.6399999999999</v>
      </c>
      <c r="M90" s="102">
        <f t="shared" si="16"/>
        <v>1256.1750000000002</v>
      </c>
      <c r="N90" s="102">
        <f t="shared" si="16"/>
        <v>1192.3400000000001</v>
      </c>
      <c r="O90" s="102">
        <f t="shared" si="16"/>
        <v>1205.99</v>
      </c>
      <c r="P90" s="102">
        <f t="shared" si="16"/>
        <v>1216.74</v>
      </c>
      <c r="Q90" s="102">
        <f t="shared" si="16"/>
        <v>1258.44</v>
      </c>
      <c r="R90" s="102">
        <f t="shared" si="16"/>
        <v>1194.3400000000001</v>
      </c>
      <c r="S90" s="102">
        <f t="shared" si="16"/>
        <v>1218.04</v>
      </c>
      <c r="T90" s="102">
        <f t="shared" si="16"/>
        <v>1249.04</v>
      </c>
      <c r="U90" s="102">
        <f t="shared" si="16"/>
        <v>1190.8399999999999</v>
      </c>
      <c r="V90" s="102">
        <f t="shared" si="16"/>
        <v>1132.74</v>
      </c>
      <c r="W90" s="102">
        <f t="shared" si="16"/>
        <v>1131.1399999999999</v>
      </c>
      <c r="X90" s="102">
        <f t="shared" si="16"/>
        <v>1193.74</v>
      </c>
      <c r="Y90" s="102">
        <f t="shared" si="16"/>
        <v>1334.84</v>
      </c>
      <c r="Z90" s="102">
        <f t="shared" si="16"/>
        <v>1436.64</v>
      </c>
      <c r="AA90" s="102">
        <f t="shared" si="16"/>
        <v>1399.14</v>
      </c>
      <c r="AB90" s="102">
        <f t="shared" si="16"/>
        <v>1257.7399999999998</v>
      </c>
      <c r="AC90" s="102">
        <f t="shared" si="16"/>
        <v>1237.44</v>
      </c>
      <c r="AD90" s="102">
        <f t="shared" si="16"/>
        <v>1172.44</v>
      </c>
      <c r="AE90" s="102">
        <f t="shared" si="16"/>
        <v>1060.3399999999999</v>
      </c>
      <c r="AF90" s="102">
        <f t="shared" si="16"/>
        <v>988.94</v>
      </c>
      <c r="AG90" s="95"/>
      <c r="AH90" s="52">
        <f t="shared" si="11"/>
        <v>1436.64</v>
      </c>
      <c r="AI90" s="53">
        <f t="shared" si="12"/>
        <v>837.54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1"/>
        <v>0</v>
      </c>
      <c r="AI91" s="53">
        <f t="shared" si="12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1"/>
        <v>0</v>
      </c>
      <c r="AI92" s="53">
        <f t="shared" si="12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1"/>
        <v>0</v>
      </c>
      <c r="AI93" s="53">
        <f t="shared" si="12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1"/>
        <v>0</v>
      </c>
      <c r="AI94" s="53">
        <f t="shared" si="12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1"/>
        <v>0</v>
      </c>
      <c r="AI95" s="53">
        <f t="shared" si="12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1"/>
        <v>0</v>
      </c>
      <c r="AI96" s="53">
        <f t="shared" si="12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1"/>
        <v>0</v>
      </c>
      <c r="AI97" s="53">
        <f t="shared" si="12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17">B82-B97</f>
        <v>60.5</v>
      </c>
      <c r="C98" s="67">
        <f t="shared" si="17"/>
        <v>303.7</v>
      </c>
      <c r="D98" s="67">
        <f t="shared" si="17"/>
        <v>312</v>
      </c>
      <c r="E98" s="67">
        <f t="shared" si="17"/>
        <v>330</v>
      </c>
      <c r="F98" s="67">
        <f t="shared" si="17"/>
        <v>316.8</v>
      </c>
      <c r="G98" s="67">
        <f t="shared" si="17"/>
        <v>370.50000000000006</v>
      </c>
      <c r="H98" s="67">
        <f t="shared" si="17"/>
        <v>378.7</v>
      </c>
      <c r="I98" s="67">
        <f t="shared" si="17"/>
        <v>410.1</v>
      </c>
      <c r="J98" s="67">
        <f t="shared" si="17"/>
        <v>432.9</v>
      </c>
      <c r="K98" s="67">
        <f t="shared" si="17"/>
        <v>415.7</v>
      </c>
      <c r="L98" s="67">
        <f t="shared" si="17"/>
        <v>450</v>
      </c>
      <c r="M98" s="67">
        <f t="shared" si="17"/>
        <v>458.03500000000003</v>
      </c>
      <c r="N98" s="67">
        <f t="shared" si="17"/>
        <v>409.1</v>
      </c>
      <c r="O98" s="67">
        <f t="shared" si="17"/>
        <v>409.1</v>
      </c>
      <c r="P98" s="67">
        <f t="shared" si="17"/>
        <v>423.2</v>
      </c>
      <c r="Q98" s="67">
        <f t="shared" si="17"/>
        <v>433.20000000000005</v>
      </c>
      <c r="R98" s="67">
        <f t="shared" si="17"/>
        <v>378</v>
      </c>
      <c r="S98" s="67">
        <f t="shared" si="17"/>
        <v>485.3</v>
      </c>
      <c r="T98" s="67">
        <f t="shared" si="17"/>
        <v>479.40000000000003</v>
      </c>
      <c r="U98" s="67">
        <f t="shared" si="17"/>
        <v>458.4</v>
      </c>
      <c r="V98" s="67">
        <f t="shared" si="17"/>
        <v>421.59999999999997</v>
      </c>
      <c r="W98" s="67">
        <f t="shared" si="17"/>
        <v>438.2</v>
      </c>
      <c r="X98" s="67">
        <f t="shared" si="17"/>
        <v>444.1</v>
      </c>
      <c r="Y98" s="67">
        <f t="shared" si="17"/>
        <v>443.59999999999997</v>
      </c>
      <c r="Z98" s="67">
        <f t="shared" si="17"/>
        <v>449.99999999999994</v>
      </c>
      <c r="AA98" s="67">
        <f t="shared" si="17"/>
        <v>442.00000000000006</v>
      </c>
      <c r="AB98" s="67">
        <f t="shared" si="17"/>
        <v>433.6</v>
      </c>
      <c r="AC98" s="67">
        <f t="shared" si="17"/>
        <v>434.7</v>
      </c>
      <c r="AD98" s="67">
        <f t="shared" si="17"/>
        <v>393.7</v>
      </c>
      <c r="AE98" s="67">
        <f t="shared" si="17"/>
        <v>383.7</v>
      </c>
      <c r="AF98" s="67">
        <f t="shared" si="17"/>
        <v>386.1</v>
      </c>
      <c r="AG98" s="95"/>
      <c r="AH98" s="52">
        <f t="shared" si="11"/>
        <v>485.3</v>
      </c>
      <c r="AI98" s="53">
        <f t="shared" si="12"/>
        <v>60.5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50.018999999999998</v>
      </c>
      <c r="C99" s="108">
        <v>49.863999999999997</v>
      </c>
      <c r="D99" s="108">
        <v>49.954999999999998</v>
      </c>
      <c r="E99" s="108">
        <v>49.956000000000003</v>
      </c>
      <c r="F99" s="108">
        <v>50.04</v>
      </c>
      <c r="G99" s="108">
        <v>50.073</v>
      </c>
      <c r="H99" s="108">
        <v>50.072000000000003</v>
      </c>
      <c r="I99" s="108">
        <v>50.033999999999999</v>
      </c>
      <c r="J99" s="108">
        <v>50.07</v>
      </c>
      <c r="K99" s="108">
        <v>50.024000000000001</v>
      </c>
      <c r="L99" s="108">
        <v>49.981999999999999</v>
      </c>
      <c r="M99" s="108">
        <v>50.031999999999996</v>
      </c>
      <c r="N99" s="108">
        <v>49.98</v>
      </c>
      <c r="O99" s="108">
        <v>50.021999999999998</v>
      </c>
      <c r="P99" s="108">
        <v>50.023000000000003</v>
      </c>
      <c r="Q99" s="108">
        <v>50.036999999999999</v>
      </c>
      <c r="R99" s="108">
        <v>49.978999999999999</v>
      </c>
      <c r="S99" s="108">
        <v>50.134999999999998</v>
      </c>
      <c r="T99" s="108">
        <v>49.933999999999997</v>
      </c>
      <c r="U99" s="108">
        <v>49.851999999999997</v>
      </c>
      <c r="V99" s="108">
        <v>49.973999999999997</v>
      </c>
      <c r="W99" s="108">
        <v>50.14</v>
      </c>
      <c r="X99" s="108">
        <v>50.100999999999999</v>
      </c>
      <c r="Y99" s="108">
        <v>49.991999999999997</v>
      </c>
      <c r="Z99" s="108">
        <v>49.859000000000002</v>
      </c>
      <c r="AA99" s="108">
        <v>49.972999999999999</v>
      </c>
      <c r="AB99" s="108">
        <v>50.027000000000001</v>
      </c>
      <c r="AC99" s="108">
        <v>49.968000000000004</v>
      </c>
      <c r="AD99" s="108">
        <v>49.968000000000004</v>
      </c>
      <c r="AE99" s="108">
        <v>50.000999999999998</v>
      </c>
      <c r="AF99" s="108">
        <v>50.05</v>
      </c>
      <c r="AG99" s="109"/>
      <c r="AH99" s="52">
        <f t="shared" si="11"/>
        <v>50.14</v>
      </c>
      <c r="AI99" s="53">
        <f t="shared" si="12"/>
        <v>49.851999999999997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127.5</v>
      </c>
      <c r="C100" s="72">
        <v>125.4</v>
      </c>
      <c r="D100" s="72">
        <v>127.4</v>
      </c>
      <c r="E100" s="72">
        <v>127.7</v>
      </c>
      <c r="F100" s="72">
        <v>128.30000000000001</v>
      </c>
      <c r="G100" s="72">
        <v>126.9</v>
      </c>
      <c r="H100" s="72">
        <v>127.9</v>
      </c>
      <c r="I100" s="72">
        <v>127.8</v>
      </c>
      <c r="J100" s="72">
        <v>126.6</v>
      </c>
      <c r="K100" s="72">
        <v>127.7</v>
      </c>
      <c r="L100" s="72">
        <v>127.8</v>
      </c>
      <c r="M100" s="72">
        <v>125.3</v>
      </c>
      <c r="N100" s="72">
        <v>124.1</v>
      </c>
      <c r="O100" s="72">
        <v>125.8</v>
      </c>
      <c r="P100" s="72">
        <v>125.5</v>
      </c>
      <c r="Q100" s="72">
        <v>125.4</v>
      </c>
      <c r="R100" s="72">
        <v>125.6</v>
      </c>
      <c r="S100" s="72">
        <v>125</v>
      </c>
      <c r="T100" s="72">
        <v>125</v>
      </c>
      <c r="U100" s="72">
        <v>126</v>
      </c>
      <c r="V100" s="72">
        <v>127.2</v>
      </c>
      <c r="W100" s="72">
        <v>128.80000000000001</v>
      </c>
      <c r="X100" s="72">
        <v>128</v>
      </c>
      <c r="Y100" s="72">
        <v>126.6</v>
      </c>
      <c r="Z100" s="72">
        <v>126.4</v>
      </c>
      <c r="AA100" s="72">
        <v>128</v>
      </c>
      <c r="AB100" s="72">
        <v>127.6</v>
      </c>
      <c r="AC100" s="72">
        <v>126.7</v>
      </c>
      <c r="AD100" s="72">
        <v>126.7</v>
      </c>
      <c r="AE100" s="72">
        <v>127.5</v>
      </c>
      <c r="AF100" s="72">
        <v>125.2</v>
      </c>
      <c r="AG100" s="111"/>
      <c r="AH100" s="52">
        <f t="shared" si="11"/>
        <v>128.80000000000001</v>
      </c>
      <c r="AI100" s="53">
        <f t="shared" si="12"/>
        <v>124.1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131.5</v>
      </c>
      <c r="C101" s="72">
        <v>130</v>
      </c>
      <c r="D101" s="72">
        <v>131.5</v>
      </c>
      <c r="E101" s="72">
        <v>132.1</v>
      </c>
      <c r="F101" s="72">
        <v>132.6</v>
      </c>
      <c r="G101" s="72">
        <v>131.19999999999999</v>
      </c>
      <c r="H101" s="72">
        <v>131.5</v>
      </c>
      <c r="I101" s="72">
        <v>130.6</v>
      </c>
      <c r="J101" s="72">
        <v>129.5</v>
      </c>
      <c r="K101" s="72">
        <v>130</v>
      </c>
      <c r="L101" s="72">
        <v>130.4</v>
      </c>
      <c r="M101" s="72">
        <v>128.30000000000001</v>
      </c>
      <c r="N101" s="72">
        <v>127.3</v>
      </c>
      <c r="O101" s="72">
        <v>129</v>
      </c>
      <c r="P101" s="72">
        <v>128.6</v>
      </c>
      <c r="Q101" s="72">
        <v>128.69999999999999</v>
      </c>
      <c r="R101" s="72">
        <v>129.19999999999999</v>
      </c>
      <c r="S101" s="72">
        <v>128.6</v>
      </c>
      <c r="T101" s="72">
        <v>128.5</v>
      </c>
      <c r="U101" s="72">
        <v>129.19999999999999</v>
      </c>
      <c r="V101" s="72">
        <v>129.80000000000001</v>
      </c>
      <c r="W101" s="72">
        <v>130.80000000000001</v>
      </c>
      <c r="X101" s="72">
        <v>130.80000000000001</v>
      </c>
      <c r="Y101" s="72">
        <v>129</v>
      </c>
      <c r="Z101" s="72">
        <v>129.1</v>
      </c>
      <c r="AA101" s="72">
        <v>130.69999999999999</v>
      </c>
      <c r="AB101" s="72">
        <v>130.80000000000001</v>
      </c>
      <c r="AC101" s="72">
        <v>130.4</v>
      </c>
      <c r="AD101" s="72">
        <v>130.4</v>
      </c>
      <c r="AE101" s="72">
        <v>131.5</v>
      </c>
      <c r="AF101" s="72">
        <v>129.5</v>
      </c>
      <c r="AG101" s="111"/>
      <c r="AH101" s="52">
        <f t="shared" si="11"/>
        <v>132.6</v>
      </c>
      <c r="AI101" s="53">
        <f t="shared" si="12"/>
        <v>127.3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131.5</v>
      </c>
      <c r="C102" s="72">
        <v>130.69999999999999</v>
      </c>
      <c r="D102" s="72">
        <v>131.30000000000001</v>
      </c>
      <c r="E102" s="72">
        <v>130.80000000000001</v>
      </c>
      <c r="F102" s="72">
        <v>132.69999999999999</v>
      </c>
      <c r="G102" s="72">
        <v>131.80000000000001</v>
      </c>
      <c r="H102" s="72">
        <v>131</v>
      </c>
      <c r="I102" s="72">
        <v>132.19999999999999</v>
      </c>
      <c r="J102" s="72">
        <v>130.19999999999999</v>
      </c>
      <c r="K102" s="72">
        <v>129.6</v>
      </c>
      <c r="L102" s="72">
        <v>127.9</v>
      </c>
      <c r="M102" s="72">
        <v>128</v>
      </c>
      <c r="N102" s="72">
        <v>129.6</v>
      </c>
      <c r="O102" s="72">
        <v>130.30000000000001</v>
      </c>
      <c r="P102" s="72">
        <v>129.9</v>
      </c>
      <c r="Q102" s="72">
        <v>131.74</v>
      </c>
      <c r="R102" s="72">
        <v>131.30000000000001</v>
      </c>
      <c r="S102" s="72">
        <v>130.1</v>
      </c>
      <c r="T102" s="72">
        <v>128</v>
      </c>
      <c r="U102" s="72">
        <v>131.30000000000001</v>
      </c>
      <c r="V102" s="72">
        <v>132.9</v>
      </c>
      <c r="W102" s="72">
        <v>133.6</v>
      </c>
      <c r="X102" s="72">
        <v>131.1</v>
      </c>
      <c r="Y102" s="72">
        <v>129.19999999999999</v>
      </c>
      <c r="Z102" s="72">
        <v>126.1</v>
      </c>
      <c r="AA102" s="72">
        <v>129.19999999999999</v>
      </c>
      <c r="AB102" s="72">
        <v>129</v>
      </c>
      <c r="AC102" s="72">
        <v>130.9</v>
      </c>
      <c r="AD102" s="72">
        <v>130.9</v>
      </c>
      <c r="AE102" s="72">
        <v>130.19999999999999</v>
      </c>
      <c r="AF102" s="72">
        <v>129.30000000000001</v>
      </c>
      <c r="AG102" s="111"/>
      <c r="AH102" s="52">
        <f t="shared" si="11"/>
        <v>133.6</v>
      </c>
      <c r="AI102" s="53">
        <f t="shared" si="12"/>
        <v>126.1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1"/>
        <v>0</v>
      </c>
      <c r="AI103" s="53">
        <f t="shared" si="12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133.69999999999999</v>
      </c>
      <c r="C104" s="113">
        <v>129.1</v>
      </c>
      <c r="D104" s="113">
        <v>132.19999999999999</v>
      </c>
      <c r="E104" s="113">
        <v>133.5</v>
      </c>
      <c r="F104" s="113">
        <v>134.6</v>
      </c>
      <c r="G104" s="113">
        <v>131.69999999999999</v>
      </c>
      <c r="H104" s="113">
        <v>133.5</v>
      </c>
      <c r="I104" s="113">
        <v>130.6</v>
      </c>
      <c r="J104" s="113">
        <v>135.1</v>
      </c>
      <c r="K104" s="113">
        <v>134.30000000000001</v>
      </c>
      <c r="L104" s="113">
        <v>135.4</v>
      </c>
      <c r="M104" s="113">
        <v>133</v>
      </c>
      <c r="N104" s="113">
        <v>133.1</v>
      </c>
      <c r="O104" s="113">
        <v>135.6</v>
      </c>
      <c r="P104" s="113">
        <v>133.19999999999999</v>
      </c>
      <c r="Q104" s="113">
        <v>131.6</v>
      </c>
      <c r="R104" s="113">
        <v>132.6</v>
      </c>
      <c r="S104" s="113">
        <v>132.6</v>
      </c>
      <c r="T104" s="113">
        <v>132.6</v>
      </c>
      <c r="U104" s="113">
        <v>132</v>
      </c>
      <c r="V104" s="113">
        <v>132.19999999999999</v>
      </c>
      <c r="W104" s="113">
        <v>133.9</v>
      </c>
      <c r="X104" s="113">
        <v>135.19999999999999</v>
      </c>
      <c r="Y104" s="113">
        <v>134.5</v>
      </c>
      <c r="Z104" s="113">
        <v>134.19999999999999</v>
      </c>
      <c r="AA104" s="113">
        <v>136.69999999999999</v>
      </c>
      <c r="AB104" s="113">
        <v>133.30000000000001</v>
      </c>
      <c r="AC104" s="113">
        <v>134.1</v>
      </c>
      <c r="AD104" s="113">
        <v>134.1</v>
      </c>
      <c r="AE104" s="113">
        <v>132.1</v>
      </c>
      <c r="AF104" s="113">
        <v>129.5</v>
      </c>
      <c r="AG104" s="114"/>
      <c r="AH104" s="52">
        <f t="shared" si="11"/>
        <v>136.69999999999999</v>
      </c>
      <c r="AI104" s="53">
        <f t="shared" si="12"/>
        <v>129.1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130.6</v>
      </c>
      <c r="C105" s="72">
        <v>127.7</v>
      </c>
      <c r="D105" s="72">
        <v>131.80000000000001</v>
      </c>
      <c r="E105" s="72">
        <v>133.1</v>
      </c>
      <c r="F105" s="72">
        <v>134.5</v>
      </c>
      <c r="G105" s="72">
        <v>131.69999999999999</v>
      </c>
      <c r="H105" s="72">
        <v>132.4</v>
      </c>
      <c r="I105" s="72">
        <v>127.9</v>
      </c>
      <c r="J105" s="72">
        <v>131.6</v>
      </c>
      <c r="K105" s="72">
        <v>130.4</v>
      </c>
      <c r="L105" s="72">
        <v>126</v>
      </c>
      <c r="M105" s="72">
        <v>128.80000000000001</v>
      </c>
      <c r="N105" s="72">
        <v>126.9</v>
      </c>
      <c r="O105" s="72">
        <v>134.69</v>
      </c>
      <c r="P105" s="72">
        <v>128.30000000000001</v>
      </c>
      <c r="Q105" s="72">
        <v>131.69999999999999</v>
      </c>
      <c r="R105" s="72">
        <v>125.1</v>
      </c>
      <c r="S105" s="72">
        <v>131.6</v>
      </c>
      <c r="T105" s="72">
        <v>131.30000000000001</v>
      </c>
      <c r="U105" s="72">
        <v>130.69999999999999</v>
      </c>
      <c r="V105" s="72">
        <v>129.9</v>
      </c>
      <c r="W105" s="72">
        <v>132.5</v>
      </c>
      <c r="X105" s="72">
        <v>133.5</v>
      </c>
      <c r="Y105" s="72">
        <v>128</v>
      </c>
      <c r="Z105" s="72">
        <v>127.5</v>
      </c>
      <c r="AA105" s="72">
        <v>127.7</v>
      </c>
      <c r="AB105" s="72">
        <v>132.6</v>
      </c>
      <c r="AC105" s="72">
        <v>136</v>
      </c>
      <c r="AD105" s="72">
        <v>136</v>
      </c>
      <c r="AE105" s="72">
        <v>131.30000000000001</v>
      </c>
      <c r="AF105" s="72">
        <v>129</v>
      </c>
      <c r="AG105" s="111"/>
      <c r="AH105" s="52">
        <f t="shared" si="11"/>
        <v>136</v>
      </c>
      <c r="AI105" s="53">
        <f t="shared" si="12"/>
        <v>125.1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66.099999999999994</v>
      </c>
      <c r="C106" s="99">
        <v>65.599999999999994</v>
      </c>
      <c r="D106" s="99">
        <v>66.5</v>
      </c>
      <c r="E106" s="99">
        <v>66.2</v>
      </c>
      <c r="F106" s="99">
        <v>66.8</v>
      </c>
      <c r="G106" s="99">
        <v>66</v>
      </c>
      <c r="H106" s="99">
        <v>65.900000000000006</v>
      </c>
      <c r="I106" s="99">
        <v>65.400000000000006</v>
      </c>
      <c r="J106" s="99">
        <v>64.8</v>
      </c>
      <c r="K106" s="99">
        <v>65.400000000000006</v>
      </c>
      <c r="L106" s="99">
        <v>65.400000000000006</v>
      </c>
      <c r="M106" s="99">
        <v>64.2</v>
      </c>
      <c r="N106" s="99">
        <v>63.6</v>
      </c>
      <c r="O106" s="99">
        <v>64.8</v>
      </c>
      <c r="P106" s="99">
        <v>64.599999999999994</v>
      </c>
      <c r="Q106" s="99">
        <v>64.8</v>
      </c>
      <c r="R106" s="99">
        <v>64.7</v>
      </c>
      <c r="S106" s="99">
        <v>64.599999999999994</v>
      </c>
      <c r="T106" s="99">
        <v>64.599999999999994</v>
      </c>
      <c r="U106" s="99">
        <v>64.8</v>
      </c>
      <c r="V106" s="99">
        <v>65.099999999999994</v>
      </c>
      <c r="W106" s="99">
        <v>65.400000000000006</v>
      </c>
      <c r="X106" s="99">
        <v>65.3</v>
      </c>
      <c r="Y106" s="99">
        <v>64.599999999999994</v>
      </c>
      <c r="Z106" s="99">
        <v>64.8</v>
      </c>
      <c r="AA106" s="99">
        <v>65.599999999999994</v>
      </c>
      <c r="AB106" s="99">
        <v>65.7</v>
      </c>
      <c r="AC106" s="99">
        <v>65.599999999999994</v>
      </c>
      <c r="AD106" s="99">
        <v>65.599999999999994</v>
      </c>
      <c r="AE106" s="99">
        <v>66.2</v>
      </c>
      <c r="AF106" s="99">
        <v>65.3</v>
      </c>
      <c r="AG106" s="115"/>
      <c r="AH106" s="52">
        <f t="shared" si="11"/>
        <v>66.8</v>
      </c>
      <c r="AI106" s="53">
        <f t="shared" si="12"/>
        <v>63.6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1"/>
        <v>0</v>
      </c>
      <c r="AI107" s="53">
        <f t="shared" si="12"/>
        <v>0</v>
      </c>
    </row>
    <row r="108" spans="1:88" ht="15.75" thickBot="1" x14ac:dyDescent="0.3">
      <c r="A108" s="117" t="s">
        <v>112</v>
      </c>
      <c r="B108" s="118">
        <f t="shared" ref="B108:AF108" si="18">SUM(B18,B24,B27:B28,B56,B58:B59,B61,B63,B109:B113,B135,B141,B147,B156,B158,B170,B177,B180:B181,B188,B190,B192,B196:B198,B200:B202,B207,B213:B214,B216:B218,B226,B231)</f>
        <v>102.60000000000001</v>
      </c>
      <c r="C108" s="118">
        <f t="shared" si="18"/>
        <v>96.640000000000015</v>
      </c>
      <c r="D108" s="118">
        <f t="shared" si="18"/>
        <v>89.14</v>
      </c>
      <c r="E108" s="118">
        <f t="shared" si="18"/>
        <v>92.64</v>
      </c>
      <c r="F108" s="118">
        <f t="shared" si="18"/>
        <v>103.44</v>
      </c>
      <c r="G108" s="118">
        <f t="shared" si="18"/>
        <v>118.44</v>
      </c>
      <c r="H108" s="118">
        <f t="shared" si="18"/>
        <v>145.74</v>
      </c>
      <c r="I108" s="118">
        <f t="shared" si="18"/>
        <v>191.04000000000002</v>
      </c>
      <c r="J108" s="118">
        <f t="shared" si="18"/>
        <v>232.14</v>
      </c>
      <c r="K108" s="118">
        <f t="shared" si="18"/>
        <v>258.83999999999997</v>
      </c>
      <c r="L108" s="118">
        <f t="shared" si="18"/>
        <v>288.33999999999997</v>
      </c>
      <c r="M108" s="118">
        <f t="shared" si="18"/>
        <v>295.54000000000002</v>
      </c>
      <c r="N108" s="118">
        <f t="shared" si="18"/>
        <v>270.33999999999997</v>
      </c>
      <c r="O108" s="118">
        <f t="shared" si="18"/>
        <v>285.99</v>
      </c>
      <c r="P108" s="118">
        <v>42</v>
      </c>
      <c r="Q108" s="118">
        <f t="shared" si="18"/>
        <v>221.8</v>
      </c>
      <c r="R108" s="118">
        <f t="shared" si="18"/>
        <v>253.3</v>
      </c>
      <c r="S108" s="118">
        <f t="shared" si="18"/>
        <v>206.3</v>
      </c>
      <c r="T108" s="118">
        <f t="shared" si="18"/>
        <v>212.7</v>
      </c>
      <c r="U108" s="118">
        <f t="shared" si="18"/>
        <v>206.5</v>
      </c>
      <c r="V108" s="118">
        <f t="shared" si="18"/>
        <v>266.40000000000003</v>
      </c>
      <c r="W108" s="118">
        <f t="shared" si="18"/>
        <v>263.7</v>
      </c>
      <c r="X108" s="118">
        <f t="shared" si="18"/>
        <v>295.70000000000005</v>
      </c>
      <c r="Y108" s="118">
        <f t="shared" si="18"/>
        <v>339.4</v>
      </c>
      <c r="Z108" s="118">
        <f t="shared" si="18"/>
        <v>323.39999999999998</v>
      </c>
      <c r="AA108" s="118">
        <f t="shared" si="18"/>
        <v>308.2</v>
      </c>
      <c r="AB108" s="118">
        <f t="shared" si="18"/>
        <v>263.29999999999995</v>
      </c>
      <c r="AC108" s="118">
        <f t="shared" si="18"/>
        <v>222.89999999999998</v>
      </c>
      <c r="AD108" s="118">
        <f t="shared" si="18"/>
        <v>222.89999999999998</v>
      </c>
      <c r="AE108" s="118">
        <f t="shared" si="18"/>
        <v>151.4</v>
      </c>
      <c r="AF108" s="118">
        <f t="shared" si="18"/>
        <v>110.89999999999999</v>
      </c>
      <c r="AG108" s="119"/>
      <c r="AH108" s="52">
        <f t="shared" si="11"/>
        <v>339.4</v>
      </c>
      <c r="AI108" s="53">
        <f t="shared" si="12"/>
        <v>42</v>
      </c>
    </row>
    <row r="109" spans="1:88" x14ac:dyDescent="0.25">
      <c r="A109" s="107" t="s">
        <v>113</v>
      </c>
      <c r="B109" s="120">
        <v>-14.3</v>
      </c>
      <c r="C109" s="120">
        <v>-23.9</v>
      </c>
      <c r="D109" s="120">
        <v>-23.3</v>
      </c>
      <c r="E109" s="120">
        <v>-21.4</v>
      </c>
      <c r="F109" s="120">
        <v>-12.6</v>
      </c>
      <c r="G109" s="120">
        <v>-19.3</v>
      </c>
      <c r="H109" s="120">
        <v>-2.2000000000000002</v>
      </c>
      <c r="I109" s="120">
        <v>-8.1999999999999993</v>
      </c>
      <c r="J109" s="120">
        <v>2.2999999999999998</v>
      </c>
      <c r="K109" s="120">
        <v>18.5</v>
      </c>
      <c r="L109" s="120">
        <v>22</v>
      </c>
      <c r="M109" s="120">
        <v>16.5</v>
      </c>
      <c r="N109" s="120">
        <v>25.2</v>
      </c>
      <c r="O109" s="120">
        <v>21.3</v>
      </c>
      <c r="P109" s="120">
        <v>5</v>
      </c>
      <c r="Q109" s="120">
        <v>2.6</v>
      </c>
      <c r="R109" s="120">
        <v>-1.6</v>
      </c>
      <c r="S109" s="120">
        <v>2.7</v>
      </c>
      <c r="T109" s="120">
        <v>4.9000000000000004</v>
      </c>
      <c r="U109" s="120">
        <v>-4.2</v>
      </c>
      <c r="V109" s="120">
        <v>18.600000000000001</v>
      </c>
      <c r="W109" s="120">
        <v>18.399999999999999</v>
      </c>
      <c r="X109" s="120">
        <v>20.3</v>
      </c>
      <c r="Y109" s="120">
        <v>35.1</v>
      </c>
      <c r="Z109" s="120">
        <v>30.6</v>
      </c>
      <c r="AA109" s="120">
        <v>26.1</v>
      </c>
      <c r="AB109" s="120">
        <v>23.9</v>
      </c>
      <c r="AC109" s="120">
        <v>20.7</v>
      </c>
      <c r="AD109" s="120">
        <v>20.7</v>
      </c>
      <c r="AE109" s="120">
        <v>-4.5999999999999996</v>
      </c>
      <c r="AF109" s="120">
        <v>-18.2</v>
      </c>
      <c r="AG109" s="121">
        <v>75</v>
      </c>
      <c r="AH109" s="52">
        <f t="shared" si="11"/>
        <v>35.1</v>
      </c>
      <c r="AI109" s="53">
        <f t="shared" si="12"/>
        <v>-23.9</v>
      </c>
    </row>
    <row r="110" spans="1:88" x14ac:dyDescent="0.25">
      <c r="A110" s="110" t="s">
        <v>114</v>
      </c>
      <c r="B110" s="185">
        <v>-15</v>
      </c>
      <c r="C110" s="185">
        <v>-28.5</v>
      </c>
      <c r="D110" s="185">
        <v>-28.2</v>
      </c>
      <c r="E110" s="185">
        <v>-25.4</v>
      </c>
      <c r="F110" s="185">
        <v>-15.3</v>
      </c>
      <c r="G110" s="185">
        <v>-24.9</v>
      </c>
      <c r="H110" s="185">
        <v>-2.9</v>
      </c>
      <c r="I110" s="185">
        <v>-12.5</v>
      </c>
      <c r="J110" s="185">
        <v>4.7</v>
      </c>
      <c r="K110" s="185">
        <v>21.1</v>
      </c>
      <c r="L110" s="185">
        <v>25.8</v>
      </c>
      <c r="M110" s="185">
        <v>20.7</v>
      </c>
      <c r="N110" s="185">
        <v>35.700000000000003</v>
      </c>
      <c r="O110" s="185">
        <v>30.3</v>
      </c>
      <c r="P110" s="185">
        <v>7.4</v>
      </c>
      <c r="Q110" s="185">
        <v>3.9</v>
      </c>
      <c r="R110" s="185">
        <v>-2.1</v>
      </c>
      <c r="S110" s="185">
        <v>5</v>
      </c>
      <c r="T110" s="185">
        <v>8.3000000000000007</v>
      </c>
      <c r="U110" s="185">
        <v>-4.3</v>
      </c>
      <c r="V110" s="185">
        <v>22.5</v>
      </c>
      <c r="W110" s="185">
        <v>22.6</v>
      </c>
      <c r="X110" s="185">
        <v>22.3</v>
      </c>
      <c r="Y110" s="185">
        <v>42.8</v>
      </c>
      <c r="Z110" s="185">
        <v>37</v>
      </c>
      <c r="AA110" s="185">
        <v>30.9</v>
      </c>
      <c r="AB110" s="185">
        <v>29.1</v>
      </c>
      <c r="AC110" s="185">
        <v>26.9</v>
      </c>
      <c r="AD110" s="185">
        <v>26.9</v>
      </c>
      <c r="AE110" s="185">
        <v>-7.5</v>
      </c>
      <c r="AF110" s="185">
        <v>-20</v>
      </c>
      <c r="AG110" s="121">
        <v>240</v>
      </c>
      <c r="AH110" s="52">
        <f t="shared" si="11"/>
        <v>42.8</v>
      </c>
      <c r="AI110" s="53">
        <f t="shared" si="12"/>
        <v>-28.5</v>
      </c>
    </row>
    <row r="111" spans="1:88" x14ac:dyDescent="0.25">
      <c r="A111" s="110" t="s">
        <v>115</v>
      </c>
      <c r="B111" s="185">
        <v>-64</v>
      </c>
      <c r="C111" s="185">
        <v>-52</v>
      </c>
      <c r="D111" s="185">
        <v>-49</v>
      </c>
      <c r="E111" s="185">
        <v>-50</v>
      </c>
      <c r="F111" s="185">
        <v>-53</v>
      </c>
      <c r="G111" s="185">
        <v>-34</v>
      </c>
      <c r="H111" s="185">
        <v>-37</v>
      </c>
      <c r="I111" s="185">
        <v>0</v>
      </c>
      <c r="J111" s="185">
        <v>4.0999999999999996</v>
      </c>
      <c r="K111" s="185">
        <v>10</v>
      </c>
      <c r="L111" s="185">
        <v>20</v>
      </c>
      <c r="M111" s="185">
        <v>32</v>
      </c>
      <c r="N111" s="185">
        <v>8</v>
      </c>
      <c r="O111" s="185">
        <v>-12</v>
      </c>
      <c r="P111" s="185">
        <v>-1.2</v>
      </c>
      <c r="Q111" s="185">
        <v>-33.9</v>
      </c>
      <c r="R111" s="185">
        <v>-0.4</v>
      </c>
      <c r="S111" s="185">
        <v>-42</v>
      </c>
      <c r="T111" s="185">
        <v>-41.4</v>
      </c>
      <c r="U111" s="185">
        <v>-30</v>
      </c>
      <c r="V111" s="185">
        <v>-6.1</v>
      </c>
      <c r="W111" s="185">
        <v>0.3</v>
      </c>
      <c r="X111" s="185">
        <v>30</v>
      </c>
      <c r="Y111" s="185">
        <v>35</v>
      </c>
      <c r="Z111" s="185">
        <v>27.9</v>
      </c>
      <c r="AA111" s="185">
        <v>21.1</v>
      </c>
      <c r="AB111" s="185">
        <v>9</v>
      </c>
      <c r="AC111" s="185">
        <v>-28</v>
      </c>
      <c r="AD111" s="185">
        <v>-28</v>
      </c>
      <c r="AE111" s="185">
        <v>-35</v>
      </c>
      <c r="AF111" s="185">
        <v>-42</v>
      </c>
      <c r="AG111" s="121">
        <v>240</v>
      </c>
      <c r="AH111" s="52">
        <f t="shared" si="11"/>
        <v>35</v>
      </c>
      <c r="AI111" s="53">
        <f t="shared" si="12"/>
        <v>-64</v>
      </c>
    </row>
    <row r="112" spans="1:88" x14ac:dyDescent="0.25">
      <c r="A112" s="110" t="s">
        <v>116</v>
      </c>
      <c r="B112" s="185">
        <v>-2.6</v>
      </c>
      <c r="C112" s="185">
        <v>-1.5</v>
      </c>
      <c r="D112" s="185">
        <v>-0.9</v>
      </c>
      <c r="E112" s="185">
        <v>-3.9</v>
      </c>
      <c r="F112" s="185">
        <v>-2.1</v>
      </c>
      <c r="G112" s="185">
        <v>1</v>
      </c>
      <c r="H112" s="185">
        <v>1.1000000000000001</v>
      </c>
      <c r="I112" s="185">
        <v>8.4</v>
      </c>
      <c r="J112" s="185">
        <v>11.4</v>
      </c>
      <c r="K112" s="185">
        <v>13.9</v>
      </c>
      <c r="L112" s="185">
        <v>17.100000000000001</v>
      </c>
      <c r="M112" s="185">
        <v>18.3</v>
      </c>
      <c r="N112" s="185">
        <v>10.199999999999999</v>
      </c>
      <c r="O112" s="185">
        <v>34.1</v>
      </c>
      <c r="P112" s="185">
        <v>37.6</v>
      </c>
      <c r="Q112" s="185">
        <v>37.5</v>
      </c>
      <c r="R112" s="185">
        <v>39.200000000000003</v>
      </c>
      <c r="S112" s="185">
        <v>42.1</v>
      </c>
      <c r="T112" s="185">
        <v>41.8</v>
      </c>
      <c r="U112" s="185">
        <v>45.5</v>
      </c>
      <c r="V112" s="185">
        <v>32.9</v>
      </c>
      <c r="W112" s="185">
        <v>34</v>
      </c>
      <c r="X112" s="185">
        <v>28.3</v>
      </c>
      <c r="Y112" s="185">
        <v>30.7</v>
      </c>
      <c r="Z112" s="185">
        <v>36.5</v>
      </c>
      <c r="AA112" s="185">
        <v>31.7</v>
      </c>
      <c r="AB112" s="185">
        <v>24.4</v>
      </c>
      <c r="AC112" s="185">
        <v>12.3</v>
      </c>
      <c r="AD112" s="185">
        <v>12.3</v>
      </c>
      <c r="AE112" s="185">
        <v>17.600000000000001</v>
      </c>
      <c r="AF112" s="185">
        <v>-3.7</v>
      </c>
      <c r="AG112" s="121">
        <v>60</v>
      </c>
      <c r="AH112" s="52">
        <f t="shared" si="11"/>
        <v>45.5</v>
      </c>
      <c r="AI112" s="53">
        <f t="shared" si="12"/>
        <v>-3.9</v>
      </c>
    </row>
    <row r="113" spans="1:37" x14ac:dyDescent="0.25">
      <c r="A113" s="123" t="s">
        <v>117</v>
      </c>
      <c r="B113" s="124">
        <v>96.3</v>
      </c>
      <c r="C113" s="124">
        <v>98.4</v>
      </c>
      <c r="D113" s="124">
        <v>90.2</v>
      </c>
      <c r="E113" s="124">
        <v>93</v>
      </c>
      <c r="F113" s="124">
        <v>86.1</v>
      </c>
      <c r="G113" s="124">
        <v>98.1</v>
      </c>
      <c r="H113" s="124">
        <v>91.4</v>
      </c>
      <c r="I113" s="124">
        <v>108</v>
      </c>
      <c r="J113" s="124">
        <v>114.3</v>
      </c>
      <c r="K113" s="124">
        <v>100</v>
      </c>
      <c r="L113" s="124">
        <v>108.1</v>
      </c>
      <c r="M113" s="124">
        <v>110.2</v>
      </c>
      <c r="N113" s="124">
        <v>88.6</v>
      </c>
      <c r="O113" s="124">
        <v>99.7</v>
      </c>
      <c r="P113" s="124">
        <v>106.3</v>
      </c>
      <c r="Q113" s="124">
        <v>97.3</v>
      </c>
      <c r="R113" s="124">
        <v>103.8</v>
      </c>
      <c r="S113" s="124">
        <v>100.4</v>
      </c>
      <c r="T113" s="124">
        <v>101</v>
      </c>
      <c r="U113" s="124">
        <v>105.4</v>
      </c>
      <c r="V113" s="124">
        <v>104.9</v>
      </c>
      <c r="W113" s="124">
        <v>94.8</v>
      </c>
      <c r="X113" s="124">
        <v>99.6</v>
      </c>
      <c r="Y113" s="124">
        <v>98</v>
      </c>
      <c r="Z113" s="124">
        <v>93.6</v>
      </c>
      <c r="AA113" s="124">
        <v>113</v>
      </c>
      <c r="AB113" s="124">
        <v>91.5</v>
      </c>
      <c r="AC113" s="124">
        <v>105.6</v>
      </c>
      <c r="AD113" s="124">
        <v>105.6</v>
      </c>
      <c r="AE113" s="124">
        <v>95.5</v>
      </c>
      <c r="AF113" s="124">
        <v>109.4</v>
      </c>
      <c r="AG113" s="125">
        <v>120</v>
      </c>
      <c r="AH113" s="52">
        <f t="shared" si="11"/>
        <v>114.3</v>
      </c>
      <c r="AI113" s="53">
        <f t="shared" si="12"/>
        <v>86.1</v>
      </c>
    </row>
    <row r="114" spans="1:37" x14ac:dyDescent="0.25">
      <c r="A114" s="123" t="s">
        <v>118</v>
      </c>
      <c r="B114" s="124">
        <v>88.9</v>
      </c>
      <c r="C114" s="124">
        <v>104</v>
      </c>
      <c r="D114" s="124">
        <v>96.6</v>
      </c>
      <c r="E114" s="124">
        <v>102</v>
      </c>
      <c r="F114" s="124">
        <v>96.3</v>
      </c>
      <c r="G114" s="124">
        <v>101.8</v>
      </c>
      <c r="H114" s="124">
        <v>97</v>
      </c>
      <c r="I114" s="124">
        <v>100</v>
      </c>
      <c r="J114" s="124">
        <v>102.5</v>
      </c>
      <c r="K114" s="124">
        <v>90</v>
      </c>
      <c r="L114" s="124">
        <v>84</v>
      </c>
      <c r="M114" s="124">
        <v>100.2</v>
      </c>
      <c r="N114" s="124">
        <v>82.5</v>
      </c>
      <c r="O114" s="124">
        <v>91.8</v>
      </c>
      <c r="P114" s="124">
        <v>96</v>
      </c>
      <c r="Q114" s="124">
        <v>94.8</v>
      </c>
      <c r="R114" s="124">
        <v>100.8</v>
      </c>
      <c r="S114" s="124">
        <v>104.3</v>
      </c>
      <c r="T114" s="124">
        <v>102</v>
      </c>
      <c r="U114" s="124">
        <v>101.7</v>
      </c>
      <c r="V114" s="124">
        <v>96.2</v>
      </c>
      <c r="W114" s="124">
        <v>81.7</v>
      </c>
      <c r="X114" s="124">
        <v>92.3</v>
      </c>
      <c r="Y114" s="124">
        <v>92.2</v>
      </c>
      <c r="Z114" s="124">
        <v>98.5</v>
      </c>
      <c r="AA114" s="124">
        <v>91.5</v>
      </c>
      <c r="AB114" s="124">
        <v>94.3</v>
      </c>
      <c r="AC114" s="124">
        <v>97.9</v>
      </c>
      <c r="AD114" s="124">
        <v>97.9</v>
      </c>
      <c r="AE114" s="124">
        <v>90.3</v>
      </c>
      <c r="AF114" s="124">
        <v>108</v>
      </c>
      <c r="AG114" s="125"/>
      <c r="AH114" s="52">
        <f t="shared" si="11"/>
        <v>108</v>
      </c>
      <c r="AI114" s="53">
        <f t="shared" si="12"/>
        <v>81.7</v>
      </c>
    </row>
    <row r="115" spans="1:37" x14ac:dyDescent="0.25">
      <c r="A115" s="123" t="s">
        <v>119</v>
      </c>
      <c r="B115" s="124">
        <v>52.4</v>
      </c>
      <c r="C115" s="124">
        <v>42.5</v>
      </c>
      <c r="D115" s="124">
        <v>47.7</v>
      </c>
      <c r="E115" s="124">
        <v>51</v>
      </c>
      <c r="F115" s="124">
        <v>46.1</v>
      </c>
      <c r="G115" s="124">
        <v>50.6</v>
      </c>
      <c r="H115" s="124">
        <v>47.9</v>
      </c>
      <c r="I115" s="124">
        <v>44.4</v>
      </c>
      <c r="J115" s="124">
        <v>41.4</v>
      </c>
      <c r="K115" s="124">
        <v>42.4</v>
      </c>
      <c r="L115" s="124">
        <v>45.5</v>
      </c>
      <c r="M115" s="124">
        <v>28.1</v>
      </c>
      <c r="N115" s="124"/>
      <c r="O115" s="124"/>
      <c r="P115" s="124">
        <v>32.6</v>
      </c>
      <c r="Q115" s="124"/>
      <c r="R115" s="124">
        <v>41</v>
      </c>
      <c r="S115" s="124">
        <v>35.799999999999997</v>
      </c>
      <c r="T115" s="124"/>
      <c r="U115" s="124">
        <v>42.3</v>
      </c>
      <c r="V115" s="124">
        <v>15.2</v>
      </c>
      <c r="W115" s="124">
        <v>21.7</v>
      </c>
      <c r="X115" s="124"/>
      <c r="Y115" s="124"/>
      <c r="Z115" s="124">
        <v>20.5</v>
      </c>
      <c r="AA115" s="124"/>
      <c r="AB115" s="124"/>
      <c r="AC115" s="124"/>
      <c r="AD115" s="124"/>
      <c r="AE115" s="124"/>
      <c r="AF115" s="124"/>
      <c r="AG115" s="126"/>
      <c r="AH115" s="52">
        <f t="shared" si="11"/>
        <v>52.4</v>
      </c>
      <c r="AI115" s="53">
        <f t="shared" si="12"/>
        <v>15.2</v>
      </c>
    </row>
    <row r="116" spans="1:37" x14ac:dyDescent="0.25">
      <c r="A116" s="127" t="s">
        <v>120</v>
      </c>
      <c r="B116" s="113">
        <v>63</v>
      </c>
      <c r="C116" s="113">
        <v>64</v>
      </c>
      <c r="D116" s="113">
        <v>64</v>
      </c>
      <c r="E116" s="113">
        <v>62</v>
      </c>
      <c r="F116" s="113">
        <v>58</v>
      </c>
      <c r="G116" s="113">
        <v>55</v>
      </c>
      <c r="H116" s="113">
        <v>46</v>
      </c>
      <c r="I116" s="113">
        <v>40</v>
      </c>
      <c r="J116" s="113">
        <v>38</v>
      </c>
      <c r="K116" s="113">
        <v>34</v>
      </c>
      <c r="L116" s="113">
        <v>29</v>
      </c>
      <c r="M116" s="113">
        <v>22.5</v>
      </c>
      <c r="N116" s="113">
        <v>54.8</v>
      </c>
      <c r="O116" s="113">
        <v>49.2</v>
      </c>
      <c r="P116" s="113">
        <v>49.7</v>
      </c>
      <c r="Q116" s="113">
        <v>19.3</v>
      </c>
      <c r="R116" s="113">
        <v>37</v>
      </c>
      <c r="S116" s="113">
        <v>24</v>
      </c>
      <c r="T116" s="113">
        <v>17</v>
      </c>
      <c r="U116" s="113">
        <v>15</v>
      </c>
      <c r="V116" s="113">
        <v>15</v>
      </c>
      <c r="W116" s="113">
        <v>14.9</v>
      </c>
      <c r="X116" s="113">
        <v>8.1999999999999993</v>
      </c>
      <c r="Y116" s="113">
        <v>-6.4</v>
      </c>
      <c r="Z116" s="113">
        <v>-6.5</v>
      </c>
      <c r="AA116" s="113">
        <v>-11.5</v>
      </c>
      <c r="AB116" s="113">
        <v>31</v>
      </c>
      <c r="AC116" s="113">
        <v>49</v>
      </c>
      <c r="AD116" s="113">
        <v>49</v>
      </c>
      <c r="AE116" s="113">
        <v>61.5</v>
      </c>
      <c r="AF116" s="113">
        <v>71</v>
      </c>
      <c r="AG116" s="126"/>
      <c r="AH116" s="52">
        <f t="shared" si="11"/>
        <v>71</v>
      </c>
      <c r="AI116" s="53">
        <f t="shared" si="12"/>
        <v>-11.5</v>
      </c>
    </row>
    <row r="117" spans="1:37" ht="15.75" thickBot="1" x14ac:dyDescent="0.3">
      <c r="A117" s="127" t="s">
        <v>121</v>
      </c>
      <c r="B117" s="113">
        <v>0.1</v>
      </c>
      <c r="C117" s="113">
        <v>2.2999999999999998</v>
      </c>
      <c r="D117" s="113">
        <v>4.5999999999999996</v>
      </c>
      <c r="E117" s="113">
        <v>7.7</v>
      </c>
      <c r="F117" s="113">
        <v>10.199999999999999</v>
      </c>
      <c r="G117" s="113">
        <v>8.6</v>
      </c>
      <c r="H117" s="113">
        <v>15.8</v>
      </c>
      <c r="I117" s="113">
        <v>22</v>
      </c>
      <c r="J117" s="113">
        <v>27.6</v>
      </c>
      <c r="K117" s="113">
        <v>38.299999999999997</v>
      </c>
      <c r="L117" s="113">
        <v>45.9</v>
      </c>
      <c r="M117" s="113">
        <v>47.3</v>
      </c>
      <c r="N117" s="113">
        <v>47.4</v>
      </c>
      <c r="O117" s="113">
        <v>51.3</v>
      </c>
      <c r="P117" s="113">
        <v>54.3</v>
      </c>
      <c r="Q117" s="113">
        <v>49.5</v>
      </c>
      <c r="R117" s="113">
        <v>50.1</v>
      </c>
      <c r="S117" s="113">
        <v>51.5</v>
      </c>
      <c r="T117" s="113">
        <v>55.7</v>
      </c>
      <c r="U117" s="113">
        <v>53.1</v>
      </c>
      <c r="V117" s="113">
        <v>52.8</v>
      </c>
      <c r="W117" s="113">
        <v>53.8</v>
      </c>
      <c r="X117" s="113">
        <v>56.3</v>
      </c>
      <c r="Y117" s="113">
        <v>75.8</v>
      </c>
      <c r="Z117" s="113">
        <v>89.1</v>
      </c>
      <c r="AA117" s="113">
        <v>78.5</v>
      </c>
      <c r="AB117" s="113">
        <v>40</v>
      </c>
      <c r="AC117" s="113">
        <v>35.200000000000003</v>
      </c>
      <c r="AD117" s="113">
        <v>35.200000000000003</v>
      </c>
      <c r="AE117" s="113">
        <v>25</v>
      </c>
      <c r="AF117" s="113">
        <v>21</v>
      </c>
      <c r="AG117" s="126"/>
      <c r="AH117" s="52">
        <f t="shared" si="11"/>
        <v>89.1</v>
      </c>
      <c r="AI117" s="53">
        <f t="shared" si="12"/>
        <v>0.1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19">SUM(B119:B223)</f>
        <v>0</v>
      </c>
      <c r="C224" s="144">
        <f t="shared" si="19"/>
        <v>0</v>
      </c>
      <c r="D224" s="144">
        <f t="shared" si="19"/>
        <v>0</v>
      </c>
      <c r="E224" s="144">
        <f t="shared" si="19"/>
        <v>0</v>
      </c>
      <c r="F224" s="144">
        <f t="shared" si="19"/>
        <v>0</v>
      </c>
      <c r="G224" s="144">
        <f t="shared" si="19"/>
        <v>0</v>
      </c>
      <c r="H224" s="144">
        <f t="shared" si="19"/>
        <v>0</v>
      </c>
      <c r="I224" s="144">
        <f t="shared" si="19"/>
        <v>0</v>
      </c>
      <c r="J224" s="144">
        <f t="shared" si="19"/>
        <v>0</v>
      </c>
      <c r="K224" s="144">
        <f t="shared" si="19"/>
        <v>0</v>
      </c>
      <c r="L224" s="144">
        <f t="shared" si="19"/>
        <v>0</v>
      </c>
      <c r="M224" s="144">
        <f t="shared" si="19"/>
        <v>0</v>
      </c>
      <c r="N224" s="144">
        <f t="shared" si="19"/>
        <v>0</v>
      </c>
      <c r="O224" s="144">
        <f t="shared" si="19"/>
        <v>0</v>
      </c>
      <c r="P224" s="144">
        <f t="shared" si="19"/>
        <v>0</v>
      </c>
      <c r="Q224" s="144">
        <f t="shared" si="19"/>
        <v>0</v>
      </c>
      <c r="R224" s="144">
        <f t="shared" si="19"/>
        <v>0</v>
      </c>
      <c r="S224" s="144">
        <f t="shared" si="19"/>
        <v>0</v>
      </c>
      <c r="T224" s="144">
        <f t="shared" si="19"/>
        <v>0</v>
      </c>
      <c r="U224" s="144">
        <f t="shared" si="19"/>
        <v>0</v>
      </c>
      <c r="V224" s="144">
        <f t="shared" si="19"/>
        <v>0</v>
      </c>
      <c r="W224" s="144">
        <f t="shared" si="19"/>
        <v>0</v>
      </c>
      <c r="X224" s="144">
        <f t="shared" si="19"/>
        <v>0</v>
      </c>
      <c r="Y224" s="144">
        <f t="shared" si="19"/>
        <v>0</v>
      </c>
      <c r="Z224" s="144">
        <f t="shared" si="19"/>
        <v>0</v>
      </c>
      <c r="AA224" s="144">
        <f t="shared" si="19"/>
        <v>0</v>
      </c>
      <c r="AB224" s="144">
        <f t="shared" si="19"/>
        <v>0</v>
      </c>
      <c r="AC224" s="144">
        <f t="shared" si="19"/>
        <v>0</v>
      </c>
      <c r="AD224" s="144">
        <f t="shared" si="19"/>
        <v>0</v>
      </c>
      <c r="AE224" s="144">
        <f t="shared" si="19"/>
        <v>0</v>
      </c>
      <c r="AF224" s="145">
        <f t="shared" si="19"/>
        <v>0</v>
      </c>
      <c r="AG224" s="146">
        <f t="shared" si="19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0">AF226</f>
        <v>0</v>
      </c>
      <c r="C226" s="149">
        <v>0.3</v>
      </c>
      <c r="D226" s="149">
        <f t="shared" ref="D226:P231" si="21">C226</f>
        <v>0.3</v>
      </c>
      <c r="E226" s="149">
        <f t="shared" si="21"/>
        <v>0.3</v>
      </c>
      <c r="F226" s="149">
        <f t="shared" si="21"/>
        <v>0.3</v>
      </c>
      <c r="G226" s="149">
        <f t="shared" si="21"/>
        <v>0.3</v>
      </c>
      <c r="H226" s="149">
        <f t="shared" si="21"/>
        <v>0.3</v>
      </c>
      <c r="I226" s="149">
        <f t="shared" si="21"/>
        <v>0.3</v>
      </c>
      <c r="J226" s="149">
        <f t="shared" si="21"/>
        <v>0.3</v>
      </c>
      <c r="K226" s="149">
        <f t="shared" si="21"/>
        <v>0.3</v>
      </c>
      <c r="L226" s="149">
        <f t="shared" si="21"/>
        <v>0.3</v>
      </c>
      <c r="M226" s="149">
        <f t="shared" si="21"/>
        <v>0.3</v>
      </c>
      <c r="N226" s="149">
        <f t="shared" si="21"/>
        <v>0.3</v>
      </c>
      <c r="O226" s="149">
        <f t="shared" si="21"/>
        <v>0.3</v>
      </c>
      <c r="P226" s="149">
        <f t="shared" si="2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0"/>
        <v>0</v>
      </c>
      <c r="C227" s="136">
        <v>0.4</v>
      </c>
      <c r="D227" s="136">
        <f t="shared" si="21"/>
        <v>0.4</v>
      </c>
      <c r="E227" s="136">
        <f t="shared" si="21"/>
        <v>0.4</v>
      </c>
      <c r="F227" s="136">
        <f t="shared" si="21"/>
        <v>0.4</v>
      </c>
      <c r="G227" s="136">
        <f t="shared" si="21"/>
        <v>0.4</v>
      </c>
      <c r="H227" s="136">
        <f t="shared" si="21"/>
        <v>0.4</v>
      </c>
      <c r="I227" s="136">
        <f t="shared" si="21"/>
        <v>0.4</v>
      </c>
      <c r="J227" s="136">
        <f t="shared" si="21"/>
        <v>0.4</v>
      </c>
      <c r="K227" s="136">
        <f t="shared" si="21"/>
        <v>0.4</v>
      </c>
      <c r="L227" s="136">
        <f t="shared" si="21"/>
        <v>0.4</v>
      </c>
      <c r="M227" s="136">
        <f t="shared" si="21"/>
        <v>0.4</v>
      </c>
      <c r="N227" s="136">
        <f t="shared" si="21"/>
        <v>0.4</v>
      </c>
      <c r="O227" s="136">
        <f t="shared" si="21"/>
        <v>0.4</v>
      </c>
      <c r="P227" s="136">
        <f t="shared" si="2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0"/>
        <v>0</v>
      </c>
      <c r="C228" s="136">
        <v>1.5</v>
      </c>
      <c r="D228" s="136">
        <f t="shared" si="21"/>
        <v>1.5</v>
      </c>
      <c r="E228" s="136">
        <f t="shared" si="21"/>
        <v>1.5</v>
      </c>
      <c r="F228" s="136">
        <f t="shared" si="21"/>
        <v>1.5</v>
      </c>
      <c r="G228" s="136">
        <f t="shared" si="21"/>
        <v>1.5</v>
      </c>
      <c r="H228" s="136">
        <f t="shared" si="2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1"/>
        <v>1.5</v>
      </c>
      <c r="K228" s="136">
        <f t="shared" ca="1" si="21"/>
        <v>1.5</v>
      </c>
      <c r="L228" s="136">
        <f t="shared" ca="1" si="21"/>
        <v>1.5</v>
      </c>
      <c r="M228" s="136">
        <f t="shared" ca="1" si="21"/>
        <v>1.5</v>
      </c>
      <c r="N228" s="136">
        <f t="shared" ca="1" si="21"/>
        <v>1.5</v>
      </c>
      <c r="O228" s="136">
        <f t="shared" ca="1" si="21"/>
        <v>1.5</v>
      </c>
      <c r="P228" s="136">
        <f t="shared" ca="1" si="2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0"/>
        <v>0</v>
      </c>
      <c r="C229" s="136">
        <v>0.3</v>
      </c>
      <c r="D229" s="136">
        <f t="shared" si="21"/>
        <v>0.3</v>
      </c>
      <c r="E229" s="136">
        <f t="shared" si="21"/>
        <v>0.3</v>
      </c>
      <c r="F229" s="136">
        <f t="shared" si="21"/>
        <v>0.3</v>
      </c>
      <c r="G229" s="136">
        <f t="shared" si="21"/>
        <v>0.3</v>
      </c>
      <c r="H229" s="136">
        <f t="shared" si="21"/>
        <v>0.3</v>
      </c>
      <c r="I229" s="136">
        <f t="shared" si="21"/>
        <v>0.3</v>
      </c>
      <c r="J229" s="136">
        <f t="shared" si="21"/>
        <v>0.3</v>
      </c>
      <c r="K229" s="136">
        <f t="shared" si="21"/>
        <v>0.3</v>
      </c>
      <c r="L229" s="136">
        <f t="shared" si="21"/>
        <v>0.3</v>
      </c>
      <c r="M229" s="136">
        <f t="shared" si="21"/>
        <v>0.3</v>
      </c>
      <c r="N229" s="136">
        <f t="shared" si="21"/>
        <v>0.3</v>
      </c>
      <c r="O229" s="136">
        <f t="shared" si="21"/>
        <v>0.3</v>
      </c>
      <c r="P229" s="136">
        <f t="shared" si="2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0"/>
        <v>0</v>
      </c>
      <c r="C230" s="136">
        <v>0.4</v>
      </c>
      <c r="D230" s="136">
        <f t="shared" si="21"/>
        <v>0.4</v>
      </c>
      <c r="E230" s="136">
        <f t="shared" si="21"/>
        <v>0.4</v>
      </c>
      <c r="F230" s="136">
        <f t="shared" si="21"/>
        <v>0.4</v>
      </c>
      <c r="G230" s="136">
        <f t="shared" si="21"/>
        <v>0.4</v>
      </c>
      <c r="H230" s="136">
        <f t="shared" si="21"/>
        <v>0.4</v>
      </c>
      <c r="I230" s="136">
        <f t="shared" si="21"/>
        <v>0.4</v>
      </c>
      <c r="J230" s="136">
        <f t="shared" si="21"/>
        <v>0.4</v>
      </c>
      <c r="K230" s="136">
        <f t="shared" si="21"/>
        <v>0.4</v>
      </c>
      <c r="L230" s="136">
        <f t="shared" si="21"/>
        <v>0.4</v>
      </c>
      <c r="M230" s="136">
        <f t="shared" si="21"/>
        <v>0.4</v>
      </c>
      <c r="N230" s="136">
        <f t="shared" si="21"/>
        <v>0.4</v>
      </c>
      <c r="O230" s="136">
        <f t="shared" si="21"/>
        <v>0.4</v>
      </c>
      <c r="P230" s="136">
        <f t="shared" si="2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0"/>
        <v>0</v>
      </c>
      <c r="C231" s="140">
        <v>0.64</v>
      </c>
      <c r="D231" s="140">
        <f t="shared" si="21"/>
        <v>0.64</v>
      </c>
      <c r="E231" s="140">
        <f t="shared" si="21"/>
        <v>0.64</v>
      </c>
      <c r="F231" s="140">
        <f t="shared" si="21"/>
        <v>0.64</v>
      </c>
      <c r="G231" s="140">
        <f t="shared" si="21"/>
        <v>0.64</v>
      </c>
      <c r="H231" s="140">
        <f t="shared" si="21"/>
        <v>0.64</v>
      </c>
      <c r="I231" s="140">
        <f t="shared" si="21"/>
        <v>0.64</v>
      </c>
      <c r="J231" s="140">
        <f t="shared" si="21"/>
        <v>0.64</v>
      </c>
      <c r="K231" s="140">
        <f t="shared" si="21"/>
        <v>0.64</v>
      </c>
      <c r="L231" s="140">
        <f t="shared" si="21"/>
        <v>0.64</v>
      </c>
      <c r="M231" s="140">
        <f t="shared" si="21"/>
        <v>0.64</v>
      </c>
      <c r="N231" s="140">
        <f t="shared" si="21"/>
        <v>0.64</v>
      </c>
      <c r="O231" s="140">
        <f t="shared" si="21"/>
        <v>0.64</v>
      </c>
      <c r="P231" s="140">
        <f t="shared" si="2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2">SUM(B226:B231)</f>
        <v>0</v>
      </c>
      <c r="C232" s="144">
        <f t="shared" si="22"/>
        <v>3.54</v>
      </c>
      <c r="D232" s="144">
        <f t="shared" si="22"/>
        <v>3.54</v>
      </c>
      <c r="E232" s="144">
        <f t="shared" si="22"/>
        <v>3.54</v>
      </c>
      <c r="F232" s="144">
        <f t="shared" si="22"/>
        <v>3.54</v>
      </c>
      <c r="G232" s="144">
        <f t="shared" si="22"/>
        <v>3.54</v>
      </c>
      <c r="H232" s="144">
        <f t="shared" si="22"/>
        <v>3.54</v>
      </c>
      <c r="I232" s="144">
        <f t="shared" ca="1" si="22"/>
        <v>3.54</v>
      </c>
      <c r="J232" s="144">
        <f t="shared" ca="1" si="22"/>
        <v>3.54</v>
      </c>
      <c r="K232" s="144">
        <f t="shared" ca="1" si="22"/>
        <v>3.54</v>
      </c>
      <c r="L232" s="144">
        <f t="shared" ca="1" si="22"/>
        <v>3.54</v>
      </c>
      <c r="M232" s="144">
        <f t="shared" ca="1" si="22"/>
        <v>3.54</v>
      </c>
      <c r="N232" s="144">
        <f t="shared" ca="1" si="22"/>
        <v>3.54</v>
      </c>
      <c r="O232" s="144">
        <f t="shared" ca="1" si="22"/>
        <v>3.54</v>
      </c>
      <c r="P232" s="144">
        <f t="shared" ca="1" si="22"/>
        <v>3.54</v>
      </c>
      <c r="Q232" s="144">
        <f t="shared" si="22"/>
        <v>0</v>
      </c>
      <c r="R232" s="144">
        <f t="shared" si="22"/>
        <v>0</v>
      </c>
      <c r="S232" s="144">
        <f t="shared" si="22"/>
        <v>0</v>
      </c>
      <c r="T232" s="144">
        <f t="shared" si="22"/>
        <v>0</v>
      </c>
      <c r="U232" s="144">
        <f t="shared" si="22"/>
        <v>0</v>
      </c>
      <c r="V232" s="144">
        <f t="shared" si="22"/>
        <v>0</v>
      </c>
      <c r="W232" s="144">
        <f t="shared" si="22"/>
        <v>0</v>
      </c>
      <c r="X232" s="144">
        <f t="shared" si="22"/>
        <v>0</v>
      </c>
      <c r="Y232" s="144">
        <f t="shared" si="22"/>
        <v>0</v>
      </c>
      <c r="Z232" s="144">
        <f t="shared" si="22"/>
        <v>0</v>
      </c>
      <c r="AA232" s="144">
        <f t="shared" si="22"/>
        <v>0</v>
      </c>
      <c r="AB232" s="144">
        <f t="shared" si="22"/>
        <v>0</v>
      </c>
      <c r="AC232" s="144">
        <f t="shared" si="22"/>
        <v>0</v>
      </c>
      <c r="AD232" s="144">
        <f t="shared" si="22"/>
        <v>0</v>
      </c>
      <c r="AE232" s="144">
        <f t="shared" si="22"/>
        <v>0</v>
      </c>
      <c r="AF232" s="144">
        <f t="shared" si="22"/>
        <v>0</v>
      </c>
      <c r="AG232" s="154">
        <f t="shared" si="2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1256.1750000000002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19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2079/12/19)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2079/12/19)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3">B89</f>
        <v>856.6400000000001</v>
      </c>
      <c r="U246" s="180">
        <f t="shared" si="23"/>
        <v>837.54</v>
      </c>
      <c r="V246" s="180">
        <f t="shared" si="23"/>
        <v>852.04000000000008</v>
      </c>
      <c r="W246" s="180">
        <f t="shared" si="23"/>
        <v>860.04000000000008</v>
      </c>
      <c r="X246" s="180">
        <f t="shared" si="23"/>
        <v>864.84000000000015</v>
      </c>
      <c r="Y246" s="180">
        <f t="shared" si="23"/>
        <v>918.54000000000019</v>
      </c>
      <c r="Z246" s="180">
        <f t="shared" si="23"/>
        <v>995.1400000000001</v>
      </c>
      <c r="AA246" s="180">
        <f t="shared" si="23"/>
        <v>1033.8400000000001</v>
      </c>
      <c r="AB246" s="180">
        <f t="shared" si="23"/>
        <v>1133.1399999999999</v>
      </c>
      <c r="AC246" s="180">
        <f t="shared" si="23"/>
        <v>1237.04</v>
      </c>
      <c r="AD246" s="180">
        <f t="shared" si="23"/>
        <v>1245.6399999999999</v>
      </c>
      <c r="AE246" s="180">
        <f t="shared" si="23"/>
        <v>1256.1750000000002</v>
      </c>
      <c r="AF246" s="180">
        <f t="shared" si="23"/>
        <v>1192.3400000000001</v>
      </c>
      <c r="AG246" s="180">
        <f t="shared" si="23"/>
        <v>1205.99</v>
      </c>
      <c r="AH246" s="180">
        <f t="shared" si="23"/>
        <v>1216.74</v>
      </c>
      <c r="AI246" s="180">
        <f t="shared" si="23"/>
        <v>1258.44</v>
      </c>
      <c r="AJ246" s="180">
        <f t="shared" si="23"/>
        <v>1194.3400000000001</v>
      </c>
      <c r="AK246" s="180">
        <f t="shared" si="23"/>
        <v>1218.04</v>
      </c>
      <c r="AL246" s="180">
        <f t="shared" si="23"/>
        <v>1249.04</v>
      </c>
      <c r="AM246" s="180">
        <f t="shared" si="23"/>
        <v>1190.8399999999999</v>
      </c>
      <c r="AN246" s="180">
        <f t="shared" si="23"/>
        <v>1132.74</v>
      </c>
      <c r="AO246" s="180">
        <f t="shared" si="23"/>
        <v>1131.1399999999999</v>
      </c>
      <c r="AP246" s="180">
        <f t="shared" si="23"/>
        <v>1193.74</v>
      </c>
      <c r="AQ246" s="180">
        <f t="shared" si="23"/>
        <v>1334.84</v>
      </c>
      <c r="AR246" s="180">
        <f t="shared" si="23"/>
        <v>1436.64</v>
      </c>
      <c r="AS246" s="180">
        <f t="shared" si="23"/>
        <v>1399.14</v>
      </c>
      <c r="AT246" s="180">
        <f t="shared" si="23"/>
        <v>1257.7399999999998</v>
      </c>
      <c r="AU246" s="180">
        <f t="shared" si="23"/>
        <v>1237.44</v>
      </c>
      <c r="AV246" s="180">
        <f t="shared" si="23"/>
        <v>1172.44</v>
      </c>
      <c r="AW246" s="180">
        <f t="shared" si="23"/>
        <v>1060.3399999999999</v>
      </c>
      <c r="AX246" s="180">
        <f t="shared" si="23"/>
        <v>988.94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4">C231</f>
        <v>0.64</v>
      </c>
      <c r="C267" s="183">
        <f t="shared" si="24"/>
        <v>0.64</v>
      </c>
      <c r="D267" s="183">
        <f t="shared" si="24"/>
        <v>0.64</v>
      </c>
      <c r="E267" s="183">
        <f t="shared" si="24"/>
        <v>0.64</v>
      </c>
      <c r="F267" s="183">
        <f t="shared" si="24"/>
        <v>0.64</v>
      </c>
      <c r="G267" s="183">
        <f t="shared" si="24"/>
        <v>0.64</v>
      </c>
      <c r="H267" s="183">
        <f t="shared" si="24"/>
        <v>0.64</v>
      </c>
      <c r="I267" s="183">
        <f t="shared" si="24"/>
        <v>0.64</v>
      </c>
      <c r="J267" s="183">
        <f t="shared" si="24"/>
        <v>0.64</v>
      </c>
      <c r="K267" s="183">
        <f t="shared" si="24"/>
        <v>0.64</v>
      </c>
      <c r="L267" s="183">
        <f t="shared" si="24"/>
        <v>0.64</v>
      </c>
      <c r="M267" s="183">
        <f t="shared" si="24"/>
        <v>0.64</v>
      </c>
      <c r="N267" s="183">
        <f t="shared" si="24"/>
        <v>0.64</v>
      </c>
      <c r="O267" s="183">
        <f t="shared" si="24"/>
        <v>0.64</v>
      </c>
      <c r="P267" s="183">
        <f t="shared" si="24"/>
        <v>0</v>
      </c>
      <c r="Q267" s="183">
        <f t="shared" si="24"/>
        <v>0</v>
      </c>
      <c r="R267" s="183">
        <f t="shared" si="24"/>
        <v>0</v>
      </c>
      <c r="S267" s="183">
        <f t="shared" si="24"/>
        <v>0</v>
      </c>
      <c r="T267" s="183">
        <f t="shared" si="24"/>
        <v>0</v>
      </c>
      <c r="U267" s="183">
        <f t="shared" si="24"/>
        <v>0</v>
      </c>
      <c r="V267" s="183">
        <f t="shared" si="24"/>
        <v>0</v>
      </c>
      <c r="W267" s="183">
        <f t="shared" si="24"/>
        <v>0</v>
      </c>
      <c r="X267" s="183">
        <f t="shared" si="24"/>
        <v>0</v>
      </c>
      <c r="Y267" s="183">
        <f t="shared" si="24"/>
        <v>0</v>
      </c>
      <c r="Z267" s="183">
        <f t="shared" si="24"/>
        <v>0</v>
      </c>
      <c r="AA267" s="183">
        <f t="shared" si="24"/>
        <v>0</v>
      </c>
      <c r="AB267" s="183">
        <f t="shared" si="24"/>
        <v>0</v>
      </c>
      <c r="AC267" s="183">
        <f t="shared" si="24"/>
        <v>0</v>
      </c>
      <c r="AD267" s="183">
        <f t="shared" si="24"/>
        <v>0</v>
      </c>
      <c r="AE267" s="183">
        <f t="shared" si="2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5">IF(B235&lt;100,"",B235-520)</f>
        <v/>
      </c>
      <c r="C268" s="184" t="str">
        <f t="shared" si="25"/>
        <v/>
      </c>
      <c r="D268" s="184" t="str">
        <f t="shared" si="25"/>
        <v/>
      </c>
      <c r="E268" s="184" t="str">
        <f t="shared" si="25"/>
        <v/>
      </c>
      <c r="F268" s="184" t="str">
        <f t="shared" si="25"/>
        <v/>
      </c>
      <c r="G268" s="184" t="str">
        <f t="shared" si="25"/>
        <v/>
      </c>
      <c r="H268" s="184" t="str">
        <f t="shared" si="25"/>
        <v/>
      </c>
      <c r="I268" s="184" t="str">
        <f t="shared" si="25"/>
        <v/>
      </c>
      <c r="J268" s="184" t="str">
        <f t="shared" si="25"/>
        <v/>
      </c>
      <c r="K268" s="184" t="str">
        <f t="shared" si="25"/>
        <v/>
      </c>
      <c r="L268" s="184" t="str">
        <f t="shared" si="25"/>
        <v/>
      </c>
      <c r="M268" s="184" t="str">
        <f t="shared" si="25"/>
        <v/>
      </c>
      <c r="N268" s="184" t="str">
        <f t="shared" si="25"/>
        <v/>
      </c>
      <c r="O268" s="184" t="str">
        <f t="shared" si="25"/>
        <v/>
      </c>
      <c r="P268" s="184" t="str">
        <f t="shared" si="25"/>
        <v/>
      </c>
      <c r="Q268" s="184" t="str">
        <f t="shared" si="25"/>
        <v/>
      </c>
      <c r="R268" s="184" t="str">
        <f t="shared" si="25"/>
        <v/>
      </c>
      <c r="S268" s="184" t="str">
        <f t="shared" si="25"/>
        <v/>
      </c>
      <c r="T268" s="184" t="str">
        <f t="shared" si="25"/>
        <v/>
      </c>
      <c r="U268" s="184" t="str">
        <f t="shared" si="25"/>
        <v/>
      </c>
      <c r="V268" s="184" t="str">
        <f t="shared" si="25"/>
        <v/>
      </c>
      <c r="W268" s="184" t="str">
        <f t="shared" si="25"/>
        <v/>
      </c>
      <c r="X268" s="184" t="str">
        <f t="shared" si="25"/>
        <v/>
      </c>
      <c r="Y268" s="184" t="str">
        <f t="shared" si="25"/>
        <v/>
      </c>
      <c r="Z268" s="184" t="str">
        <f t="shared" si="25"/>
        <v/>
      </c>
      <c r="AA268" s="184" t="str">
        <f t="shared" si="25"/>
        <v/>
      </c>
      <c r="AB268" s="184" t="str">
        <f t="shared" si="25"/>
        <v/>
      </c>
      <c r="AC268" s="184" t="str">
        <f t="shared" si="25"/>
        <v/>
      </c>
      <c r="AD268" s="184" t="str">
        <f t="shared" si="25"/>
        <v/>
      </c>
      <c r="AE268" s="184" t="str">
        <f t="shared" si="25"/>
        <v/>
      </c>
      <c r="AF268" s="184" t="str">
        <f t="shared" si="2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6">IF(B236&lt;100,"",B236-620)</f>
        <v/>
      </c>
      <c r="C269" s="184" t="str">
        <f t="shared" si="26"/>
        <v/>
      </c>
      <c r="D269" s="184" t="str">
        <f t="shared" si="26"/>
        <v/>
      </c>
      <c r="E269" s="184" t="str">
        <f t="shared" si="26"/>
        <v/>
      </c>
      <c r="F269" s="184" t="str">
        <f t="shared" si="26"/>
        <v/>
      </c>
      <c r="G269" s="184" t="str">
        <f t="shared" si="26"/>
        <v/>
      </c>
      <c r="H269" s="184" t="str">
        <f t="shared" si="26"/>
        <v/>
      </c>
      <c r="I269" s="184" t="str">
        <f t="shared" si="26"/>
        <v/>
      </c>
      <c r="J269" s="184" t="str">
        <f t="shared" si="26"/>
        <v/>
      </c>
      <c r="K269" s="184" t="str">
        <f t="shared" si="26"/>
        <v/>
      </c>
      <c r="L269" s="184" t="str">
        <f t="shared" si="26"/>
        <v/>
      </c>
      <c r="M269" s="184" t="str">
        <f t="shared" si="26"/>
        <v/>
      </c>
      <c r="N269" s="184" t="str">
        <f t="shared" si="26"/>
        <v/>
      </c>
      <c r="O269" s="184" t="str">
        <f t="shared" si="26"/>
        <v/>
      </c>
      <c r="P269" s="184" t="str">
        <f t="shared" si="26"/>
        <v/>
      </c>
      <c r="Q269" s="184" t="str">
        <f t="shared" si="26"/>
        <v/>
      </c>
      <c r="R269" s="184" t="str">
        <f t="shared" si="26"/>
        <v/>
      </c>
      <c r="S269" s="184" t="str">
        <f t="shared" si="26"/>
        <v/>
      </c>
      <c r="T269" s="184" t="str">
        <f t="shared" si="26"/>
        <v/>
      </c>
      <c r="U269" s="184" t="str">
        <f t="shared" si="26"/>
        <v/>
      </c>
      <c r="V269" s="184" t="str">
        <f t="shared" si="26"/>
        <v/>
      </c>
      <c r="W269" s="184" t="str">
        <f t="shared" si="26"/>
        <v/>
      </c>
      <c r="X269" s="184" t="str">
        <f t="shared" si="26"/>
        <v/>
      </c>
      <c r="Y269" s="184" t="str">
        <f t="shared" si="26"/>
        <v/>
      </c>
      <c r="Z269" s="184" t="str">
        <f t="shared" si="26"/>
        <v/>
      </c>
      <c r="AA269" s="184" t="str">
        <f t="shared" si="26"/>
        <v/>
      </c>
      <c r="AB269" s="184" t="str">
        <f t="shared" si="26"/>
        <v/>
      </c>
      <c r="AC269" s="184" t="str">
        <f t="shared" si="26"/>
        <v/>
      </c>
      <c r="AD269" s="184" t="str">
        <f t="shared" si="26"/>
        <v/>
      </c>
      <c r="AE269" s="184" t="str">
        <f t="shared" si="26"/>
        <v/>
      </c>
      <c r="AF269" s="184" t="str">
        <f t="shared" si="2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7">IF(B237&lt;100,"",B237-330)</f>
        <v/>
      </c>
      <c r="C270" s="184" t="str">
        <f t="shared" si="27"/>
        <v/>
      </c>
      <c r="D270" s="184" t="str">
        <f t="shared" si="27"/>
        <v/>
      </c>
      <c r="E270" s="184" t="str">
        <f t="shared" si="27"/>
        <v/>
      </c>
      <c r="F270" s="184" t="str">
        <f t="shared" si="27"/>
        <v/>
      </c>
      <c r="G270" s="184" t="str">
        <f t="shared" si="27"/>
        <v/>
      </c>
      <c r="H270" s="184" t="str">
        <f t="shared" si="27"/>
        <v/>
      </c>
      <c r="I270" s="184" t="str">
        <f t="shared" si="27"/>
        <v/>
      </c>
      <c r="J270" s="184" t="str">
        <f t="shared" si="27"/>
        <v/>
      </c>
      <c r="K270" s="184" t="str">
        <f t="shared" si="27"/>
        <v/>
      </c>
      <c r="L270" s="184" t="str">
        <f t="shared" si="27"/>
        <v/>
      </c>
      <c r="M270" s="184" t="str">
        <f t="shared" si="27"/>
        <v/>
      </c>
      <c r="N270" s="184" t="str">
        <f t="shared" si="27"/>
        <v/>
      </c>
      <c r="O270" s="184" t="str">
        <f t="shared" si="27"/>
        <v/>
      </c>
      <c r="P270" s="184" t="str">
        <f t="shared" si="27"/>
        <v/>
      </c>
      <c r="Q270" s="184" t="str">
        <f t="shared" si="27"/>
        <v/>
      </c>
      <c r="R270" s="184" t="str">
        <f t="shared" si="27"/>
        <v/>
      </c>
      <c r="S270" s="184" t="str">
        <f t="shared" si="27"/>
        <v/>
      </c>
      <c r="T270" s="184" t="str">
        <f t="shared" si="27"/>
        <v/>
      </c>
      <c r="U270" s="184" t="str">
        <f t="shared" si="27"/>
        <v/>
      </c>
      <c r="V270" s="184" t="str">
        <f t="shared" si="27"/>
        <v/>
      </c>
      <c r="W270" s="184" t="str">
        <f t="shared" si="27"/>
        <v/>
      </c>
      <c r="X270" s="184" t="str">
        <f t="shared" si="27"/>
        <v/>
      </c>
      <c r="Y270" s="184" t="str">
        <f t="shared" si="27"/>
        <v/>
      </c>
      <c r="Z270" s="184" t="str">
        <f t="shared" si="27"/>
        <v/>
      </c>
      <c r="AA270" s="184" t="str">
        <f t="shared" si="27"/>
        <v/>
      </c>
      <c r="AB270" s="184" t="str">
        <f t="shared" si="27"/>
        <v/>
      </c>
      <c r="AC270" s="184" t="str">
        <f t="shared" si="27"/>
        <v/>
      </c>
      <c r="AD270" s="184" t="str">
        <f t="shared" si="27"/>
        <v/>
      </c>
      <c r="AE270" s="184" t="str">
        <f t="shared" si="27"/>
        <v/>
      </c>
      <c r="AF270" s="184" t="str">
        <f t="shared" si="2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8">IF(B238&lt;100,"",B238-1500)</f>
        <v/>
      </c>
      <c r="C271" s="184" t="str">
        <f t="shared" si="28"/>
        <v/>
      </c>
      <c r="D271" s="184" t="str">
        <f t="shared" si="28"/>
        <v/>
      </c>
      <c r="E271" s="184" t="str">
        <f t="shared" si="28"/>
        <v/>
      </c>
      <c r="F271" s="184" t="str">
        <f t="shared" si="28"/>
        <v/>
      </c>
      <c r="G271" s="184" t="str">
        <f t="shared" si="28"/>
        <v/>
      </c>
      <c r="H271" s="184" t="str">
        <f t="shared" si="28"/>
        <v/>
      </c>
      <c r="I271" s="184" t="str">
        <f t="shared" si="28"/>
        <v/>
      </c>
      <c r="J271" s="184" t="str">
        <f t="shared" si="28"/>
        <v/>
      </c>
      <c r="K271" s="184" t="str">
        <f t="shared" si="28"/>
        <v/>
      </c>
      <c r="L271" s="184" t="str">
        <f t="shared" si="28"/>
        <v/>
      </c>
      <c r="M271" s="184" t="str">
        <f t="shared" si="28"/>
        <v/>
      </c>
      <c r="N271" s="184" t="str">
        <f t="shared" si="28"/>
        <v/>
      </c>
      <c r="O271" s="184" t="str">
        <f t="shared" si="28"/>
        <v/>
      </c>
      <c r="P271" s="184" t="str">
        <f t="shared" si="28"/>
        <v/>
      </c>
      <c r="Q271" s="184" t="str">
        <f t="shared" si="28"/>
        <v/>
      </c>
      <c r="R271" s="184" t="str">
        <f t="shared" si="28"/>
        <v/>
      </c>
      <c r="S271" s="184" t="str">
        <f t="shared" si="28"/>
        <v/>
      </c>
      <c r="T271" s="184" t="str">
        <f t="shared" si="28"/>
        <v/>
      </c>
      <c r="U271" s="184" t="str">
        <f t="shared" si="28"/>
        <v/>
      </c>
      <c r="V271" s="184" t="str">
        <f t="shared" si="28"/>
        <v/>
      </c>
      <c r="W271" s="184" t="str">
        <f t="shared" si="28"/>
        <v/>
      </c>
      <c r="X271" s="184" t="str">
        <f t="shared" si="28"/>
        <v/>
      </c>
      <c r="Y271" s="184" t="str">
        <f t="shared" si="28"/>
        <v/>
      </c>
      <c r="Z271" s="184" t="str">
        <f t="shared" si="28"/>
        <v/>
      </c>
      <c r="AA271" s="184" t="str">
        <f t="shared" si="28"/>
        <v/>
      </c>
      <c r="AB271" s="184" t="str">
        <f t="shared" si="28"/>
        <v/>
      </c>
      <c r="AC271" s="184" t="str">
        <f t="shared" si="28"/>
        <v/>
      </c>
      <c r="AD271" s="184" t="str">
        <f t="shared" si="28"/>
        <v/>
      </c>
      <c r="AE271" s="184" t="str">
        <f t="shared" si="28"/>
        <v/>
      </c>
      <c r="AF271" s="184" t="str">
        <f t="shared" si="2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5332" priority="349">
      <formula>B$9&gt;=20/24</formula>
    </cfRule>
    <cfRule type="expression" dxfId="5331" priority="350">
      <formula>AND(B$9&gt;=14/24,B$9&lt;20/24)</formula>
    </cfRule>
    <cfRule type="expression" dxfId="5330" priority="351">
      <formula>AND(B$9&gt;=8/24,B$9&lt;14/24)</formula>
    </cfRule>
    <cfRule type="expression" dxfId="5329" priority="352">
      <formula>B$9&lt;8/24</formula>
    </cfRule>
  </conditionalFormatting>
  <conditionalFormatting sqref="AL4:AL6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5328" priority="34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5327" priority="346">
      <formula>$AH12=0</formula>
    </cfRule>
  </conditionalFormatting>
  <conditionalFormatting sqref="A114">
    <cfRule type="expression" dxfId="5326" priority="345">
      <formula>$AH114=0</formula>
    </cfRule>
  </conditionalFormatting>
  <conditionalFormatting sqref="AL42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5325" priority="343">
      <formula>$AH45=0</formula>
    </cfRule>
  </conditionalFormatting>
  <conditionalFormatting sqref="A98">
    <cfRule type="expression" dxfId="5324" priority="342">
      <formula>$AH98=0</formula>
    </cfRule>
  </conditionalFormatting>
  <conditionalFormatting sqref="A18">
    <cfRule type="expression" dxfId="5323" priority="341">
      <formula>$AH18=0</formula>
    </cfRule>
  </conditionalFormatting>
  <conditionalFormatting sqref="A196:A201">
    <cfRule type="expression" dxfId="5322" priority="340">
      <formula>$AH196=0</formula>
    </cfRule>
  </conditionalFormatting>
  <conditionalFormatting sqref="A190:A195">
    <cfRule type="expression" dxfId="5321" priority="339">
      <formula>$AH190=0</formula>
    </cfRule>
  </conditionalFormatting>
  <conditionalFormatting sqref="A58">
    <cfRule type="expression" dxfId="5320" priority="338">
      <formula>$AH58=0</formula>
    </cfRule>
  </conditionalFormatting>
  <conditionalFormatting sqref="A94">
    <cfRule type="expression" dxfId="5319" priority="337">
      <formula>$AH94=0</formula>
    </cfRule>
  </conditionalFormatting>
  <conditionalFormatting sqref="E99:X99 AE99:AF99">
    <cfRule type="expression" dxfId="5318" priority="333">
      <formula>E$9&gt;=20/24</formula>
    </cfRule>
    <cfRule type="expression" dxfId="5317" priority="334">
      <formula>AND(E$9&gt;=14/24,E$9&lt;20/24)</formula>
    </cfRule>
    <cfRule type="expression" dxfId="5316" priority="335">
      <formula>AND(E$9&gt;=8/24,E$9&lt;14/24)</formula>
    </cfRule>
    <cfRule type="expression" dxfId="5315" priority="336">
      <formula>E$9&lt;8/24</formula>
    </cfRule>
  </conditionalFormatting>
  <conditionalFormatting sqref="AL4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314" priority="355">
      <formula>C$9&gt;=20/24</formula>
    </cfRule>
    <cfRule type="expression" dxfId="5313" priority="356">
      <formula>AND(C$9&gt;=14/24,C$9&lt;20/24)</formula>
    </cfRule>
    <cfRule type="expression" dxfId="5312" priority="357">
      <formula>AND(C$9&gt;=8/24,C$9&lt;14/24)</formula>
    </cfRule>
    <cfRule type="expression" dxfId="5311" priority="358">
      <formula>C$9&lt;8/24</formula>
    </cfRule>
  </conditionalFormatting>
  <conditionalFormatting sqref="A233">
    <cfRule type="expression" dxfId="5310" priority="359">
      <formula>$AH233=0</formula>
    </cfRule>
  </conditionalFormatting>
  <conditionalFormatting sqref="AG245">
    <cfRule type="expression" dxfId="5309" priority="360">
      <formula>B$9&gt;=20/24</formula>
    </cfRule>
    <cfRule type="expression" dxfId="5308" priority="361">
      <formula>AND(B$9&gt;=14/24,B$9&lt;20/24)</formula>
    </cfRule>
    <cfRule type="expression" dxfId="5307" priority="362">
      <formula>AND(B$9&gt;=8/24,B$9&lt;14/24)</formula>
    </cfRule>
    <cfRule type="expression" dxfId="5306" priority="363">
      <formula>B$9&lt;8/24</formula>
    </cfRule>
  </conditionalFormatting>
  <conditionalFormatting sqref="S8">
    <cfRule type="expression" dxfId="5305" priority="328">
      <formula>U$9&gt;=20/24</formula>
    </cfRule>
    <cfRule type="expression" dxfId="5304" priority="329">
      <formula>AND(U$9&gt;=14/24,U$9&lt;20/24)</formula>
    </cfRule>
    <cfRule type="expression" dxfId="5303" priority="330">
      <formula>AND(U$9&gt;=8/24,U$9&lt;14/24)</formula>
    </cfRule>
    <cfRule type="expression" dxfId="5302" priority="331">
      <formula>U$9&lt;8/24</formula>
    </cfRule>
  </conditionalFormatting>
  <conditionalFormatting sqref="AB8">
    <cfRule type="expression" dxfId="5301" priority="324">
      <formula>AD$9&gt;=20/24</formula>
    </cfRule>
    <cfRule type="expression" dxfId="5300" priority="325">
      <formula>AND(AD$9&gt;=14/24,AD$9&lt;20/24)</formula>
    </cfRule>
    <cfRule type="expression" dxfId="5299" priority="326">
      <formula>AND(AD$9&gt;=8/24,AD$9&lt;14/24)</formula>
    </cfRule>
    <cfRule type="expression" dxfId="5298" priority="327">
      <formula>AD$9&lt;8/24</formula>
    </cfRule>
  </conditionalFormatting>
  <conditionalFormatting sqref="AH245:AX245">
    <cfRule type="expression" dxfId="5297" priority="364">
      <formula>AG$9&gt;=20/24</formula>
    </cfRule>
    <cfRule type="expression" dxfId="5296" priority="365">
      <formula>AND(AG$9&gt;=14/24,AG$9&lt;20/24)</formula>
    </cfRule>
    <cfRule type="expression" dxfId="5295" priority="366">
      <formula>AND(AG$9&gt;=8/24,AG$9&lt;14/24)</formula>
    </cfRule>
    <cfRule type="expression" dxfId="5294" priority="367">
      <formula>AG$9&lt;8/24</formula>
    </cfRule>
  </conditionalFormatting>
  <conditionalFormatting sqref="T245">
    <cfRule type="expression" dxfId="5293" priority="368">
      <formula>AX$9&gt;=20/24</formula>
    </cfRule>
    <cfRule type="expression" dxfId="5292" priority="369">
      <formula>AND(AX$9&gt;=14/24,AX$9&lt;20/24)</formula>
    </cfRule>
    <cfRule type="expression" dxfId="5291" priority="370">
      <formula>AND(AX$9&gt;=8/24,AX$9&lt;14/24)</formula>
    </cfRule>
    <cfRule type="expression" dxfId="5290" priority="371">
      <formula>AX$9&lt;8/24</formula>
    </cfRule>
  </conditionalFormatting>
  <conditionalFormatting sqref="A115:A116">
    <cfRule type="expression" dxfId="5289" priority="323">
      <formula>$AH115=0</formula>
    </cfRule>
  </conditionalFormatting>
  <conditionalFormatting sqref="Q54:T58 U56:U58 AB54:AF57 E71:AF71">
    <cfRule type="expression" dxfId="5288" priority="319">
      <formula>E$9&gt;=20/24</formula>
    </cfRule>
    <cfRule type="expression" dxfId="5287" priority="320">
      <formula>AND(E$9&gt;=14/24,E$9&lt;20/24)</formula>
    </cfRule>
    <cfRule type="expression" dxfId="5286" priority="321">
      <formula>AND(E$9&gt;=8/24,E$9&lt;14/24)</formula>
    </cfRule>
    <cfRule type="expression" dxfId="5285" priority="322">
      <formula>E$9&lt;8/24</formula>
    </cfRule>
  </conditionalFormatting>
  <conditionalFormatting sqref="Q53:T53 AB53:AF53">
    <cfRule type="expression" dxfId="5284" priority="315">
      <formula>Q$9&gt;=20/24</formula>
    </cfRule>
    <cfRule type="expression" dxfId="5283" priority="316">
      <formula>AND(Q$9&gt;=14/24,Q$9&lt;20/24)</formula>
    </cfRule>
    <cfRule type="expression" dxfId="5282" priority="317">
      <formula>AND(Q$9&gt;=8/24,Q$9&lt;14/24)</formula>
    </cfRule>
    <cfRule type="expression" dxfId="5281" priority="318">
      <formula>Q$9&lt;8/24</formula>
    </cfRule>
  </conditionalFormatting>
  <conditionalFormatting sqref="Q53:T58 U56:U58 AB53:AF57">
    <cfRule type="expression" dxfId="5280" priority="314">
      <formula>Q53&gt;$AG53</formula>
    </cfRule>
  </conditionalFormatting>
  <conditionalFormatting sqref="D86:AF86 M100:X106 X96:AF96 X47:AF47 E72:X73 X67:AF69 Y72:AF74 AE100:AF106">
    <cfRule type="expression" dxfId="5279" priority="310">
      <formula>D$9&gt;=20/24</formula>
    </cfRule>
    <cfRule type="expression" dxfId="5278" priority="311">
      <formula>AND(D$9&gt;=14/24,D$9&lt;20/24)</formula>
    </cfRule>
    <cfRule type="expression" dxfId="5277" priority="312">
      <formula>AND(D$9&gt;=8/24,D$9&lt;14/24)</formula>
    </cfRule>
    <cfRule type="expression" dxfId="5276" priority="313">
      <formula>D$9&lt;8/24</formula>
    </cfRule>
  </conditionalFormatting>
  <conditionalFormatting sqref="X47:AF47 X67:AF69">
    <cfRule type="expression" dxfId="5275" priority="309">
      <formula>X47&gt;$AG47</formula>
    </cfRule>
  </conditionalFormatting>
  <conditionalFormatting sqref="U53:AA55 V56:AA58 AB58:AF58">
    <cfRule type="expression" dxfId="5274" priority="305">
      <formula>U$9&gt;=20/24</formula>
    </cfRule>
    <cfRule type="expression" dxfId="5273" priority="306">
      <formula>AND(U$9&gt;=14/24,U$9&lt;20/24)</formula>
    </cfRule>
    <cfRule type="expression" dxfId="5272" priority="307">
      <formula>AND(U$9&gt;=8/24,U$9&lt;14/24)</formula>
    </cfRule>
    <cfRule type="expression" dxfId="5271" priority="308">
      <formula>U$9&lt;8/24</formula>
    </cfRule>
  </conditionalFormatting>
  <conditionalFormatting sqref="U53:AA55 V56:AA58 AB58:AF58">
    <cfRule type="expression" dxfId="5270" priority="304">
      <formula>U53&gt;$AG53</formula>
    </cfRule>
  </conditionalFormatting>
  <conditionalFormatting sqref="C97:AF97 D88:AF88">
    <cfRule type="expression" dxfId="5269" priority="300">
      <formula>C$9&gt;=20/24</formula>
    </cfRule>
    <cfRule type="expression" dxfId="5268" priority="301">
      <formula>AND(C$9&gt;=14/24,C$9&lt;20/24)</formula>
    </cfRule>
    <cfRule type="expression" dxfId="5267" priority="302">
      <formula>AND(C$9&gt;=8/24,C$9&lt;14/24)</formula>
    </cfRule>
    <cfRule type="expression" dxfId="5266" priority="303">
      <formula>C$9&lt;8/24</formula>
    </cfRule>
  </conditionalFormatting>
  <conditionalFormatting sqref="T47:W47">
    <cfRule type="expression" dxfId="5265" priority="296">
      <formula>T$9&gt;=20/24</formula>
    </cfRule>
    <cfRule type="expression" dxfId="5264" priority="297">
      <formula>AND(T$9&gt;=14/24,T$9&lt;20/24)</formula>
    </cfRule>
    <cfRule type="expression" dxfId="5263" priority="298">
      <formula>AND(T$9&gt;=8/24,T$9&lt;14/24)</formula>
    </cfRule>
    <cfRule type="expression" dxfId="5262" priority="299">
      <formula>T$9&lt;8/24</formula>
    </cfRule>
  </conditionalFormatting>
  <conditionalFormatting sqref="T47:W47">
    <cfRule type="expression" dxfId="5261" priority="295">
      <formula>T47&gt;$AG47</formula>
    </cfRule>
  </conditionalFormatting>
  <conditionalFormatting sqref="E54:P55">
    <cfRule type="expression" dxfId="5260" priority="291">
      <formula>E$9&gt;=20/24</formula>
    </cfRule>
    <cfRule type="expression" dxfId="5259" priority="292">
      <formula>AND(E$9&gt;=14/24,E$9&lt;20/24)</formula>
    </cfRule>
    <cfRule type="expression" dxfId="5258" priority="293">
      <formula>AND(E$9&gt;=8/24,E$9&lt;14/24)</formula>
    </cfRule>
    <cfRule type="expression" dxfId="5257" priority="294">
      <formula>E$9&lt;8/24</formula>
    </cfRule>
  </conditionalFormatting>
  <conditionalFormatting sqref="E53:P53">
    <cfRule type="expression" dxfId="5256" priority="287">
      <formula>E$9&gt;=20/24</formula>
    </cfRule>
    <cfRule type="expression" dxfId="5255" priority="288">
      <formula>AND(E$9&gt;=14/24,E$9&lt;20/24)</formula>
    </cfRule>
    <cfRule type="expression" dxfId="5254" priority="289">
      <formula>AND(E$9&gt;=8/24,E$9&lt;14/24)</formula>
    </cfRule>
    <cfRule type="expression" dxfId="5253" priority="290">
      <formula>E$9&lt;8/24</formula>
    </cfRule>
  </conditionalFormatting>
  <conditionalFormatting sqref="E53:P55">
    <cfRule type="expression" dxfId="5252" priority="286">
      <formula>E53&gt;$AG53</formula>
    </cfRule>
  </conditionalFormatting>
  <conditionalFormatting sqref="AG70 AG87 E100:L106 Q67:W69">
    <cfRule type="expression" dxfId="5251" priority="282">
      <formula>E$9&gt;=20/24</formula>
    </cfRule>
    <cfRule type="expression" dxfId="5250" priority="283">
      <formula>AND(E$9&gt;=14/24,E$9&lt;20/24)</formula>
    </cfRule>
    <cfRule type="expression" dxfId="5249" priority="284">
      <formula>AND(E$9&gt;=8/24,E$9&lt;14/24)</formula>
    </cfRule>
    <cfRule type="expression" dxfId="5248" priority="285">
      <formula>E$9&lt;8/24</formula>
    </cfRule>
  </conditionalFormatting>
  <conditionalFormatting sqref="AG48 AG66 AG70 Q67:W69">
    <cfRule type="expression" dxfId="5247" priority="281">
      <formula>Q48&gt;$AG48</formula>
    </cfRule>
  </conditionalFormatting>
  <conditionalFormatting sqref="A43">
    <cfRule type="expression" dxfId="5246" priority="275">
      <formula>$AH43=0</formula>
    </cfRule>
  </conditionalFormatting>
  <conditionalFormatting sqref="X91:AF95">
    <cfRule type="expression" dxfId="5245" priority="271">
      <formula>X$9&gt;=20/24</formula>
    </cfRule>
    <cfRule type="expression" dxfId="5244" priority="272">
      <formula>AND(X$9&gt;=14/24,X$9&lt;20/24)</formula>
    </cfRule>
    <cfRule type="expression" dxfId="5243" priority="273">
      <formula>AND(X$9&gt;=8/24,X$9&lt;14/24)</formula>
    </cfRule>
    <cfRule type="expression" dxfId="5242" priority="274">
      <formula>X$9&lt;8/24</formula>
    </cfRule>
  </conditionalFormatting>
  <conditionalFormatting sqref="AL45 AL41 AL22:AL32 AL38:AL39 AL7:AL15 AL17:AL20 AL34:AL36">
    <cfRule type="iconSet" priority="37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5241" priority="267">
      <formula>E$9&gt;=20/24</formula>
    </cfRule>
    <cfRule type="expression" dxfId="5240" priority="268">
      <formula>AND(E$9&gt;=14/24,E$9&lt;20/24)</formula>
    </cfRule>
    <cfRule type="expression" dxfId="5239" priority="269">
      <formula>AND(E$9&gt;=8/24,E$9&lt;14/24)</formula>
    </cfRule>
    <cfRule type="expression" dxfId="5238" priority="270">
      <formula>E$9&lt;8/24</formula>
    </cfRule>
  </conditionalFormatting>
  <conditionalFormatting sqref="E49:AF51">
    <cfRule type="expression" dxfId="5237" priority="266">
      <formula>E49&gt;$AG49</formula>
    </cfRule>
  </conditionalFormatting>
  <conditionalFormatting sqref="AG52">
    <cfRule type="expression" dxfId="5236" priority="262">
      <formula>AG$9&gt;=20/24</formula>
    </cfRule>
    <cfRule type="expression" dxfId="5235" priority="263">
      <formula>AND(AG$9&gt;=14/24,AG$9&lt;20/24)</formula>
    </cfRule>
    <cfRule type="expression" dxfId="5234" priority="264">
      <formula>AND(AG$9&gt;=8/24,AG$9&lt;14/24)</formula>
    </cfRule>
    <cfRule type="expression" dxfId="5233" priority="265">
      <formula>AG$9&lt;8/24</formula>
    </cfRule>
  </conditionalFormatting>
  <conditionalFormatting sqref="AG52">
    <cfRule type="expression" dxfId="5232" priority="261">
      <formula>AG52&gt;$AG52</formula>
    </cfRule>
  </conditionalFormatting>
  <conditionalFormatting sqref="C107:AF107">
    <cfRule type="expression" dxfId="5231" priority="257">
      <formula>C$9&gt;=20/24</formula>
    </cfRule>
    <cfRule type="expression" dxfId="5230" priority="258">
      <formula>AND(C$9&gt;=14/24,C$9&lt;20/24)</formula>
    </cfRule>
    <cfRule type="expression" dxfId="5229" priority="259">
      <formula>AND(C$9&gt;=8/24,C$9&lt;14/24)</formula>
    </cfRule>
    <cfRule type="expression" dxfId="5228" priority="260">
      <formula>C$9&lt;8/24</formula>
    </cfRule>
  </conditionalFormatting>
  <conditionalFormatting sqref="AL40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227" priority="255">
      <formula>$AH40=0</formula>
    </cfRule>
  </conditionalFormatting>
  <conditionalFormatting sqref="A90">
    <cfRule type="expression" dxfId="5226" priority="253">
      <formula>$AH90=0</formula>
    </cfRule>
  </conditionalFormatting>
  <conditionalFormatting sqref="A87">
    <cfRule type="expression" dxfId="5225" priority="254">
      <formula>$AH87=0</formula>
    </cfRule>
  </conditionalFormatting>
  <conditionalFormatting sqref="D110:AF110">
    <cfRule type="expression" dxfId="5224" priority="249">
      <formula>D$9&gt;=20/24</formula>
    </cfRule>
    <cfRule type="expression" dxfId="5223" priority="250">
      <formula>AND(D$9&gt;=14/24,D$9&lt;20/24)</formula>
    </cfRule>
    <cfRule type="expression" dxfId="5222" priority="251">
      <formula>AND(D$9&gt;=8/24,D$9&lt;14/24)</formula>
    </cfRule>
    <cfRule type="expression" dxfId="5221" priority="252">
      <formula>D$9&lt;8/24</formula>
    </cfRule>
  </conditionalFormatting>
  <conditionalFormatting sqref="A110">
    <cfRule type="expression" dxfId="5220" priority="248">
      <formula>$AH110=0</formula>
    </cfRule>
  </conditionalFormatting>
  <conditionalFormatting sqref="A21">
    <cfRule type="expression" dxfId="5219" priority="246">
      <formula>$AH21=0</formula>
    </cfRule>
  </conditionalFormatting>
  <conditionalFormatting sqref="AL21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218" priority="244">
      <formula>$AH37=0</formula>
    </cfRule>
  </conditionalFormatting>
  <conditionalFormatting sqref="AL37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Y99:AD99">
    <cfRule type="expression" dxfId="5217" priority="240">
      <formula>Y$9&gt;=20/24</formula>
    </cfRule>
    <cfRule type="expression" dxfId="5216" priority="241">
      <formula>AND(Y$9&gt;=14/24,Y$9&lt;20/24)</formula>
    </cfRule>
    <cfRule type="expression" dxfId="5215" priority="242">
      <formula>AND(Y$9&gt;=8/24,Y$9&lt;14/24)</formula>
    </cfRule>
    <cfRule type="expression" dxfId="5214" priority="243">
      <formula>Y$9&lt;8/24</formula>
    </cfRule>
  </conditionalFormatting>
  <conditionalFormatting sqref="Y100:AD106">
    <cfRule type="expression" dxfId="5213" priority="236">
      <formula>Y$9&gt;=20/24</formula>
    </cfRule>
    <cfRule type="expression" dxfId="5212" priority="237">
      <formula>AND(Y$9&gt;=14/24,Y$9&lt;20/24)</formula>
    </cfRule>
    <cfRule type="expression" dxfId="5211" priority="238">
      <formula>AND(Y$9&gt;=8/24,Y$9&lt;14/24)</formula>
    </cfRule>
    <cfRule type="expression" dxfId="5210" priority="239">
      <formula>Y$9&lt;8/24</formula>
    </cfRule>
  </conditionalFormatting>
  <conditionalFormatting sqref="C109 C111:C116 Z34:AF43 Z17:AF32">
    <cfRule type="expression" dxfId="5209" priority="232">
      <formula>C$9&gt;=20/24</formula>
    </cfRule>
    <cfRule type="expression" dxfId="5208" priority="233">
      <formula>AND(C$9&gt;=14/24,C$9&lt;20/24)</formula>
    </cfRule>
    <cfRule type="expression" dxfId="5207" priority="234">
      <formula>AND(C$9&gt;=8/24,C$9&lt;14/24)</formula>
    </cfRule>
    <cfRule type="expression" dxfId="5206" priority="235">
      <formula>C$9&lt;8/24</formula>
    </cfRule>
  </conditionalFormatting>
  <conditionalFormatting sqref="C47:S47">
    <cfRule type="expression" dxfId="5205" priority="228">
      <formula>C$9&gt;=20/24</formula>
    </cfRule>
    <cfRule type="expression" dxfId="5204" priority="229">
      <formula>AND(C$9&gt;=14/24,C$9&lt;20/24)</formula>
    </cfRule>
    <cfRule type="expression" dxfId="5203" priority="230">
      <formula>AND(C$9&gt;=8/24,C$9&lt;14/24)</formula>
    </cfRule>
    <cfRule type="expression" dxfId="5202" priority="231">
      <formula>C$9&lt;8/24</formula>
    </cfRule>
  </conditionalFormatting>
  <conditionalFormatting sqref="C47:S47 Z34:AF43 Z17:AF32">
    <cfRule type="expression" dxfId="5201" priority="227">
      <formula>C17&gt;$AG17</formula>
    </cfRule>
  </conditionalFormatting>
  <conditionalFormatting sqref="C99:D99">
    <cfRule type="expression" dxfId="5200" priority="223">
      <formula>C$9&gt;=20/24</formula>
    </cfRule>
    <cfRule type="expression" dxfId="5199" priority="224">
      <formula>AND(C$9&gt;=14/24,C$9&lt;20/24)</formula>
    </cfRule>
    <cfRule type="expression" dxfId="5198" priority="225">
      <formula>AND(C$9&gt;=8/24,C$9&lt;14/24)</formula>
    </cfRule>
    <cfRule type="expression" dxfId="5197" priority="226">
      <formula>C$9&lt;8/24</formula>
    </cfRule>
  </conditionalFormatting>
  <conditionalFormatting sqref="C86 C96:W96 C83:AF85 C100:D106 E74:M74 I75:M75 M76 E67:P69 S74:X74 N74:R76 S75:AF76">
    <cfRule type="expression" dxfId="5196" priority="219">
      <formula>C$9&gt;=20/24</formula>
    </cfRule>
    <cfRule type="expression" dxfId="5195" priority="220">
      <formula>AND(C$9&gt;=14/24,C$9&lt;20/24)</formula>
    </cfRule>
    <cfRule type="expression" dxfId="5194" priority="221">
      <formula>AND(C$9&gt;=8/24,C$9&lt;14/24)</formula>
    </cfRule>
    <cfRule type="expression" dxfId="5193" priority="222">
      <formula>C$9&lt;8/24</formula>
    </cfRule>
  </conditionalFormatting>
  <conditionalFormatting sqref="E56:L57 E67:P69">
    <cfRule type="expression" dxfId="5192" priority="218">
      <formula>E56&gt;$AG56</formula>
    </cfRule>
  </conditionalFormatting>
  <conditionalFormatting sqref="B54:D57 B71:D71">
    <cfRule type="expression" dxfId="5191" priority="137">
      <formula>B$9&gt;=20/24</formula>
    </cfRule>
    <cfRule type="expression" dxfId="5190" priority="138">
      <formula>AND(B$9&gt;=14/24,B$9&lt;20/24)</formula>
    </cfRule>
    <cfRule type="expression" dxfId="5189" priority="139">
      <formula>AND(B$9&gt;=8/24,B$9&lt;14/24)</formula>
    </cfRule>
    <cfRule type="expression" dxfId="5188" priority="140">
      <formula>B$9&lt;8/24</formula>
    </cfRule>
  </conditionalFormatting>
  <conditionalFormatting sqref="Q46:AF46">
    <cfRule type="expression" dxfId="5187" priority="209">
      <formula>Q$9&gt;=20/24</formula>
    </cfRule>
    <cfRule type="expression" dxfId="5186" priority="210">
      <formula>AND(Q$9&gt;=14/24,Q$9&lt;20/24)</formula>
    </cfRule>
    <cfRule type="expression" dxfId="5185" priority="211">
      <formula>AND(Q$9&gt;=8/24,Q$9&lt;14/24)</formula>
    </cfRule>
    <cfRule type="expression" dxfId="5184" priority="212">
      <formula>Q$9&lt;8/24</formula>
    </cfRule>
  </conditionalFormatting>
  <conditionalFormatting sqref="Q46:AF46">
    <cfRule type="expression" dxfId="5183" priority="208">
      <formula>Q46&gt;$AG46</formula>
    </cfRule>
  </conditionalFormatting>
  <conditionalFormatting sqref="C87:AF87 C89:AF89 C98:AF98 C70:AF70">
    <cfRule type="expression" dxfId="5182" priority="204">
      <formula>C$9&gt;=20/24</formula>
    </cfRule>
    <cfRule type="expression" dxfId="5181" priority="205">
      <formula>AND(C$9&gt;=14/24,C$9&lt;20/24)</formula>
    </cfRule>
    <cfRule type="expression" dxfId="5180" priority="206">
      <formula>AND(C$9&gt;=8/24,C$9&lt;14/24)</formula>
    </cfRule>
    <cfRule type="expression" dxfId="5179" priority="207">
      <formula>C$9&lt;8/24</formula>
    </cfRule>
  </conditionalFormatting>
  <conditionalFormatting sqref="C65:AF66 C70:AF70 C48:AF48">
    <cfRule type="expression" dxfId="5178" priority="203">
      <formula>C48&gt;$AG48</formula>
    </cfRule>
  </conditionalFormatting>
  <conditionalFormatting sqref="C82:AF82">
    <cfRule type="expression" dxfId="5177" priority="199">
      <formula>C$9&gt;=20/24</formula>
    </cfRule>
    <cfRule type="expression" dxfId="5176" priority="200">
      <formula>AND(C$9&gt;=14/24,C$9&lt;20/24)</formula>
    </cfRule>
    <cfRule type="expression" dxfId="5175" priority="201">
      <formula>AND(C$9&gt;=8/24,C$9&lt;14/24)</formula>
    </cfRule>
    <cfRule type="expression" dxfId="5174" priority="202">
      <formula>C$9&lt;8/24</formula>
    </cfRule>
  </conditionalFormatting>
  <conditionalFormatting sqref="C91:W95">
    <cfRule type="expression" dxfId="5173" priority="195">
      <formula>C$9&gt;=20/24</formula>
    </cfRule>
    <cfRule type="expression" dxfId="5172" priority="196">
      <formula>AND(C$9&gt;=14/24,C$9&lt;20/24)</formula>
    </cfRule>
    <cfRule type="expression" dxfId="5171" priority="197">
      <formula>AND(C$9&gt;=8/24,C$9&lt;14/24)</formula>
    </cfRule>
    <cfRule type="expression" dxfId="5170" priority="198">
      <formula>C$9&lt;8/24</formula>
    </cfRule>
  </conditionalFormatting>
  <conditionalFormatting sqref="C52:AF52">
    <cfRule type="expression" dxfId="5169" priority="191">
      <formula>C$9&gt;=20/24</formula>
    </cfRule>
    <cfRule type="expression" dxfId="5168" priority="192">
      <formula>AND(C$9&gt;=14/24,C$9&lt;20/24)</formula>
    </cfRule>
    <cfRule type="expression" dxfId="5167" priority="193">
      <formula>AND(C$9&gt;=8/24,C$9&lt;14/24)</formula>
    </cfRule>
    <cfRule type="expression" dxfId="5166" priority="194">
      <formula>C$9&lt;8/24</formula>
    </cfRule>
  </conditionalFormatting>
  <conditionalFormatting sqref="C52:AF52">
    <cfRule type="expression" dxfId="5165" priority="190">
      <formula>C52&gt;$AG52</formula>
    </cfRule>
  </conditionalFormatting>
  <conditionalFormatting sqref="B49:D51">
    <cfRule type="expression" dxfId="5164" priority="105">
      <formula>B$9&gt;=20/24</formula>
    </cfRule>
    <cfRule type="expression" dxfId="5163" priority="106">
      <formula>AND(B$9&gt;=14/24,B$9&lt;20/24)</formula>
    </cfRule>
    <cfRule type="expression" dxfId="5162" priority="107">
      <formula>AND(B$9&gt;=8/24,B$9&lt;14/24)</formula>
    </cfRule>
    <cfRule type="expression" dxfId="5161" priority="108">
      <formula>B$9&lt;8/24</formula>
    </cfRule>
  </conditionalFormatting>
  <conditionalFormatting sqref="C110">
    <cfRule type="expression" dxfId="5160" priority="182">
      <formula>C$9&gt;=20/24</formula>
    </cfRule>
    <cfRule type="expression" dxfId="5159" priority="183">
      <formula>AND(C$9&gt;=14/24,C$9&lt;20/24)</formula>
    </cfRule>
    <cfRule type="expression" dxfId="5158" priority="184">
      <formula>AND(C$9&gt;=8/24,C$9&lt;14/24)</formula>
    </cfRule>
    <cfRule type="expression" dxfId="5157" priority="185">
      <formula>C$9&lt;8/24</formula>
    </cfRule>
  </conditionalFormatting>
  <conditionalFormatting sqref="Z45:AF45 Z13:AF15">
    <cfRule type="expression" dxfId="5156" priority="176">
      <formula>Z13&gt;$AG13</formula>
    </cfRule>
  </conditionalFormatting>
  <conditionalFormatting sqref="Z12:AF12">
    <cfRule type="expression" dxfId="5155" priority="172">
      <formula>Z$9&gt;=20/24</formula>
    </cfRule>
    <cfRule type="expression" dxfId="5154" priority="173">
      <formula>AND(Z$9&gt;=14/24,Z$9&lt;20/24)</formula>
    </cfRule>
    <cfRule type="expression" dxfId="5153" priority="174">
      <formula>AND(Z$9&gt;=8/24,Z$9&lt;14/24)</formula>
    </cfRule>
    <cfRule type="expression" dxfId="5152" priority="175">
      <formula>Z$9&lt;8/24</formula>
    </cfRule>
  </conditionalFormatting>
  <conditionalFormatting sqref="Z12:AF12">
    <cfRule type="expression" dxfId="5151" priority="171">
      <formula>Z12&gt;$AG12</formula>
    </cfRule>
  </conditionalFormatting>
  <conditionalFormatting sqref="Z13:AF15">
    <cfRule type="expression" dxfId="5150" priority="167">
      <formula>Z$9&gt;=20/24</formula>
    </cfRule>
    <cfRule type="expression" dxfId="5149" priority="168">
      <formula>AND(Z$9&gt;=14/24,Z$9&lt;20/24)</formula>
    </cfRule>
    <cfRule type="expression" dxfId="5148" priority="169">
      <formula>AND(Z$9&gt;=8/24,Z$9&lt;14/24)</formula>
    </cfRule>
    <cfRule type="expression" dxfId="5147" priority="170">
      <formula>Z$9&lt;8/24</formula>
    </cfRule>
  </conditionalFormatting>
  <conditionalFormatting sqref="Z45:AF45">
    <cfRule type="expression" dxfId="5146" priority="163">
      <formula>Z$9&gt;=20/24</formula>
    </cfRule>
    <cfRule type="expression" dxfId="5145" priority="164">
      <formula>AND(Z$9&gt;=14/24,Z$9&lt;20/24)</formula>
    </cfRule>
    <cfRule type="expression" dxfId="5144" priority="165">
      <formula>AND(Z$9&gt;=8/24,Z$9&lt;14/24)</formula>
    </cfRule>
    <cfRule type="expression" dxfId="5143" priority="166">
      <formula>Z$9&lt;8/24</formula>
    </cfRule>
  </conditionalFormatting>
  <conditionalFormatting sqref="M77:AF81">
    <cfRule type="expression" dxfId="5142" priority="159">
      <formula>M$9&gt;=20/24</formula>
    </cfRule>
    <cfRule type="expression" dxfId="5141" priority="160">
      <formula>AND(M$9&gt;=14/24,M$9&lt;20/24)</formula>
    </cfRule>
    <cfRule type="expression" dxfId="5140" priority="161">
      <formula>AND(M$9&gt;=8/24,M$9&lt;14/24)</formula>
    </cfRule>
    <cfRule type="expression" dxfId="5139" priority="162">
      <formula>M$9&lt;8/24</formula>
    </cfRule>
  </conditionalFormatting>
  <conditionalFormatting sqref="AL78:AN78 AL84:AN84 AN79:AN80">
    <cfRule type="expression" dxfId="5138" priority="155">
      <formula>AL$9&gt;=20/24</formula>
    </cfRule>
    <cfRule type="expression" dxfId="5137" priority="156">
      <formula>AND(AL$9&gt;=14/24,AL$9&lt;20/24)</formula>
    </cfRule>
    <cfRule type="expression" dxfId="5136" priority="157">
      <formula>AND(AL$9&gt;=8/24,AL$9&lt;14/24)</formula>
    </cfRule>
    <cfRule type="expression" dxfId="5135" priority="158">
      <formula>AL$9&lt;8/24</formula>
    </cfRule>
  </conditionalFormatting>
  <conditionalFormatting sqref="AN81:AN82">
    <cfRule type="expression" dxfId="5134" priority="151">
      <formula>AN$9&gt;=20/24</formula>
    </cfRule>
    <cfRule type="expression" dxfId="5133" priority="152">
      <formula>AND(AN$9&gt;=14/24,AN$9&lt;20/24)</formula>
    </cfRule>
    <cfRule type="expression" dxfId="5132" priority="153">
      <formula>AND(AN$9&gt;=8/24,AN$9&lt;14/24)</formula>
    </cfRule>
    <cfRule type="expression" dxfId="5131" priority="154">
      <formula>AN$9&lt;8/24</formula>
    </cfRule>
  </conditionalFormatting>
  <conditionalFormatting sqref="AL79:AM83">
    <cfRule type="expression" dxfId="5130" priority="373">
      <formula>AJ$9&gt;=20/24</formula>
    </cfRule>
    <cfRule type="expression" dxfId="5129" priority="374">
      <formula>AND(AJ$9&gt;=14/24,AJ$9&lt;20/24)</formula>
    </cfRule>
    <cfRule type="expression" dxfId="5128" priority="375">
      <formula>AND(AJ$9&gt;=8/24,AJ$9&lt;14/24)</formula>
    </cfRule>
    <cfRule type="expression" dxfId="5127" priority="376">
      <formula>AJ$9&lt;8/24</formula>
    </cfRule>
  </conditionalFormatting>
  <conditionalFormatting sqref="A117">
    <cfRule type="expression" dxfId="5126" priority="150">
      <formula>$AH117=0</formula>
    </cfRule>
  </conditionalFormatting>
  <conditionalFormatting sqref="B109 B111:B116 B34:Y43 B45:Y45 B17:Y32 B12:Y15">
    <cfRule type="expression" dxfId="5125" priority="146">
      <formula>B$9&gt;=20/24</formula>
    </cfRule>
    <cfRule type="expression" dxfId="5124" priority="147">
      <formula>AND(B$9&gt;=14/24,B$9&lt;20/24)</formula>
    </cfRule>
    <cfRule type="expression" dxfId="5123" priority="148">
      <formula>AND(B$9&gt;=8/24,B$9&lt;14/24)</formula>
    </cfRule>
    <cfRule type="expression" dxfId="5122" priority="149">
      <formula>B$9&lt;8/24</formula>
    </cfRule>
  </conditionalFormatting>
  <conditionalFormatting sqref="B34:Y43 B45:Y45 B17:Y32 B12:Y15">
    <cfRule type="expression" dxfId="5121" priority="145">
      <formula>B12&gt;$AG12</formula>
    </cfRule>
  </conditionalFormatting>
  <conditionalFormatting sqref="B99">
    <cfRule type="expression" dxfId="5120" priority="141">
      <formula>B$9&gt;=20/24</formula>
    </cfRule>
    <cfRule type="expression" dxfId="5119" priority="142">
      <formula>AND(B$9&gt;=14/24,B$9&lt;20/24)</formula>
    </cfRule>
    <cfRule type="expression" dxfId="5118" priority="143">
      <formula>AND(B$9&gt;=8/24,B$9&lt;14/24)</formula>
    </cfRule>
    <cfRule type="expression" dxfId="5117" priority="144">
      <formula>B$9&lt;8/24</formula>
    </cfRule>
  </conditionalFormatting>
  <conditionalFormatting sqref="B53:D53">
    <cfRule type="expression" dxfId="5116" priority="133">
      <formula>B$9&gt;=20/24</formula>
    </cfRule>
    <cfRule type="expression" dxfId="5115" priority="134">
      <formula>AND(B$9&gt;=14/24,B$9&lt;20/24)</formula>
    </cfRule>
    <cfRule type="expression" dxfId="5114" priority="135">
      <formula>AND(B$9&gt;=8/24,B$9&lt;14/24)</formula>
    </cfRule>
    <cfRule type="expression" dxfId="5113" priority="136">
      <formula>B$9&lt;8/24</formula>
    </cfRule>
  </conditionalFormatting>
  <conditionalFormatting sqref="B53:D57">
    <cfRule type="expression" dxfId="5112" priority="132">
      <formula>B53&gt;$AG53</formula>
    </cfRule>
  </conditionalFormatting>
  <conditionalFormatting sqref="B96 B100:B106 B86 B47 B72:D74 B67:D69">
    <cfRule type="expression" dxfId="5111" priority="128">
      <formula>B$9&gt;=20/24</formula>
    </cfRule>
    <cfRule type="expression" dxfId="5110" priority="129">
      <formula>AND(B$9&gt;=14/24,B$9&lt;20/24)</formula>
    </cfRule>
    <cfRule type="expression" dxfId="5109" priority="130">
      <formula>AND(B$9&gt;=8/24,B$9&lt;14/24)</formula>
    </cfRule>
    <cfRule type="expression" dxfId="5108" priority="131">
      <formula>B$9&lt;8/24</formula>
    </cfRule>
  </conditionalFormatting>
  <conditionalFormatting sqref="B47 B67:D69">
    <cfRule type="expression" dxfId="5107" priority="127">
      <formula>B47&gt;$AG47</formula>
    </cfRule>
  </conditionalFormatting>
  <conditionalFormatting sqref="B97 B88:C88">
    <cfRule type="expression" dxfId="5106" priority="123">
      <formula>B$9&gt;=20/24</formula>
    </cfRule>
    <cfRule type="expression" dxfId="5105" priority="124">
      <formula>AND(B$9&gt;=14/24,B$9&lt;20/24)</formula>
    </cfRule>
    <cfRule type="expression" dxfId="5104" priority="125">
      <formula>AND(B$9&gt;=8/24,B$9&lt;14/24)</formula>
    </cfRule>
    <cfRule type="expression" dxfId="5103" priority="126">
      <formula>B$9&lt;8/24</formula>
    </cfRule>
  </conditionalFormatting>
  <conditionalFormatting sqref="B46:P46">
    <cfRule type="expression" dxfId="5102" priority="119">
      <formula>B$9&gt;=20/24</formula>
    </cfRule>
    <cfRule type="expression" dxfId="5101" priority="120">
      <formula>AND(B$9&gt;=14/24,B$9&lt;20/24)</formula>
    </cfRule>
    <cfRule type="expression" dxfId="5100" priority="121">
      <formula>AND(B$9&gt;=8/24,B$9&lt;14/24)</formula>
    </cfRule>
    <cfRule type="expression" dxfId="5099" priority="122">
      <formula>B$9&lt;8/24</formula>
    </cfRule>
  </conditionalFormatting>
  <conditionalFormatting sqref="B46:P46">
    <cfRule type="expression" dxfId="5098" priority="118">
      <formula>B46&gt;$AG46</formula>
    </cfRule>
  </conditionalFormatting>
  <conditionalFormatting sqref="B58:P58">
    <cfRule type="expression" dxfId="5097" priority="114">
      <formula>B$9&gt;=20/24</formula>
    </cfRule>
    <cfRule type="expression" dxfId="5096" priority="115">
      <formula>AND(B$9&gt;=14/24,B$9&lt;20/24)</formula>
    </cfRule>
    <cfRule type="expression" dxfId="5095" priority="116">
      <formula>AND(B$9&gt;=8/24,B$9&lt;14/24)</formula>
    </cfRule>
    <cfRule type="expression" dxfId="5094" priority="117">
      <formula>B$9&lt;8/24</formula>
    </cfRule>
  </conditionalFormatting>
  <conditionalFormatting sqref="B58:P58">
    <cfRule type="expression" dxfId="5093" priority="113">
      <formula>B58&gt;$AG58</formula>
    </cfRule>
  </conditionalFormatting>
  <conditionalFormatting sqref="B91:B95">
    <cfRule type="expression" dxfId="5092" priority="109">
      <formula>B$9&gt;=20/24</formula>
    </cfRule>
    <cfRule type="expression" dxfId="5091" priority="110">
      <formula>AND(B$9&gt;=14/24,B$9&lt;20/24)</formula>
    </cfRule>
    <cfRule type="expression" dxfId="5090" priority="111">
      <formula>AND(B$9&gt;=8/24,B$9&lt;14/24)</formula>
    </cfRule>
    <cfRule type="expression" dxfId="5089" priority="112">
      <formula>B$9&lt;8/24</formula>
    </cfRule>
  </conditionalFormatting>
  <conditionalFormatting sqref="B49:D51">
    <cfRule type="expression" dxfId="5088" priority="104">
      <formula>B49&gt;$AG49</formula>
    </cfRule>
  </conditionalFormatting>
  <conditionalFormatting sqref="B107">
    <cfRule type="expression" dxfId="5087" priority="100">
      <formula>B$9&gt;=20/24</formula>
    </cfRule>
    <cfRule type="expression" dxfId="5086" priority="101">
      <formula>AND(B$9&gt;=14/24,B$9&lt;20/24)</formula>
    </cfRule>
    <cfRule type="expression" dxfId="5085" priority="102">
      <formula>AND(B$9&gt;=8/24,B$9&lt;14/24)</formula>
    </cfRule>
    <cfRule type="expression" dxfId="5084" priority="103">
      <formula>B$9&lt;8/24</formula>
    </cfRule>
  </conditionalFormatting>
  <conditionalFormatting sqref="B110">
    <cfRule type="expression" dxfId="5083" priority="96">
      <formula>B$9&gt;=20/24</formula>
    </cfRule>
    <cfRule type="expression" dxfId="5082" priority="97">
      <formula>AND(B$9&gt;=14/24,B$9&lt;20/24)</formula>
    </cfRule>
    <cfRule type="expression" dxfId="5081" priority="98">
      <formula>AND(B$9&gt;=8/24,B$9&lt;14/24)</formula>
    </cfRule>
    <cfRule type="expression" dxfId="5080" priority="99">
      <formula>B$9&lt;8/24</formula>
    </cfRule>
  </conditionalFormatting>
  <conditionalFormatting sqref="B83:B85 B75:H76 I76:L76">
    <cfRule type="expression" dxfId="5079" priority="92">
      <formula>B$9&gt;=20/24</formula>
    </cfRule>
    <cfRule type="expression" dxfId="5078" priority="93">
      <formula>AND(B$9&gt;=14/24,B$9&lt;20/24)</formula>
    </cfRule>
    <cfRule type="expression" dxfId="5077" priority="94">
      <formula>AND(B$9&gt;=8/24,B$9&lt;14/24)</formula>
    </cfRule>
    <cfRule type="expression" dxfId="5076" priority="95">
      <formula>B$9&lt;8/24</formula>
    </cfRule>
  </conditionalFormatting>
  <conditionalFormatting sqref="B89 B98 B70 B87">
    <cfRule type="expression" dxfId="5075" priority="88">
      <formula>B$9&gt;=20/24</formula>
    </cfRule>
    <cfRule type="expression" dxfId="5074" priority="89">
      <formula>AND(B$9&gt;=14/24,B$9&lt;20/24)</formula>
    </cfRule>
    <cfRule type="expression" dxfId="5073" priority="90">
      <formula>AND(B$9&gt;=8/24,B$9&lt;14/24)</formula>
    </cfRule>
    <cfRule type="expression" dxfId="5072" priority="91">
      <formula>B$9&lt;8/24</formula>
    </cfRule>
  </conditionalFormatting>
  <conditionalFormatting sqref="B48 B65:B66 B70">
    <cfRule type="expression" dxfId="5071" priority="87">
      <formula>B48&gt;$AG48</formula>
    </cfRule>
  </conditionalFormatting>
  <conditionalFormatting sqref="B82">
    <cfRule type="expression" dxfId="5070" priority="83">
      <formula>B$9&gt;=20/24</formula>
    </cfRule>
    <cfRule type="expression" dxfId="5069" priority="84">
      <formula>AND(B$9&gt;=14/24,B$9&lt;20/24)</formula>
    </cfRule>
    <cfRule type="expression" dxfId="5068" priority="85">
      <formula>AND(B$9&gt;=8/24,B$9&lt;14/24)</formula>
    </cfRule>
    <cfRule type="expression" dxfId="5067" priority="86">
      <formula>B$9&lt;8/24</formula>
    </cfRule>
  </conditionalFormatting>
  <conditionalFormatting sqref="B52">
    <cfRule type="expression" dxfId="5066" priority="79">
      <formula>B$9&gt;=20/24</formula>
    </cfRule>
    <cfRule type="expression" dxfId="5065" priority="80">
      <formula>AND(B$9&gt;=14/24,B$9&lt;20/24)</formula>
    </cfRule>
    <cfRule type="expression" dxfId="5064" priority="81">
      <formula>AND(B$9&gt;=8/24,B$9&lt;14/24)</formula>
    </cfRule>
    <cfRule type="expression" dxfId="5063" priority="82">
      <formula>B$9&lt;8/24</formula>
    </cfRule>
  </conditionalFormatting>
  <conditionalFormatting sqref="B52">
    <cfRule type="expression" dxfId="5062" priority="78">
      <formula>B52&gt;$AG52</formula>
    </cfRule>
  </conditionalFormatting>
  <conditionalFormatting sqref="B59:AF64">
    <cfRule type="expression" dxfId="5061" priority="70">
      <formula>B$9&gt;=20/24</formula>
    </cfRule>
    <cfRule type="expression" dxfId="5060" priority="71">
      <formula>AND(B$9&gt;=14/24,B$9&lt;20/24)</formula>
    </cfRule>
    <cfRule type="expression" dxfId="5059" priority="72">
      <formula>AND(B$9&gt;=8/24,B$9&lt;14/24)</formula>
    </cfRule>
    <cfRule type="expression" dxfId="5058" priority="73">
      <formula>B$9&lt;8/24</formula>
    </cfRule>
  </conditionalFormatting>
  <conditionalFormatting sqref="B59:AF64">
    <cfRule type="expression" dxfId="5057" priority="69">
      <formula>B59&gt;$AG59</formula>
    </cfRule>
  </conditionalFormatting>
  <conditionalFormatting sqref="B77:L81">
    <cfRule type="expression" dxfId="5056" priority="65">
      <formula>B$9&gt;=20/24</formula>
    </cfRule>
    <cfRule type="expression" dxfId="5055" priority="66">
      <formula>AND(B$9&gt;=14/24,B$9&lt;20/24)</formula>
    </cfRule>
    <cfRule type="expression" dxfId="5054" priority="67">
      <formula>AND(B$9&gt;=8/24,B$9&lt;14/24)</formula>
    </cfRule>
    <cfRule type="expression" dxfId="5053" priority="68">
      <formula>B$9&lt;8/24</formula>
    </cfRule>
  </conditionalFormatting>
  <conditionalFormatting sqref="A11">
    <cfRule type="expression" dxfId="5052" priority="64">
      <formula>$AH11=0</formula>
    </cfRule>
  </conditionalFormatting>
  <conditionalFormatting sqref="Z11:AF11">
    <cfRule type="expression" dxfId="5051" priority="60">
      <formula>Z$9&gt;=20/24</formula>
    </cfRule>
    <cfRule type="expression" dxfId="5050" priority="61">
      <formula>AND(Z$9&gt;=14/24,Z$9&lt;20/24)</formula>
    </cfRule>
    <cfRule type="expression" dxfId="5049" priority="62">
      <formula>AND(Z$9&gt;=8/24,Z$9&lt;14/24)</formula>
    </cfRule>
    <cfRule type="expression" dxfId="5048" priority="63">
      <formula>Z$9&lt;8/24</formula>
    </cfRule>
  </conditionalFormatting>
  <conditionalFormatting sqref="Z11:AF11">
    <cfRule type="expression" dxfId="5047" priority="59">
      <formula>Z11&gt;$AG11</formula>
    </cfRule>
  </conditionalFormatting>
  <conditionalFormatting sqref="B11:Y11">
    <cfRule type="expression" dxfId="5046" priority="55">
      <formula>B$9&gt;=20/24</formula>
    </cfRule>
    <cfRule type="expression" dxfId="5045" priority="56">
      <formula>AND(B$9&gt;=14/24,B$9&lt;20/24)</formula>
    </cfRule>
    <cfRule type="expression" dxfId="5044" priority="57">
      <formula>AND(B$9&gt;=8/24,B$9&lt;14/24)</formula>
    </cfRule>
    <cfRule type="expression" dxfId="5043" priority="58">
      <formula>B$9&lt;8/24</formula>
    </cfRule>
  </conditionalFormatting>
  <conditionalFormatting sqref="B11:Y11">
    <cfRule type="expression" dxfId="5042" priority="54">
      <formula>B11&gt;$AG11</formula>
    </cfRule>
  </conditionalFormatting>
  <conditionalFormatting sqref="A16">
    <cfRule type="expression" dxfId="5041" priority="52">
      <formula>$AH16=0</formula>
    </cfRule>
  </conditionalFormatting>
  <conditionalFormatting sqref="AL16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5040" priority="48">
      <formula>Z$9&gt;=20/24</formula>
    </cfRule>
    <cfRule type="expression" dxfId="5039" priority="49">
      <formula>AND(Z$9&gt;=14/24,Z$9&lt;20/24)</formula>
    </cfRule>
    <cfRule type="expression" dxfId="5038" priority="50">
      <formula>AND(Z$9&gt;=8/24,Z$9&lt;14/24)</formula>
    </cfRule>
    <cfRule type="expression" dxfId="5037" priority="51">
      <formula>Z$9&lt;8/24</formula>
    </cfRule>
  </conditionalFormatting>
  <conditionalFormatting sqref="Z16:AF16">
    <cfRule type="expression" dxfId="5036" priority="47">
      <formula>Z16&gt;$AG16</formula>
    </cfRule>
  </conditionalFormatting>
  <conditionalFormatting sqref="B16:Y16">
    <cfRule type="expression" dxfId="5035" priority="43">
      <formula>B$9&gt;=20/24</formula>
    </cfRule>
    <cfRule type="expression" dxfId="5034" priority="44">
      <formula>AND(B$9&gt;=14/24,B$9&lt;20/24)</formula>
    </cfRule>
    <cfRule type="expression" dxfId="5033" priority="45">
      <formula>AND(B$9&gt;=8/24,B$9&lt;14/24)</formula>
    </cfRule>
    <cfRule type="expression" dxfId="5032" priority="46">
      <formula>B$9&lt;8/24</formula>
    </cfRule>
  </conditionalFormatting>
  <conditionalFormatting sqref="B16:Y16">
    <cfRule type="expression" dxfId="5031" priority="42">
      <formula>B16&gt;$AG16</formula>
    </cfRule>
  </conditionalFormatting>
  <conditionalFormatting sqref="A33">
    <cfRule type="expression" dxfId="5030" priority="40">
      <formula>$AH33=0</formula>
    </cfRule>
  </conditionalFormatting>
  <conditionalFormatting sqref="AL33">
    <cfRule type="iconSet" priority="41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5029" priority="36">
      <formula>Z$9&gt;=20/24</formula>
    </cfRule>
    <cfRule type="expression" dxfId="5028" priority="37">
      <formula>AND(Z$9&gt;=14/24,Z$9&lt;20/24)</formula>
    </cfRule>
    <cfRule type="expression" dxfId="5027" priority="38">
      <formula>AND(Z$9&gt;=8/24,Z$9&lt;14/24)</formula>
    </cfRule>
    <cfRule type="expression" dxfId="5026" priority="39">
      <formula>Z$9&lt;8/24</formula>
    </cfRule>
  </conditionalFormatting>
  <conditionalFormatting sqref="Z33:AF33">
    <cfRule type="expression" dxfId="5025" priority="35">
      <formula>Z33&gt;$AG33</formula>
    </cfRule>
  </conditionalFormatting>
  <conditionalFormatting sqref="B33:Y33">
    <cfRule type="expression" dxfId="5024" priority="31">
      <formula>B$9&gt;=20/24</formula>
    </cfRule>
    <cfRule type="expression" dxfId="5023" priority="32">
      <formula>AND(B$9&gt;=14/24,B$9&lt;20/24)</formula>
    </cfRule>
    <cfRule type="expression" dxfId="5022" priority="33">
      <formula>AND(B$9&gt;=8/24,B$9&lt;14/24)</formula>
    </cfRule>
    <cfRule type="expression" dxfId="5021" priority="34">
      <formula>B$9&lt;8/24</formula>
    </cfRule>
  </conditionalFormatting>
  <conditionalFormatting sqref="B33:Y33">
    <cfRule type="expression" dxfId="5020" priority="30">
      <formula>B33&gt;$AG33</formula>
    </cfRule>
  </conditionalFormatting>
  <conditionalFormatting sqref="A44">
    <cfRule type="expression" dxfId="5019" priority="28">
      <formula>$AH44=0</formula>
    </cfRule>
  </conditionalFormatting>
  <conditionalFormatting sqref="AL44">
    <cfRule type="iconSet" priority="29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5018" priority="27">
      <formula>Z44&gt;$AG44</formula>
    </cfRule>
  </conditionalFormatting>
  <conditionalFormatting sqref="Z44:AF44">
    <cfRule type="expression" dxfId="5017" priority="23">
      <formula>Z$9&gt;=20/24</formula>
    </cfRule>
    <cfRule type="expression" dxfId="5016" priority="24">
      <formula>AND(Z$9&gt;=14/24,Z$9&lt;20/24)</formula>
    </cfRule>
    <cfRule type="expression" dxfId="5015" priority="25">
      <formula>AND(Z$9&gt;=8/24,Z$9&lt;14/24)</formula>
    </cfRule>
    <cfRule type="expression" dxfId="5014" priority="26">
      <formula>Z$9&lt;8/24</formula>
    </cfRule>
  </conditionalFormatting>
  <conditionalFormatting sqref="B44:Y44">
    <cfRule type="expression" dxfId="5013" priority="19">
      <formula>B$9&gt;=20/24</formula>
    </cfRule>
    <cfRule type="expression" dxfId="5012" priority="20">
      <formula>AND(B$9&gt;=14/24,B$9&lt;20/24)</formula>
    </cfRule>
    <cfRule type="expression" dxfId="5011" priority="21">
      <formula>AND(B$9&gt;=8/24,B$9&lt;14/24)</formula>
    </cfRule>
    <cfRule type="expression" dxfId="5010" priority="22">
      <formula>B$9&lt;8/24</formula>
    </cfRule>
  </conditionalFormatting>
  <conditionalFormatting sqref="B44:Y44">
    <cfRule type="expression" dxfId="5009" priority="18">
      <formula>B44&gt;$AG44</formula>
    </cfRule>
  </conditionalFormatting>
  <conditionalFormatting sqref="B117">
    <cfRule type="expression" dxfId="5008" priority="6">
      <formula>B$9&gt;=20/24</formula>
    </cfRule>
    <cfRule type="expression" dxfId="5007" priority="7">
      <formula>AND(B$9&gt;=14/24,B$9&lt;20/24)</formula>
    </cfRule>
    <cfRule type="expression" dxfId="5006" priority="8">
      <formula>AND(B$9&gt;=8/24,B$9&lt;14/24)</formula>
    </cfRule>
    <cfRule type="expression" dxfId="5005" priority="9">
      <formula>B$9&lt;8/24</formula>
    </cfRule>
  </conditionalFormatting>
  <conditionalFormatting sqref="D117:AF117">
    <cfRule type="expression" dxfId="5004" priority="14">
      <formula>D$9&gt;=20/24</formula>
    </cfRule>
    <cfRule type="expression" dxfId="5003" priority="15">
      <formula>AND(D$9&gt;=14/24,D$9&lt;20/24)</formula>
    </cfRule>
    <cfRule type="expression" dxfId="5002" priority="16">
      <formula>AND(D$9&gt;=8/24,D$9&lt;14/24)</formula>
    </cfRule>
    <cfRule type="expression" dxfId="5001" priority="17">
      <formula>D$9&lt;8/24</formula>
    </cfRule>
  </conditionalFormatting>
  <conditionalFormatting sqref="C117">
    <cfRule type="expression" dxfId="5000" priority="10">
      <formula>C$9&gt;=20/24</formula>
    </cfRule>
    <cfRule type="expression" dxfId="4999" priority="11">
      <formula>AND(C$9&gt;=14/24,C$9&lt;20/24)</formula>
    </cfRule>
    <cfRule type="expression" dxfId="4998" priority="12">
      <formula>AND(C$9&gt;=8/24,C$9&lt;14/24)</formula>
    </cfRule>
    <cfRule type="expression" dxfId="4997" priority="13">
      <formula>C$9&lt;8/24</formula>
    </cfRule>
  </conditionalFormatting>
  <conditionalFormatting sqref="M56:P57">
    <cfRule type="expression" dxfId="4996" priority="2">
      <formula>M$9&gt;=20/24</formula>
    </cfRule>
    <cfRule type="expression" dxfId="4995" priority="3">
      <formula>AND(M$9&gt;=14/24,M$9&lt;20/24)</formula>
    </cfRule>
    <cfRule type="expression" dxfId="4994" priority="4">
      <formula>AND(M$9&gt;=8/24,M$9&lt;14/24)</formula>
    </cfRule>
    <cfRule type="expression" dxfId="4993" priority="5">
      <formula>M$9&lt;8/24</formula>
    </cfRule>
  </conditionalFormatting>
  <conditionalFormatting sqref="M56:P57">
    <cfRule type="expression" dxfId="4992" priority="1">
      <formula>M56&gt;$AG56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6" id="{E7C50249-FED4-4636-9C88-515F64E1957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7" id="{39A4F3E9-BF24-44DF-A4D4-228192D612A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8" id="{5E3CAAC7-0461-41F6-80C6-32DA80447C5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9" id="{4D490C2B-E7FA-41B5-9B60-63028EC5C7E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74" id="{6B426013-48DF-42A9-86F9-E6567679970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5" id="{0399CC36-B381-4E0D-B9B0-322B45746B5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6" id="{6637B36C-F878-40E8-A962-4F3CD3418A6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7" id="{E1070BEF-3AEE-416B-8D9C-22B3015E49E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49" activePane="bottomLeft" state="frozen"/>
      <selection activeCell="Z85" sqref="Z85"/>
      <selection pane="bottomLeft" activeCell="K88" sqref="K88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2079/12/20</v>
      </c>
      <c r="C4" s="196"/>
      <c r="D4" s="196"/>
      <c r="E4" s="197" t="str">
        <f ca="1">"2079/"&amp;"12/"&amp;INT(MID(CELL("filename",G6),FIND("]",CELL("filename",G6))+1,200))</f>
        <v>2079/12/20</v>
      </c>
      <c r="F4" s="197"/>
      <c r="G4" s="197"/>
      <c r="H4" s="197" t="str">
        <f ca="1">TEXT(E4,"dddd")</f>
        <v>Wednesday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421.4</v>
      </c>
      <c r="C5" s="33">
        <f t="shared" si="0"/>
        <v>397.8</v>
      </c>
      <c r="D5" s="33">
        <f t="shared" si="0"/>
        <v>420</v>
      </c>
      <c r="E5" s="33">
        <f t="shared" si="0"/>
        <v>401.70000000000005</v>
      </c>
      <c r="F5" s="33">
        <f t="shared" si="0"/>
        <v>411.1</v>
      </c>
      <c r="G5" s="33">
        <f t="shared" si="0"/>
        <v>411</v>
      </c>
      <c r="H5" s="33">
        <f t="shared" si="0"/>
        <v>410.3</v>
      </c>
      <c r="I5" s="33">
        <f t="shared" si="0"/>
        <v>409.14</v>
      </c>
      <c r="J5" s="33">
        <f t="shared" si="0"/>
        <v>369.5</v>
      </c>
      <c r="K5" s="33">
        <f t="shared" si="0"/>
        <v>372.9</v>
      </c>
      <c r="L5" s="33">
        <f t="shared" si="0"/>
        <v>413.49999999999994</v>
      </c>
      <c r="M5" s="33">
        <f t="shared" si="0"/>
        <v>397.5</v>
      </c>
      <c r="N5" s="33">
        <f t="shared" si="0"/>
        <v>419</v>
      </c>
      <c r="O5" s="33">
        <f t="shared" si="0"/>
        <v>480.90000000000003</v>
      </c>
      <c r="P5" s="33">
        <f t="shared" si="0"/>
        <v>454.2</v>
      </c>
      <c r="Q5" s="33">
        <f t="shared" si="0"/>
        <v>459.8</v>
      </c>
      <c r="R5" s="33">
        <f t="shared" si="0"/>
        <v>490</v>
      </c>
      <c r="S5" s="33">
        <f t="shared" si="0"/>
        <v>470.5</v>
      </c>
      <c r="T5" s="33">
        <f t="shared" si="0"/>
        <v>449.5</v>
      </c>
      <c r="U5" s="33">
        <f t="shared" si="0"/>
        <v>449.5</v>
      </c>
      <c r="V5" s="33">
        <f t="shared" si="0"/>
        <v>446</v>
      </c>
      <c r="W5" s="33">
        <f t="shared" si="0"/>
        <v>454</v>
      </c>
      <c r="X5" s="33">
        <f t="shared" si="0"/>
        <v>430</v>
      </c>
      <c r="Y5" s="33">
        <f t="shared" si="0"/>
        <v>380</v>
      </c>
      <c r="Z5" s="33">
        <f t="shared" si="0"/>
        <v>399</v>
      </c>
      <c r="AA5" s="33">
        <f t="shared" si="0"/>
        <v>432</v>
      </c>
      <c r="AB5" s="33">
        <f t="shared" si="0"/>
        <v>438.8</v>
      </c>
      <c r="AC5" s="33">
        <f t="shared" si="0"/>
        <v>439.8</v>
      </c>
      <c r="AD5" s="33">
        <f t="shared" si="0"/>
        <v>438.4</v>
      </c>
      <c r="AE5" s="33">
        <f t="shared" si="0"/>
        <v>447.2</v>
      </c>
      <c r="AF5" s="33">
        <f>B82</f>
        <v>434.7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1348MW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Load=946</v>
      </c>
      <c r="B7" s="38">
        <f t="shared" ref="B7:AF7" si="1">B89</f>
        <v>995.74</v>
      </c>
      <c r="C7" s="38">
        <f t="shared" si="1"/>
        <v>982.43999999999994</v>
      </c>
      <c r="D7" s="38">
        <f t="shared" si="1"/>
        <v>945.83999999999992</v>
      </c>
      <c r="E7" s="38">
        <f t="shared" si="1"/>
        <v>969.24</v>
      </c>
      <c r="F7" s="38">
        <f t="shared" si="1"/>
        <v>970.84000000000015</v>
      </c>
      <c r="G7" s="38">
        <f t="shared" si="1"/>
        <v>1025.2400000000002</v>
      </c>
      <c r="H7" s="38">
        <f t="shared" si="1"/>
        <v>1050.04</v>
      </c>
      <c r="I7" s="38">
        <f t="shared" si="1"/>
        <v>1109.8399999999999</v>
      </c>
      <c r="J7" s="38">
        <f t="shared" si="1"/>
        <v>1214.48</v>
      </c>
      <c r="K7" s="38">
        <f t="shared" si="1"/>
        <v>1342.24</v>
      </c>
      <c r="L7" s="38">
        <f t="shared" si="1"/>
        <v>1347.74</v>
      </c>
      <c r="M7" s="38">
        <f t="shared" si="1"/>
        <v>1330.34</v>
      </c>
      <c r="N7" s="38">
        <f>N89</f>
        <v>1306.3399999999999</v>
      </c>
      <c r="O7" s="38">
        <f t="shared" si="1"/>
        <v>1315.94</v>
      </c>
      <c r="P7" s="38">
        <f t="shared" si="1"/>
        <v>1299.94</v>
      </c>
      <c r="Q7" s="38">
        <f t="shared" si="1"/>
        <v>1231.54</v>
      </c>
      <c r="R7" s="38">
        <f t="shared" si="1"/>
        <v>1207.74</v>
      </c>
      <c r="S7" s="38">
        <f t="shared" si="1"/>
        <v>1259.9100000000001</v>
      </c>
      <c r="T7" s="38">
        <f t="shared" si="1"/>
        <v>1271.1100000000001</v>
      </c>
      <c r="U7" s="38">
        <f t="shared" si="1"/>
        <v>1255.4299999999998</v>
      </c>
      <c r="V7" s="38">
        <f t="shared" si="1"/>
        <v>1248.94</v>
      </c>
      <c r="W7" s="38">
        <f t="shared" si="1"/>
        <v>1221.24</v>
      </c>
      <c r="X7" s="38">
        <f t="shared" si="1"/>
        <v>1155.94</v>
      </c>
      <c r="Y7" s="38">
        <f t="shared" si="1"/>
        <v>1202.74</v>
      </c>
      <c r="Z7" s="38">
        <f t="shared" si="1"/>
        <v>1383.14</v>
      </c>
      <c r="AA7" s="38">
        <f t="shared" si="1"/>
        <v>1365.74</v>
      </c>
      <c r="AB7" s="38">
        <f t="shared" si="1"/>
        <v>1276.6399999999999</v>
      </c>
      <c r="AC7" s="38">
        <f t="shared" si="1"/>
        <v>1237.44</v>
      </c>
      <c r="AD7" s="38">
        <f t="shared" si="1"/>
        <v>1121.74</v>
      </c>
      <c r="AE7" s="38">
        <f t="shared" si="1"/>
        <v>1115.3400000000001</v>
      </c>
      <c r="AF7" s="38">
        <f t="shared" si="1"/>
        <v>1071.6400000000001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41</v>
      </c>
      <c r="C11" s="50">
        <v>41</v>
      </c>
      <c r="D11" s="50">
        <v>41</v>
      </c>
      <c r="E11" s="50">
        <v>41</v>
      </c>
      <c r="F11" s="50">
        <v>41</v>
      </c>
      <c r="G11" s="50">
        <v>41</v>
      </c>
      <c r="H11" s="50">
        <v>41</v>
      </c>
      <c r="I11" s="50">
        <v>41</v>
      </c>
      <c r="J11" s="50">
        <v>41</v>
      </c>
      <c r="K11" s="50">
        <v>41</v>
      </c>
      <c r="L11" s="50">
        <v>41</v>
      </c>
      <c r="M11" s="50">
        <v>33</v>
      </c>
      <c r="N11" s="50">
        <v>33</v>
      </c>
      <c r="O11" s="50">
        <v>33</v>
      </c>
      <c r="P11" s="50">
        <v>31.4</v>
      </c>
      <c r="Q11" s="50">
        <v>31.4</v>
      </c>
      <c r="R11" s="50">
        <v>32</v>
      </c>
      <c r="S11" s="50">
        <v>32</v>
      </c>
      <c r="T11" s="50">
        <v>32</v>
      </c>
      <c r="U11" s="50">
        <v>28</v>
      </c>
      <c r="V11" s="50">
        <v>28</v>
      </c>
      <c r="W11" s="50">
        <v>36</v>
      </c>
      <c r="X11" s="50">
        <v>34</v>
      </c>
      <c r="Y11" s="50">
        <v>34</v>
      </c>
      <c r="Z11" s="50">
        <v>34</v>
      </c>
      <c r="AA11" s="50">
        <v>34</v>
      </c>
      <c r="AB11" s="50">
        <v>34</v>
      </c>
      <c r="AC11" s="50">
        <v>34</v>
      </c>
      <c r="AD11" s="50">
        <v>34</v>
      </c>
      <c r="AE11" s="50">
        <v>34</v>
      </c>
      <c r="AF11" s="50">
        <v>34</v>
      </c>
      <c r="AG11" s="51">
        <v>86</v>
      </c>
      <c r="AH11" s="52">
        <f t="shared" ref="AH11:AH74" si="2">MAX(B11:AF11)</f>
        <v>41</v>
      </c>
      <c r="AI11" s="53">
        <f t="shared" ref="AI11:AI74" si="3">MIN(B11:AF11)</f>
        <v>28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22.2</v>
      </c>
      <c r="C12" s="50">
        <v>22.2</v>
      </c>
      <c r="D12" s="50">
        <v>22.2</v>
      </c>
      <c r="E12" s="50">
        <v>22.2</v>
      </c>
      <c r="F12" s="50">
        <v>22.2</v>
      </c>
      <c r="G12" s="50">
        <v>20.8</v>
      </c>
      <c r="H12" s="50">
        <v>20.8</v>
      </c>
      <c r="I12" s="50">
        <v>20.8</v>
      </c>
      <c r="J12" s="50">
        <v>20.8</v>
      </c>
      <c r="K12" s="50">
        <v>20.8</v>
      </c>
      <c r="L12" s="50">
        <v>20.8</v>
      </c>
      <c r="M12" s="50">
        <v>20.8</v>
      </c>
      <c r="N12" s="50">
        <v>20.8</v>
      </c>
      <c r="O12" s="50">
        <v>20.8</v>
      </c>
      <c r="P12" s="50">
        <v>17.600000000000001</v>
      </c>
      <c r="Q12" s="50">
        <v>17.7</v>
      </c>
      <c r="R12" s="50">
        <v>18.2</v>
      </c>
      <c r="S12" s="50">
        <v>18</v>
      </c>
      <c r="T12" s="50">
        <v>18</v>
      </c>
      <c r="U12" s="50">
        <v>14</v>
      </c>
      <c r="V12" s="50">
        <v>14</v>
      </c>
      <c r="W12" s="50">
        <v>14</v>
      </c>
      <c r="X12" s="50">
        <v>17</v>
      </c>
      <c r="Y12" s="50">
        <v>17</v>
      </c>
      <c r="Z12" s="50">
        <v>17</v>
      </c>
      <c r="AA12" s="50">
        <v>17</v>
      </c>
      <c r="AB12" s="50">
        <v>17</v>
      </c>
      <c r="AC12" s="50">
        <v>17</v>
      </c>
      <c r="AD12" s="50">
        <v>17</v>
      </c>
      <c r="AE12" s="50">
        <v>17</v>
      </c>
      <c r="AF12" s="50">
        <v>17</v>
      </c>
      <c r="AG12" s="51">
        <v>52.4</v>
      </c>
      <c r="AH12" s="52">
        <f t="shared" si="2"/>
        <v>22.2</v>
      </c>
      <c r="AI12" s="53">
        <f t="shared" si="3"/>
        <v>14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31</v>
      </c>
      <c r="C13" s="50">
        <v>31</v>
      </c>
      <c r="D13" s="50">
        <v>31</v>
      </c>
      <c r="E13" s="50">
        <v>31</v>
      </c>
      <c r="F13" s="50">
        <v>30.7</v>
      </c>
      <c r="G13" s="50">
        <v>30.6</v>
      </c>
      <c r="H13" s="50">
        <v>30.6</v>
      </c>
      <c r="I13" s="50">
        <v>30.6</v>
      </c>
      <c r="J13" s="50">
        <v>30.6</v>
      </c>
      <c r="K13" s="50">
        <v>30.6</v>
      </c>
      <c r="L13" s="50">
        <v>30.6</v>
      </c>
      <c r="M13" s="50">
        <v>30.6</v>
      </c>
      <c r="N13" s="50">
        <v>30.6</v>
      </c>
      <c r="O13" s="50">
        <v>30.6</v>
      </c>
      <c r="P13" s="50">
        <v>27.8</v>
      </c>
      <c r="Q13" s="50">
        <v>27.6</v>
      </c>
      <c r="R13" s="50">
        <v>27.6</v>
      </c>
      <c r="S13" s="50">
        <v>36</v>
      </c>
      <c r="T13" s="50">
        <v>36</v>
      </c>
      <c r="U13" s="50">
        <v>27</v>
      </c>
      <c r="V13" s="50">
        <v>27</v>
      </c>
      <c r="W13" s="50">
        <v>27</v>
      </c>
      <c r="X13" s="50">
        <v>28</v>
      </c>
      <c r="Y13" s="50">
        <v>28</v>
      </c>
      <c r="Z13" s="50">
        <v>28</v>
      </c>
      <c r="AA13" s="50">
        <v>28</v>
      </c>
      <c r="AB13" s="50">
        <v>28</v>
      </c>
      <c r="AC13" s="50">
        <v>28</v>
      </c>
      <c r="AD13" s="50">
        <v>28</v>
      </c>
      <c r="AE13" s="50">
        <v>28</v>
      </c>
      <c r="AF13" s="50">
        <v>28</v>
      </c>
      <c r="AG13" s="55">
        <v>50</v>
      </c>
      <c r="AH13" s="52">
        <f t="shared" si="2"/>
        <v>36</v>
      </c>
      <c r="AI13" s="53">
        <f t="shared" si="3"/>
        <v>27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18.3</v>
      </c>
      <c r="C14" s="50">
        <v>18.3</v>
      </c>
      <c r="D14" s="50">
        <v>18.3</v>
      </c>
      <c r="E14" s="50">
        <v>18.3</v>
      </c>
      <c r="F14" s="50">
        <v>17</v>
      </c>
      <c r="G14" s="50">
        <v>16.899999999999999</v>
      </c>
      <c r="H14" s="50">
        <v>16.899999999999999</v>
      </c>
      <c r="I14" s="50">
        <v>16.899999999999999</v>
      </c>
      <c r="J14" s="50">
        <v>16.899999999999999</v>
      </c>
      <c r="K14" s="50">
        <v>16.899999999999999</v>
      </c>
      <c r="L14" s="50">
        <v>16.899999999999999</v>
      </c>
      <c r="M14" s="50">
        <v>16.899999999999999</v>
      </c>
      <c r="N14" s="50">
        <v>16.899999999999999</v>
      </c>
      <c r="O14" s="50">
        <v>16.899999999999999</v>
      </c>
      <c r="P14" s="50">
        <v>15.4</v>
      </c>
      <c r="Q14" s="50">
        <v>15.4</v>
      </c>
      <c r="R14" s="50">
        <v>14.4</v>
      </c>
      <c r="S14" s="50">
        <v>14.4</v>
      </c>
      <c r="T14" s="50">
        <v>14.4</v>
      </c>
      <c r="U14" s="50">
        <v>18</v>
      </c>
      <c r="V14" s="50">
        <v>18</v>
      </c>
      <c r="W14" s="50">
        <v>18</v>
      </c>
      <c r="X14" s="50">
        <v>18</v>
      </c>
      <c r="Y14" s="50">
        <v>18</v>
      </c>
      <c r="Z14" s="50">
        <v>18</v>
      </c>
      <c r="AA14" s="50">
        <v>18</v>
      </c>
      <c r="AB14" s="50">
        <v>18</v>
      </c>
      <c r="AC14" s="50">
        <v>18</v>
      </c>
      <c r="AD14" s="50">
        <v>18</v>
      </c>
      <c r="AE14" s="50">
        <v>18</v>
      </c>
      <c r="AF14" s="50">
        <v>18</v>
      </c>
      <c r="AG14" s="55">
        <v>45</v>
      </c>
      <c r="AH14" s="52">
        <f t="shared" si="2"/>
        <v>18.3</v>
      </c>
      <c r="AI14" s="53">
        <f t="shared" si="3"/>
        <v>14.4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8.5</v>
      </c>
      <c r="S15" s="50">
        <v>8.5</v>
      </c>
      <c r="T15" s="50">
        <v>8.5</v>
      </c>
      <c r="U15" s="50">
        <v>8.5</v>
      </c>
      <c r="V15" s="50">
        <v>8.5</v>
      </c>
      <c r="W15" s="50">
        <v>8.5</v>
      </c>
      <c r="X15" s="50">
        <v>8.5</v>
      </c>
      <c r="Y15" s="50">
        <v>8.5</v>
      </c>
      <c r="Z15" s="50">
        <v>8.5</v>
      </c>
      <c r="AA15" s="50">
        <v>8.5</v>
      </c>
      <c r="AB15" s="50">
        <v>8.5</v>
      </c>
      <c r="AC15" s="50">
        <v>8.5</v>
      </c>
      <c r="AD15" s="50">
        <v>8.5</v>
      </c>
      <c r="AE15" s="50">
        <v>8.5</v>
      </c>
      <c r="AF15" s="50">
        <v>8.5</v>
      </c>
      <c r="AG15" s="55">
        <v>42</v>
      </c>
      <c r="AH15" s="52">
        <f t="shared" si="2"/>
        <v>9</v>
      </c>
      <c r="AI15" s="53">
        <f t="shared" si="3"/>
        <v>8.5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10.9</v>
      </c>
      <c r="C18" s="50">
        <v>10.9</v>
      </c>
      <c r="D18" s="50">
        <v>10.9</v>
      </c>
      <c r="E18" s="50">
        <v>10.9</v>
      </c>
      <c r="F18" s="50">
        <v>8.9</v>
      </c>
      <c r="G18" s="50">
        <v>8.3000000000000007</v>
      </c>
      <c r="H18" s="50">
        <v>8.3000000000000007</v>
      </c>
      <c r="I18" s="50">
        <v>8.3000000000000007</v>
      </c>
      <c r="J18" s="50">
        <v>8.3000000000000007</v>
      </c>
      <c r="K18" s="50">
        <v>8.3000000000000007</v>
      </c>
      <c r="L18" s="50">
        <v>8.3000000000000007</v>
      </c>
      <c r="M18" s="50">
        <v>8.3000000000000007</v>
      </c>
      <c r="N18" s="50">
        <v>8.3000000000000007</v>
      </c>
      <c r="O18" s="50">
        <v>8.3000000000000007</v>
      </c>
      <c r="P18" s="50">
        <v>8.5</v>
      </c>
      <c r="Q18" s="50">
        <v>8.5</v>
      </c>
      <c r="R18" s="50">
        <v>8.5</v>
      </c>
      <c r="S18" s="50">
        <v>8.5</v>
      </c>
      <c r="T18" s="50">
        <v>8.5</v>
      </c>
      <c r="U18" s="50">
        <v>8.5</v>
      </c>
      <c r="V18" s="50">
        <v>8.5</v>
      </c>
      <c r="W18" s="50">
        <v>8.5</v>
      </c>
      <c r="X18" s="50">
        <v>8.5</v>
      </c>
      <c r="Y18" s="50">
        <v>8.5</v>
      </c>
      <c r="Z18" s="50">
        <v>8.5</v>
      </c>
      <c r="AA18" s="50">
        <v>8.5</v>
      </c>
      <c r="AB18" s="50">
        <v>8.5</v>
      </c>
      <c r="AC18" s="50">
        <v>8.5</v>
      </c>
      <c r="AD18" s="50">
        <v>8.5</v>
      </c>
      <c r="AE18" s="50">
        <v>8.5</v>
      </c>
      <c r="AF18" s="50">
        <v>8.5</v>
      </c>
      <c r="AG18" s="56">
        <v>30</v>
      </c>
      <c r="AH18" s="52">
        <f t="shared" si="2"/>
        <v>10.9</v>
      </c>
      <c r="AI18" s="53">
        <f t="shared" si="3"/>
        <v>8.3000000000000007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10.3</v>
      </c>
      <c r="C19" s="50">
        <v>10.3</v>
      </c>
      <c r="D19" s="50">
        <v>10.3</v>
      </c>
      <c r="E19" s="50">
        <v>10.3</v>
      </c>
      <c r="F19" s="50">
        <v>8.1</v>
      </c>
      <c r="G19" s="50">
        <v>8.5</v>
      </c>
      <c r="H19" s="50">
        <v>8.1</v>
      </c>
      <c r="I19" s="50">
        <v>8.1</v>
      </c>
      <c r="J19" s="50">
        <v>8.1</v>
      </c>
      <c r="K19" s="50">
        <v>8.1</v>
      </c>
      <c r="L19" s="50">
        <v>8.1</v>
      </c>
      <c r="M19" s="50">
        <v>8.1</v>
      </c>
      <c r="N19" s="50">
        <v>8.1</v>
      </c>
      <c r="O19" s="50">
        <v>8.1</v>
      </c>
      <c r="P19" s="50">
        <v>7.5</v>
      </c>
      <c r="Q19" s="50">
        <v>7.2</v>
      </c>
      <c r="R19" s="50">
        <v>7.2</v>
      </c>
      <c r="S19" s="50">
        <v>7.2</v>
      </c>
      <c r="T19" s="50">
        <v>7.2</v>
      </c>
      <c r="U19" s="50">
        <v>7.2</v>
      </c>
      <c r="V19" s="50">
        <v>7.2</v>
      </c>
      <c r="W19" s="50">
        <v>7.2</v>
      </c>
      <c r="X19" s="50">
        <v>7.2</v>
      </c>
      <c r="Y19" s="50">
        <v>7.2</v>
      </c>
      <c r="Z19" s="50">
        <v>7.2</v>
      </c>
      <c r="AA19" s="50">
        <v>7.2</v>
      </c>
      <c r="AB19" s="50">
        <v>7.2</v>
      </c>
      <c r="AC19" s="50">
        <v>7.2</v>
      </c>
      <c r="AD19" s="50">
        <v>7.2</v>
      </c>
      <c r="AE19" s="50">
        <v>7.2</v>
      </c>
      <c r="AF19" s="50">
        <v>7.2</v>
      </c>
      <c r="AG19" s="55">
        <v>24.2</v>
      </c>
      <c r="AH19" s="52">
        <f t="shared" si="2"/>
        <v>10.3</v>
      </c>
      <c r="AI19" s="53">
        <f t="shared" si="3"/>
        <v>7.2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12</v>
      </c>
      <c r="C20" s="50">
        <v>12</v>
      </c>
      <c r="D20" s="50">
        <v>12</v>
      </c>
      <c r="E20" s="50">
        <v>12</v>
      </c>
      <c r="F20" s="50">
        <v>12</v>
      </c>
      <c r="G20" s="50">
        <v>12</v>
      </c>
      <c r="H20" s="50">
        <v>12</v>
      </c>
      <c r="I20" s="50">
        <v>12</v>
      </c>
      <c r="J20" s="50">
        <v>12</v>
      </c>
      <c r="K20" s="50">
        <v>12</v>
      </c>
      <c r="L20" s="50">
        <v>12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12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8</v>
      </c>
      <c r="C21" s="50">
        <v>8</v>
      </c>
      <c r="D21" s="50">
        <v>8</v>
      </c>
      <c r="E21" s="50">
        <v>8</v>
      </c>
      <c r="F21" s="50">
        <v>8</v>
      </c>
      <c r="G21" s="50">
        <v>8</v>
      </c>
      <c r="H21" s="50">
        <v>8</v>
      </c>
      <c r="I21" s="50">
        <v>8</v>
      </c>
      <c r="J21" s="50">
        <v>8</v>
      </c>
      <c r="K21" s="50">
        <v>8</v>
      </c>
      <c r="L21" s="50">
        <v>8</v>
      </c>
      <c r="M21" s="50">
        <v>8</v>
      </c>
      <c r="N21" s="50">
        <v>8</v>
      </c>
      <c r="O21" s="50">
        <v>8</v>
      </c>
      <c r="P21" s="50">
        <v>8</v>
      </c>
      <c r="Q21" s="50">
        <v>8</v>
      </c>
      <c r="R21" s="50">
        <v>8</v>
      </c>
      <c r="S21" s="50">
        <v>8</v>
      </c>
      <c r="T21" s="50">
        <v>8</v>
      </c>
      <c r="U21" s="50">
        <v>8</v>
      </c>
      <c r="V21" s="50">
        <v>8</v>
      </c>
      <c r="W21" s="50">
        <v>8</v>
      </c>
      <c r="X21" s="50">
        <v>8</v>
      </c>
      <c r="Y21" s="50">
        <v>8</v>
      </c>
      <c r="Z21" s="50">
        <v>8</v>
      </c>
      <c r="AA21" s="50">
        <v>8</v>
      </c>
      <c r="AB21" s="50">
        <v>8</v>
      </c>
      <c r="AC21" s="50">
        <v>8</v>
      </c>
      <c r="AD21" s="50">
        <v>8</v>
      </c>
      <c r="AE21" s="50">
        <v>8</v>
      </c>
      <c r="AF21" s="50">
        <v>8</v>
      </c>
      <c r="AG21" s="56">
        <v>30</v>
      </c>
      <c r="AH21" s="52">
        <f t="shared" si="2"/>
        <v>8</v>
      </c>
      <c r="AI21" s="53">
        <f t="shared" si="3"/>
        <v>8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11.9</v>
      </c>
      <c r="C22" s="50">
        <v>11.9</v>
      </c>
      <c r="D22" s="50">
        <v>11.9</v>
      </c>
      <c r="E22" s="50">
        <v>11.9</v>
      </c>
      <c r="F22" s="50">
        <v>11.9</v>
      </c>
      <c r="G22" s="50">
        <v>11.9</v>
      </c>
      <c r="H22" s="50">
        <v>11.9</v>
      </c>
      <c r="I22" s="50">
        <v>11.9</v>
      </c>
      <c r="J22" s="50">
        <v>11.9</v>
      </c>
      <c r="K22" s="50">
        <v>11.9</v>
      </c>
      <c r="L22" s="50">
        <v>11.9</v>
      </c>
      <c r="M22" s="50">
        <v>11.9</v>
      </c>
      <c r="N22" s="50">
        <v>11.9</v>
      </c>
      <c r="O22" s="50">
        <v>11.9</v>
      </c>
      <c r="P22" s="50">
        <v>12</v>
      </c>
      <c r="Q22" s="50">
        <v>13</v>
      </c>
      <c r="R22" s="50">
        <v>13.2</v>
      </c>
      <c r="S22" s="50">
        <v>13.2</v>
      </c>
      <c r="T22" s="50">
        <v>13.2</v>
      </c>
      <c r="U22" s="50">
        <v>13.2</v>
      </c>
      <c r="V22" s="50">
        <v>13.2</v>
      </c>
      <c r="W22" s="50">
        <v>13.2</v>
      </c>
      <c r="X22" s="50">
        <v>13.2</v>
      </c>
      <c r="Y22" s="50">
        <v>13.2</v>
      </c>
      <c r="Z22" s="50">
        <v>13.2</v>
      </c>
      <c r="AA22" s="50">
        <v>13.2</v>
      </c>
      <c r="AB22" s="50">
        <v>13.2</v>
      </c>
      <c r="AC22" s="50">
        <v>13.2</v>
      </c>
      <c r="AD22" s="50">
        <v>13.2</v>
      </c>
      <c r="AE22" s="50">
        <v>13.2</v>
      </c>
      <c r="AF22" s="50">
        <v>13.2</v>
      </c>
      <c r="AG22" s="55">
        <v>25</v>
      </c>
      <c r="AH22" s="52">
        <f t="shared" si="2"/>
        <v>13.2</v>
      </c>
      <c r="AI22" s="53">
        <f t="shared" si="3"/>
        <v>11.9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8.9</v>
      </c>
      <c r="C26" s="50">
        <v>8.9</v>
      </c>
      <c r="D26" s="50">
        <v>8.9</v>
      </c>
      <c r="E26" s="50">
        <v>8.9</v>
      </c>
      <c r="F26" s="50">
        <v>8.9</v>
      </c>
      <c r="G26" s="50">
        <v>8.9</v>
      </c>
      <c r="H26" s="50">
        <v>8.9</v>
      </c>
      <c r="I26" s="50">
        <v>8.9</v>
      </c>
      <c r="J26" s="50">
        <v>8.9</v>
      </c>
      <c r="K26" s="50">
        <v>8.9</v>
      </c>
      <c r="L26" s="50">
        <v>8.9</v>
      </c>
      <c r="M26" s="50">
        <v>8.9</v>
      </c>
      <c r="N26" s="50">
        <v>8.9</v>
      </c>
      <c r="O26" s="50">
        <v>8.9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55">
        <v>23.5</v>
      </c>
      <c r="AH26" s="52">
        <f t="shared" si="2"/>
        <v>8.9</v>
      </c>
      <c r="AI26" s="53">
        <f t="shared" si="3"/>
        <v>7.8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13.5</v>
      </c>
      <c r="C30" s="50">
        <v>13.5</v>
      </c>
      <c r="D30" s="50">
        <v>13.5</v>
      </c>
      <c r="E30" s="50">
        <v>13.5</v>
      </c>
      <c r="F30" s="50">
        <v>13.5</v>
      </c>
      <c r="G30" s="50">
        <v>13.9</v>
      </c>
      <c r="H30" s="50">
        <v>13.5</v>
      </c>
      <c r="I30" s="50">
        <v>13.5</v>
      </c>
      <c r="J30" s="50">
        <v>13.5</v>
      </c>
      <c r="K30" s="50">
        <v>13.5</v>
      </c>
      <c r="L30" s="50">
        <v>13.5</v>
      </c>
      <c r="M30" s="50">
        <v>13.5</v>
      </c>
      <c r="N30" s="50">
        <v>13.5</v>
      </c>
      <c r="O30" s="50">
        <v>13.5</v>
      </c>
      <c r="P30" s="50">
        <v>9.6999999999999993</v>
      </c>
      <c r="Q30" s="50">
        <v>10.1</v>
      </c>
      <c r="R30" s="50">
        <v>10.1</v>
      </c>
      <c r="S30" s="50">
        <v>10.1</v>
      </c>
      <c r="T30" s="50">
        <v>10.1</v>
      </c>
      <c r="U30" s="50">
        <v>10.1</v>
      </c>
      <c r="V30" s="50">
        <v>10.1</v>
      </c>
      <c r="W30" s="50">
        <v>10.1</v>
      </c>
      <c r="X30" s="50">
        <v>10.1</v>
      </c>
      <c r="Y30" s="50">
        <v>10.1</v>
      </c>
      <c r="Z30" s="50">
        <v>10.1</v>
      </c>
      <c r="AA30" s="50">
        <v>10.1</v>
      </c>
      <c r="AB30" s="50">
        <v>10.1</v>
      </c>
      <c r="AC30" s="50">
        <v>10.1</v>
      </c>
      <c r="AD30" s="50">
        <v>10.1</v>
      </c>
      <c r="AE30" s="50">
        <v>10.1</v>
      </c>
      <c r="AF30" s="50">
        <v>10.1</v>
      </c>
      <c r="AG30" s="55">
        <v>22</v>
      </c>
      <c r="AH30" s="52">
        <f t="shared" si="2"/>
        <v>13.9</v>
      </c>
      <c r="AI30" s="53">
        <f t="shared" si="3"/>
        <v>9.6999999999999993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10</v>
      </c>
      <c r="C38" s="50">
        <v>10</v>
      </c>
      <c r="D38" s="50">
        <v>10</v>
      </c>
      <c r="E38" s="50">
        <v>10</v>
      </c>
      <c r="F38" s="50">
        <v>10</v>
      </c>
      <c r="G38" s="50">
        <v>10</v>
      </c>
      <c r="H38" s="50">
        <v>10</v>
      </c>
      <c r="I38" s="50">
        <v>10</v>
      </c>
      <c r="J38" s="50">
        <v>10</v>
      </c>
      <c r="K38" s="50">
        <v>10</v>
      </c>
      <c r="L38" s="50">
        <v>10</v>
      </c>
      <c r="M38" s="50">
        <v>10</v>
      </c>
      <c r="N38" s="50">
        <v>10</v>
      </c>
      <c r="O38" s="50">
        <v>10</v>
      </c>
      <c r="P38" s="50">
        <v>10</v>
      </c>
      <c r="Q38" s="50">
        <v>10</v>
      </c>
      <c r="R38" s="50">
        <v>10</v>
      </c>
      <c r="S38" s="50">
        <v>10</v>
      </c>
      <c r="T38" s="50">
        <v>10</v>
      </c>
      <c r="U38" s="50">
        <v>10</v>
      </c>
      <c r="V38" s="50">
        <v>10</v>
      </c>
      <c r="W38" s="50">
        <v>10</v>
      </c>
      <c r="X38" s="50">
        <v>10</v>
      </c>
      <c r="Y38" s="50">
        <v>10</v>
      </c>
      <c r="Z38" s="50">
        <v>10</v>
      </c>
      <c r="AA38" s="50">
        <v>10</v>
      </c>
      <c r="AB38" s="50">
        <v>10</v>
      </c>
      <c r="AC38" s="50">
        <v>10</v>
      </c>
      <c r="AD38" s="50">
        <v>10</v>
      </c>
      <c r="AE38" s="50">
        <v>10</v>
      </c>
      <c r="AF38" s="50">
        <v>10</v>
      </c>
      <c r="AG38" s="55">
        <v>12</v>
      </c>
      <c r="AH38" s="52">
        <f t="shared" si="2"/>
        <v>10</v>
      </c>
      <c r="AI38" s="53">
        <f t="shared" si="3"/>
        <v>10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2.2999999999999998</v>
      </c>
      <c r="C41" s="50">
        <v>2.2999999999999998</v>
      </c>
      <c r="D41" s="50">
        <v>2.2999999999999998</v>
      </c>
      <c r="E41" s="50">
        <v>2.2999999999999998</v>
      </c>
      <c r="F41" s="50">
        <v>2.2999999999999998</v>
      </c>
      <c r="G41" s="50">
        <v>2.2999999999999998</v>
      </c>
      <c r="H41" s="50">
        <v>2.2999999999999998</v>
      </c>
      <c r="I41" s="50">
        <v>2.2999999999999998</v>
      </c>
      <c r="J41" s="50">
        <v>2.2999999999999998</v>
      </c>
      <c r="K41" s="50">
        <v>2.2999999999999998</v>
      </c>
      <c r="L41" s="50">
        <v>2.2999999999999998</v>
      </c>
      <c r="M41" s="50">
        <v>2.2999999999999998</v>
      </c>
      <c r="N41" s="50">
        <v>2.2999999999999998</v>
      </c>
      <c r="O41" s="50">
        <v>2.2999999999999998</v>
      </c>
      <c r="P41" s="50">
        <v>2.2999999999999998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6">
        <v>11.88</v>
      </c>
      <c r="AH41" s="52">
        <f t="shared" si="2"/>
        <v>2.2999999999999998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384.8</v>
      </c>
      <c r="C48" s="67">
        <f t="shared" si="4"/>
        <v>384.8</v>
      </c>
      <c r="D48" s="67">
        <f t="shared" si="4"/>
        <v>384.8</v>
      </c>
      <c r="E48" s="67">
        <f t="shared" si="4"/>
        <v>384.8</v>
      </c>
      <c r="F48" s="67">
        <f t="shared" si="4"/>
        <v>379.00000000000006</v>
      </c>
      <c r="G48" s="67">
        <f t="shared" si="4"/>
        <v>377.60000000000008</v>
      </c>
      <c r="H48" s="67">
        <f t="shared" si="4"/>
        <v>376.8</v>
      </c>
      <c r="I48" s="67">
        <f t="shared" si="4"/>
        <v>376.8</v>
      </c>
      <c r="J48" s="67">
        <f t="shared" si="4"/>
        <v>376.8</v>
      </c>
      <c r="K48" s="67">
        <f t="shared" si="4"/>
        <v>376.8</v>
      </c>
      <c r="L48" s="67">
        <f t="shared" si="4"/>
        <v>376.8</v>
      </c>
      <c r="M48" s="67">
        <f t="shared" si="4"/>
        <v>374.3</v>
      </c>
      <c r="N48" s="67">
        <f t="shared" si="4"/>
        <v>374.3</v>
      </c>
      <c r="O48" s="67">
        <f t="shared" si="4"/>
        <v>374.3</v>
      </c>
      <c r="P48" s="67">
        <f t="shared" si="4"/>
        <v>361.6</v>
      </c>
      <c r="Q48" s="67">
        <f t="shared" si="4"/>
        <v>360.29999999999995</v>
      </c>
      <c r="R48" s="67">
        <f t="shared" si="4"/>
        <v>359.5</v>
      </c>
      <c r="S48" s="67">
        <f t="shared" si="4"/>
        <v>367.70000000000005</v>
      </c>
      <c r="T48" s="67">
        <f t="shared" si="4"/>
        <v>367.70000000000005</v>
      </c>
      <c r="U48" s="67">
        <f t="shared" si="4"/>
        <v>358.3</v>
      </c>
      <c r="V48" s="67">
        <f t="shared" ref="V48" si="5">SUM(V12:V46)</f>
        <v>358.3</v>
      </c>
      <c r="W48" s="67">
        <f t="shared" si="4"/>
        <v>358.3</v>
      </c>
      <c r="X48" s="67">
        <f t="shared" si="4"/>
        <v>362.3</v>
      </c>
      <c r="Y48" s="67">
        <f t="shared" si="4"/>
        <v>362.3</v>
      </c>
      <c r="Z48" s="67">
        <f t="shared" si="4"/>
        <v>362.3</v>
      </c>
      <c r="AA48" s="67">
        <f t="shared" si="4"/>
        <v>362.3</v>
      </c>
      <c r="AB48" s="67">
        <f t="shared" si="4"/>
        <v>362.3</v>
      </c>
      <c r="AC48" s="67">
        <f t="shared" si="4"/>
        <v>362.3</v>
      </c>
      <c r="AD48" s="67">
        <f t="shared" si="4"/>
        <v>362.3</v>
      </c>
      <c r="AE48" s="67">
        <f t="shared" si="4"/>
        <v>362.3</v>
      </c>
      <c r="AF48" s="67">
        <f t="shared" si="4"/>
        <v>362.3</v>
      </c>
      <c r="AG48" s="68">
        <f t="shared" si="4"/>
        <v>875.68</v>
      </c>
      <c r="AH48" s="52">
        <f t="shared" si="2"/>
        <v>384.8</v>
      </c>
      <c r="AI48" s="53">
        <f t="shared" si="3"/>
        <v>358.3</v>
      </c>
      <c r="AK48" s="54"/>
    </row>
    <row r="49" spans="1:41" x14ac:dyDescent="0.25">
      <c r="A49" s="69" t="s">
        <v>53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15</v>
      </c>
      <c r="H49" s="50">
        <v>15</v>
      </c>
      <c r="I49" s="50">
        <v>35</v>
      </c>
      <c r="J49" s="50">
        <v>65</v>
      </c>
      <c r="K49" s="50">
        <v>100</v>
      </c>
      <c r="L49" s="50">
        <v>115</v>
      </c>
      <c r="M49" s="70">
        <v>80</v>
      </c>
      <c r="N49" s="70">
        <v>70</v>
      </c>
      <c r="O49" s="70">
        <v>70</v>
      </c>
      <c r="P49" s="50">
        <v>80</v>
      </c>
      <c r="Q49" s="50">
        <v>80</v>
      </c>
      <c r="R49" s="50">
        <v>40</v>
      </c>
      <c r="S49" s="50">
        <v>50</v>
      </c>
      <c r="T49" s="50">
        <v>50</v>
      </c>
      <c r="U49" s="50">
        <v>60</v>
      </c>
      <c r="V49" s="50">
        <v>60</v>
      </c>
      <c r="W49" s="50">
        <v>60</v>
      </c>
      <c r="X49" s="50">
        <v>60</v>
      </c>
      <c r="Y49" s="50">
        <v>80</v>
      </c>
      <c r="Z49" s="50">
        <v>210</v>
      </c>
      <c r="AA49" s="50">
        <v>210</v>
      </c>
      <c r="AB49" s="50">
        <v>170</v>
      </c>
      <c r="AC49" s="50">
        <v>130</v>
      </c>
      <c r="AD49" s="50">
        <v>90</v>
      </c>
      <c r="AE49" s="50">
        <v>85</v>
      </c>
      <c r="AF49" s="50">
        <v>65</v>
      </c>
      <c r="AG49" s="56">
        <v>456</v>
      </c>
      <c r="AH49" s="52">
        <f t="shared" si="2"/>
        <v>210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50</v>
      </c>
      <c r="C50" s="72">
        <v>50</v>
      </c>
      <c r="D50" s="72">
        <v>50</v>
      </c>
      <c r="E50" s="72">
        <v>50</v>
      </c>
      <c r="F50" s="72">
        <v>50</v>
      </c>
      <c r="G50" s="72">
        <v>50</v>
      </c>
      <c r="H50" s="72">
        <v>50</v>
      </c>
      <c r="I50" s="72">
        <v>50</v>
      </c>
      <c r="J50" s="72">
        <v>50</v>
      </c>
      <c r="K50" s="72">
        <v>50</v>
      </c>
      <c r="L50" s="72">
        <v>50</v>
      </c>
      <c r="M50" s="72">
        <v>36</v>
      </c>
      <c r="N50" s="72">
        <v>36</v>
      </c>
      <c r="O50" s="72">
        <v>36</v>
      </c>
      <c r="P50" s="72">
        <v>36</v>
      </c>
      <c r="Q50" s="72">
        <v>36</v>
      </c>
      <c r="R50" s="72">
        <v>36</v>
      </c>
      <c r="S50" s="72">
        <v>36</v>
      </c>
      <c r="T50" s="72">
        <v>36</v>
      </c>
      <c r="U50" s="72">
        <v>36</v>
      </c>
      <c r="V50" s="72">
        <v>36</v>
      </c>
      <c r="W50" s="72">
        <v>36</v>
      </c>
      <c r="X50" s="72">
        <v>36</v>
      </c>
      <c r="Y50" s="72">
        <v>36</v>
      </c>
      <c r="Z50" s="72">
        <v>36</v>
      </c>
      <c r="AA50" s="72">
        <v>36</v>
      </c>
      <c r="AB50" s="72">
        <v>36</v>
      </c>
      <c r="AC50" s="72">
        <v>36</v>
      </c>
      <c r="AD50" s="72">
        <v>36</v>
      </c>
      <c r="AE50" s="72">
        <v>36</v>
      </c>
      <c r="AF50" s="72">
        <v>36</v>
      </c>
      <c r="AG50" s="61">
        <v>60</v>
      </c>
      <c r="AH50" s="52">
        <f t="shared" si="2"/>
        <v>50</v>
      </c>
      <c r="AI50" s="53">
        <f t="shared" si="3"/>
        <v>36</v>
      </c>
      <c r="AK50" s="54"/>
    </row>
    <row r="51" spans="1:41" ht="15.75" thickBot="1" x14ac:dyDescent="0.3">
      <c r="A51" s="73" t="s">
        <v>55</v>
      </c>
      <c r="B51" s="74">
        <v>11.2</v>
      </c>
      <c r="C51" s="74">
        <v>11.2</v>
      </c>
      <c r="D51" s="74">
        <v>11.2</v>
      </c>
      <c r="E51" s="74">
        <v>11.2</v>
      </c>
      <c r="F51" s="74">
        <v>11.2</v>
      </c>
      <c r="G51" s="74">
        <v>11.2</v>
      </c>
      <c r="H51" s="74">
        <v>11.2</v>
      </c>
      <c r="I51" s="74">
        <v>11.2</v>
      </c>
      <c r="J51" s="74">
        <v>11.2</v>
      </c>
      <c r="K51" s="74">
        <v>11.2</v>
      </c>
      <c r="L51" s="74">
        <v>11.2</v>
      </c>
      <c r="M51" s="74">
        <v>11.2</v>
      </c>
      <c r="N51" s="74">
        <v>11.2</v>
      </c>
      <c r="O51" s="74">
        <v>11.2</v>
      </c>
      <c r="P51" s="74">
        <v>10</v>
      </c>
      <c r="Q51" s="74">
        <v>10</v>
      </c>
      <c r="R51" s="74">
        <v>9</v>
      </c>
      <c r="S51" s="74">
        <v>9</v>
      </c>
      <c r="T51" s="74">
        <v>9</v>
      </c>
      <c r="U51" s="74">
        <v>11</v>
      </c>
      <c r="V51" s="74">
        <v>11</v>
      </c>
      <c r="W51" s="74">
        <v>11</v>
      </c>
      <c r="X51" s="74">
        <v>11</v>
      </c>
      <c r="Y51" s="74">
        <v>11.1</v>
      </c>
      <c r="Z51" s="74">
        <v>11.1</v>
      </c>
      <c r="AA51" s="74">
        <v>11.1</v>
      </c>
      <c r="AB51" s="74">
        <v>11.2</v>
      </c>
      <c r="AC51" s="74">
        <v>11.2</v>
      </c>
      <c r="AD51" s="74">
        <v>11.2</v>
      </c>
      <c r="AE51" s="74">
        <v>11.2</v>
      </c>
      <c r="AF51" s="74">
        <v>11.2</v>
      </c>
      <c r="AG51" s="75">
        <v>22.1</v>
      </c>
      <c r="AH51" s="52">
        <f t="shared" si="2"/>
        <v>11.2</v>
      </c>
      <c r="AI51" s="53">
        <f t="shared" si="3"/>
        <v>9</v>
      </c>
      <c r="AK51" s="54"/>
    </row>
    <row r="52" spans="1:41" ht="15.75" thickBot="1" x14ac:dyDescent="0.3">
      <c r="A52" s="76" t="s">
        <v>56</v>
      </c>
      <c r="B52" s="67">
        <f t="shared" ref="B52:AG52" si="6">SUM(B49:B51)</f>
        <v>61.2</v>
      </c>
      <c r="C52" s="67">
        <f t="shared" si="6"/>
        <v>61.2</v>
      </c>
      <c r="D52" s="67">
        <f t="shared" si="6"/>
        <v>61.2</v>
      </c>
      <c r="E52" s="67">
        <f t="shared" si="6"/>
        <v>61.2</v>
      </c>
      <c r="F52" s="67">
        <f t="shared" si="6"/>
        <v>61.2</v>
      </c>
      <c r="G52" s="67">
        <f t="shared" si="6"/>
        <v>76.2</v>
      </c>
      <c r="H52" s="67">
        <f t="shared" si="6"/>
        <v>76.2</v>
      </c>
      <c r="I52" s="67">
        <f t="shared" si="6"/>
        <v>96.2</v>
      </c>
      <c r="J52" s="67">
        <f t="shared" si="6"/>
        <v>126.2</v>
      </c>
      <c r="K52" s="67">
        <f t="shared" si="6"/>
        <v>161.19999999999999</v>
      </c>
      <c r="L52" s="67">
        <f t="shared" si="6"/>
        <v>176.2</v>
      </c>
      <c r="M52" s="67">
        <f t="shared" si="6"/>
        <v>127.2</v>
      </c>
      <c r="N52" s="67">
        <f t="shared" si="6"/>
        <v>117.2</v>
      </c>
      <c r="O52" s="67">
        <f t="shared" si="6"/>
        <v>117.2</v>
      </c>
      <c r="P52" s="67">
        <f t="shared" si="6"/>
        <v>126</v>
      </c>
      <c r="Q52" s="67">
        <f t="shared" si="6"/>
        <v>126</v>
      </c>
      <c r="R52" s="67">
        <f t="shared" si="6"/>
        <v>85</v>
      </c>
      <c r="S52" s="67">
        <f t="shared" si="6"/>
        <v>95</v>
      </c>
      <c r="T52" s="67">
        <f t="shared" si="6"/>
        <v>95</v>
      </c>
      <c r="U52" s="67">
        <f t="shared" si="6"/>
        <v>107</v>
      </c>
      <c r="V52" s="67">
        <f t="shared" si="6"/>
        <v>107</v>
      </c>
      <c r="W52" s="67">
        <f t="shared" si="6"/>
        <v>107</v>
      </c>
      <c r="X52" s="67">
        <f t="shared" si="6"/>
        <v>107</v>
      </c>
      <c r="Y52" s="67">
        <f t="shared" si="6"/>
        <v>127.1</v>
      </c>
      <c r="Z52" s="67">
        <f t="shared" si="6"/>
        <v>257.10000000000002</v>
      </c>
      <c r="AA52" s="67">
        <f t="shared" si="6"/>
        <v>257.10000000000002</v>
      </c>
      <c r="AB52" s="67">
        <f t="shared" si="6"/>
        <v>217.2</v>
      </c>
      <c r="AC52" s="67">
        <f t="shared" si="6"/>
        <v>177.2</v>
      </c>
      <c r="AD52" s="67">
        <f t="shared" si="6"/>
        <v>137.19999999999999</v>
      </c>
      <c r="AE52" s="67">
        <f t="shared" si="6"/>
        <v>132.19999999999999</v>
      </c>
      <c r="AF52" s="67">
        <f t="shared" si="6"/>
        <v>112.2</v>
      </c>
      <c r="AG52" s="68">
        <f t="shared" si="6"/>
        <v>538.1</v>
      </c>
      <c r="AH52" s="52">
        <f t="shared" si="2"/>
        <v>257.10000000000002</v>
      </c>
      <c r="AI52" s="53">
        <f t="shared" si="3"/>
        <v>61.2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22.1</v>
      </c>
      <c r="I53" s="50">
        <v>48</v>
      </c>
      <c r="J53" s="50">
        <v>94.9</v>
      </c>
      <c r="K53" s="50">
        <v>115.5</v>
      </c>
      <c r="L53" s="50">
        <v>106.6</v>
      </c>
      <c r="M53" s="50">
        <v>91.1</v>
      </c>
      <c r="N53" s="50">
        <v>93.5</v>
      </c>
      <c r="O53" s="50">
        <v>111.4</v>
      </c>
      <c r="P53" s="50">
        <v>126.9</v>
      </c>
      <c r="Q53" s="50">
        <v>91.7</v>
      </c>
      <c r="R53" s="50">
        <v>76.5</v>
      </c>
      <c r="S53" s="50">
        <v>82</v>
      </c>
      <c r="T53" s="50">
        <v>91</v>
      </c>
      <c r="U53" s="50">
        <v>91</v>
      </c>
      <c r="V53" s="50">
        <v>82</v>
      </c>
      <c r="W53" s="50">
        <v>80</v>
      </c>
      <c r="X53" s="50">
        <v>65</v>
      </c>
      <c r="Y53" s="50">
        <v>68</v>
      </c>
      <c r="Z53" s="50">
        <v>92</v>
      </c>
      <c r="AA53" s="50">
        <v>60</v>
      </c>
      <c r="AB53" s="50">
        <v>61.3</v>
      </c>
      <c r="AC53" s="50">
        <v>46.7</v>
      </c>
      <c r="AD53" s="50">
        <v>0</v>
      </c>
      <c r="AE53" s="50">
        <v>0</v>
      </c>
      <c r="AF53" s="50">
        <v>0</v>
      </c>
      <c r="AG53" s="56">
        <v>144</v>
      </c>
      <c r="AH53" s="52">
        <f t="shared" si="2"/>
        <v>126.9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35</v>
      </c>
      <c r="C54" s="72">
        <v>35</v>
      </c>
      <c r="D54" s="72">
        <v>22</v>
      </c>
      <c r="E54" s="72">
        <v>23.2</v>
      </c>
      <c r="F54" s="72">
        <v>22</v>
      </c>
      <c r="G54" s="72">
        <v>24.9</v>
      </c>
      <c r="H54" s="72">
        <v>34.1</v>
      </c>
      <c r="I54" s="72">
        <v>35</v>
      </c>
      <c r="J54" s="72">
        <v>34.9</v>
      </c>
      <c r="K54" s="72">
        <v>34.700000000000003</v>
      </c>
      <c r="L54" s="72">
        <v>34.700000000000003</v>
      </c>
      <c r="M54" s="72">
        <v>34.799999999999997</v>
      </c>
      <c r="N54" s="72">
        <v>34.799999999999997</v>
      </c>
      <c r="O54" s="72">
        <v>25</v>
      </c>
      <c r="P54" s="72">
        <v>34.799999999999997</v>
      </c>
      <c r="Q54" s="72">
        <v>24.9</v>
      </c>
      <c r="R54" s="50">
        <v>34.799999999999997</v>
      </c>
      <c r="S54" s="50">
        <v>35</v>
      </c>
      <c r="T54" s="50">
        <v>35</v>
      </c>
      <c r="U54" s="50">
        <v>35</v>
      </c>
      <c r="V54" s="50">
        <v>35</v>
      </c>
      <c r="W54" s="50">
        <v>35</v>
      </c>
      <c r="X54" s="50">
        <v>20</v>
      </c>
      <c r="Y54" s="50">
        <v>20</v>
      </c>
      <c r="Z54" s="50">
        <v>42</v>
      </c>
      <c r="AA54" s="50">
        <v>42</v>
      </c>
      <c r="AB54" s="72">
        <v>41.6</v>
      </c>
      <c r="AC54" s="72">
        <v>35</v>
      </c>
      <c r="AD54" s="72">
        <v>35</v>
      </c>
      <c r="AE54" s="72">
        <v>35</v>
      </c>
      <c r="AF54" s="72">
        <v>35</v>
      </c>
      <c r="AG54" s="61">
        <v>70</v>
      </c>
      <c r="AH54" s="52">
        <f t="shared" si="2"/>
        <v>42</v>
      </c>
      <c r="AI54" s="53">
        <f t="shared" si="3"/>
        <v>20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16.899999999999999</v>
      </c>
      <c r="G55" s="72">
        <v>40.4</v>
      </c>
      <c r="H55" s="72">
        <v>32.299999999999997</v>
      </c>
      <c r="I55" s="72">
        <v>46</v>
      </c>
      <c r="J55" s="72">
        <v>62</v>
      </c>
      <c r="K55" s="72">
        <v>63</v>
      </c>
      <c r="L55" s="72">
        <v>64</v>
      </c>
      <c r="M55" s="72">
        <v>71.3</v>
      </c>
      <c r="N55" s="72">
        <v>68.599999999999994</v>
      </c>
      <c r="O55" s="72">
        <v>68.599999999999994</v>
      </c>
      <c r="P55" s="72">
        <v>68.8</v>
      </c>
      <c r="Q55" s="72">
        <v>34.799999999999997</v>
      </c>
      <c r="R55" s="50">
        <v>45</v>
      </c>
      <c r="S55" s="50">
        <v>45</v>
      </c>
      <c r="T55" s="50">
        <v>45</v>
      </c>
      <c r="U55" s="50">
        <v>42</v>
      </c>
      <c r="V55" s="50">
        <v>42</v>
      </c>
      <c r="W55" s="50">
        <v>42</v>
      </c>
      <c r="X55" s="50">
        <v>32</v>
      </c>
      <c r="Y55" s="50">
        <v>60</v>
      </c>
      <c r="Z55" s="50">
        <v>61</v>
      </c>
      <c r="AA55" s="50">
        <v>68</v>
      </c>
      <c r="AB55" s="72">
        <v>35.799999999999997</v>
      </c>
      <c r="AC55" s="72">
        <v>24</v>
      </c>
      <c r="AD55" s="72">
        <v>22</v>
      </c>
      <c r="AE55" s="72">
        <v>22</v>
      </c>
      <c r="AF55" s="72">
        <v>22</v>
      </c>
      <c r="AG55" s="61">
        <v>69</v>
      </c>
      <c r="AH55" s="52">
        <f t="shared" si="2"/>
        <v>71.3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40.299999999999997</v>
      </c>
      <c r="C56" s="72">
        <v>40.299999999999997</v>
      </c>
      <c r="D56" s="72">
        <v>40.299999999999997</v>
      </c>
      <c r="E56" s="72">
        <v>40.299999999999997</v>
      </c>
      <c r="F56" s="63">
        <v>40.299999999999997</v>
      </c>
      <c r="G56" s="63">
        <v>40.299999999999997</v>
      </c>
      <c r="H56" s="63">
        <v>40.299999999999997</v>
      </c>
      <c r="I56" s="63">
        <v>40.299999999999997</v>
      </c>
      <c r="J56" s="63">
        <v>40.299999999999997</v>
      </c>
      <c r="K56" s="63">
        <v>39.299999999999997</v>
      </c>
      <c r="L56" s="63">
        <v>39.299999999999997</v>
      </c>
      <c r="M56" s="72">
        <v>37.1</v>
      </c>
      <c r="N56" s="72">
        <v>37.1</v>
      </c>
      <c r="O56" s="72">
        <v>37.1</v>
      </c>
      <c r="P56" s="72">
        <v>39</v>
      </c>
      <c r="Q56" s="72">
        <v>39</v>
      </c>
      <c r="R56" s="50">
        <v>38.299999999999997</v>
      </c>
      <c r="S56" s="50">
        <v>38.299999999999997</v>
      </c>
      <c r="T56" s="50">
        <v>38.299999999999997</v>
      </c>
      <c r="U56" s="50">
        <v>38.299999999999997</v>
      </c>
      <c r="V56" s="50">
        <v>38.299999999999997</v>
      </c>
      <c r="W56" s="50">
        <v>38.299999999999997</v>
      </c>
      <c r="X56" s="50">
        <v>38.299999999999997</v>
      </c>
      <c r="Y56" s="50">
        <v>36</v>
      </c>
      <c r="Z56" s="50">
        <v>36</v>
      </c>
      <c r="AA56" s="50">
        <v>36</v>
      </c>
      <c r="AB56" s="72">
        <v>37.1</v>
      </c>
      <c r="AC56" s="72">
        <v>37.1</v>
      </c>
      <c r="AD56" s="72">
        <v>37.1</v>
      </c>
      <c r="AE56" s="72">
        <v>37.1</v>
      </c>
      <c r="AF56" s="72">
        <v>38</v>
      </c>
      <c r="AG56" s="61">
        <v>60</v>
      </c>
      <c r="AH56" s="52">
        <f t="shared" si="2"/>
        <v>40.299999999999997</v>
      </c>
      <c r="AI56" s="53">
        <f t="shared" si="3"/>
        <v>36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63">
        <v>10</v>
      </c>
      <c r="G57" s="63">
        <v>15</v>
      </c>
      <c r="H57" s="63">
        <v>15</v>
      </c>
      <c r="I57" s="63">
        <v>15</v>
      </c>
      <c r="J57" s="63">
        <v>28</v>
      </c>
      <c r="K57" s="63">
        <v>20</v>
      </c>
      <c r="L57" s="63">
        <v>15</v>
      </c>
      <c r="M57" s="72">
        <v>14.8</v>
      </c>
      <c r="N57" s="72">
        <v>14.7</v>
      </c>
      <c r="O57" s="72">
        <v>14.7</v>
      </c>
      <c r="P57" s="72">
        <v>0</v>
      </c>
      <c r="Q57" s="72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15</v>
      </c>
      <c r="X57" s="50">
        <v>15</v>
      </c>
      <c r="Y57" s="50">
        <v>15</v>
      </c>
      <c r="Z57" s="50">
        <v>25</v>
      </c>
      <c r="AA57" s="50">
        <v>25</v>
      </c>
      <c r="AB57" s="72">
        <v>25</v>
      </c>
      <c r="AC57" s="72">
        <v>28</v>
      </c>
      <c r="AD57" s="72">
        <v>0</v>
      </c>
      <c r="AE57" s="72">
        <v>0</v>
      </c>
      <c r="AF57" s="72">
        <v>0</v>
      </c>
      <c r="AG57" s="61">
        <v>30</v>
      </c>
      <c r="AH57" s="52">
        <f t="shared" si="2"/>
        <v>28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50">
        <v>4</v>
      </c>
      <c r="N58" s="72">
        <v>6</v>
      </c>
      <c r="O58" s="72">
        <v>6</v>
      </c>
      <c r="P58" s="72">
        <v>19.2</v>
      </c>
      <c r="Q58" s="72">
        <v>20.399999999999999</v>
      </c>
      <c r="R58" s="72">
        <v>19.399999999999999</v>
      </c>
      <c r="S58" s="72">
        <v>17.37</v>
      </c>
      <c r="T58" s="72">
        <v>14.27</v>
      </c>
      <c r="U58" s="72">
        <v>8.99</v>
      </c>
      <c r="V58" s="72">
        <v>2.5</v>
      </c>
      <c r="W58" s="72">
        <v>2.2000000000000002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20.399999999999999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14</v>
      </c>
      <c r="C59" s="72">
        <v>14</v>
      </c>
      <c r="D59" s="72">
        <v>14</v>
      </c>
      <c r="E59" s="72">
        <v>14</v>
      </c>
      <c r="F59" s="72">
        <v>14</v>
      </c>
      <c r="G59" s="72">
        <v>14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14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14</v>
      </c>
      <c r="AA59" s="72">
        <v>14</v>
      </c>
      <c r="AB59" s="72">
        <v>14</v>
      </c>
      <c r="AC59" s="72">
        <v>14</v>
      </c>
      <c r="AD59" s="72">
        <v>14</v>
      </c>
      <c r="AE59" s="72">
        <v>14</v>
      </c>
      <c r="AF59" s="72">
        <v>14</v>
      </c>
      <c r="AG59" s="61">
        <v>24</v>
      </c>
      <c r="AH59" s="52">
        <f t="shared" si="2"/>
        <v>15</v>
      </c>
      <c r="AI59" s="53">
        <f t="shared" si="3"/>
        <v>14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10</v>
      </c>
      <c r="C61" s="72">
        <v>10</v>
      </c>
      <c r="D61" s="72">
        <v>10</v>
      </c>
      <c r="E61" s="72">
        <v>10</v>
      </c>
      <c r="F61" s="72">
        <v>10</v>
      </c>
      <c r="G61" s="72">
        <v>10</v>
      </c>
      <c r="H61" s="72">
        <v>11.5</v>
      </c>
      <c r="I61" s="72">
        <v>11.5</v>
      </c>
      <c r="J61" s="72">
        <v>11.5</v>
      </c>
      <c r="K61" s="72">
        <v>11.5</v>
      </c>
      <c r="L61" s="72">
        <v>11.5</v>
      </c>
      <c r="M61" s="72">
        <v>11.5</v>
      </c>
      <c r="N61" s="72">
        <v>11.5</v>
      </c>
      <c r="O61" s="72">
        <v>11.5</v>
      </c>
      <c r="P61" s="72">
        <v>12.7</v>
      </c>
      <c r="Q61" s="72">
        <v>12.2</v>
      </c>
      <c r="R61" s="72">
        <v>12.2</v>
      </c>
      <c r="S61" s="72">
        <v>12.2</v>
      </c>
      <c r="T61" s="72">
        <v>12.2</v>
      </c>
      <c r="U61" s="72">
        <v>12.2</v>
      </c>
      <c r="V61" s="72">
        <v>12.2</v>
      </c>
      <c r="W61" s="72">
        <v>12.2</v>
      </c>
      <c r="X61" s="72">
        <v>12.2</v>
      </c>
      <c r="Y61" s="72">
        <v>12.2</v>
      </c>
      <c r="Z61" s="72">
        <v>12.2</v>
      </c>
      <c r="AA61" s="72">
        <v>12.2</v>
      </c>
      <c r="AB61" s="72">
        <v>12.2</v>
      </c>
      <c r="AC61" s="72">
        <v>12.2</v>
      </c>
      <c r="AD61" s="72">
        <v>12.2</v>
      </c>
      <c r="AE61" s="72">
        <v>12.2</v>
      </c>
      <c r="AF61" s="72">
        <v>12.2</v>
      </c>
      <c r="AG61" s="61">
        <v>14.1</v>
      </c>
      <c r="AH61" s="52">
        <f t="shared" si="2"/>
        <v>12.7</v>
      </c>
      <c r="AI61" s="53">
        <f t="shared" si="3"/>
        <v>10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4.5999999999999996</v>
      </c>
      <c r="C62" s="72">
        <v>4.5999999999999996</v>
      </c>
      <c r="D62" s="72">
        <v>4.5999999999999996</v>
      </c>
      <c r="E62" s="72">
        <v>4.5999999999999996</v>
      </c>
      <c r="F62" s="72">
        <v>4.5999999999999996</v>
      </c>
      <c r="G62" s="72">
        <v>4.5999999999999996</v>
      </c>
      <c r="H62" s="72">
        <v>4.5999999999999996</v>
      </c>
      <c r="I62" s="72">
        <v>4.5999999999999996</v>
      </c>
      <c r="J62" s="72">
        <v>4.5999999999999996</v>
      </c>
      <c r="K62" s="72">
        <v>4.5999999999999996</v>
      </c>
      <c r="L62" s="72">
        <v>4.5999999999999996</v>
      </c>
      <c r="M62" s="72">
        <v>4.5999999999999996</v>
      </c>
      <c r="N62" s="72">
        <v>5</v>
      </c>
      <c r="O62" s="72">
        <v>5</v>
      </c>
      <c r="P62" s="72">
        <v>4.9000000000000004</v>
      </c>
      <c r="Q62" s="72">
        <v>3</v>
      </c>
      <c r="R62" s="72">
        <v>3</v>
      </c>
      <c r="S62" s="72">
        <v>3</v>
      </c>
      <c r="T62" s="72">
        <v>3</v>
      </c>
      <c r="U62" s="72">
        <v>3</v>
      </c>
      <c r="V62" s="72">
        <v>3</v>
      </c>
      <c r="W62" s="72">
        <v>3</v>
      </c>
      <c r="X62" s="72">
        <v>3</v>
      </c>
      <c r="Y62" s="72">
        <v>3</v>
      </c>
      <c r="Z62" s="72">
        <v>3</v>
      </c>
      <c r="AA62" s="72">
        <v>3</v>
      </c>
      <c r="AB62" s="72">
        <v>3</v>
      </c>
      <c r="AC62" s="72">
        <v>3</v>
      </c>
      <c r="AD62" s="72">
        <v>3</v>
      </c>
      <c r="AE62" s="72">
        <v>3</v>
      </c>
      <c r="AF62" s="72">
        <v>3</v>
      </c>
      <c r="AG62" s="61">
        <v>14</v>
      </c>
      <c r="AH62" s="52">
        <f t="shared" si="2"/>
        <v>5</v>
      </c>
      <c r="AI62" s="53">
        <f t="shared" si="3"/>
        <v>3</v>
      </c>
      <c r="AK62" s="54"/>
    </row>
    <row r="63" spans="1:41" x14ac:dyDescent="0.25">
      <c r="A63" s="60" t="s">
        <v>67</v>
      </c>
      <c r="B63" s="72">
        <v>5.2</v>
      </c>
      <c r="C63" s="72">
        <v>5.2</v>
      </c>
      <c r="D63" s="72">
        <v>5.2</v>
      </c>
      <c r="E63" s="72">
        <v>5.2</v>
      </c>
      <c r="F63" s="72">
        <v>5.2</v>
      </c>
      <c r="G63" s="72">
        <v>5.2</v>
      </c>
      <c r="H63" s="72">
        <v>5.2</v>
      </c>
      <c r="I63" s="72">
        <v>5.2</v>
      </c>
      <c r="J63" s="72">
        <v>5.2</v>
      </c>
      <c r="K63" s="72">
        <v>5.2</v>
      </c>
      <c r="L63" s="72">
        <v>5.2</v>
      </c>
      <c r="M63" s="72">
        <v>5.2</v>
      </c>
      <c r="N63" s="72">
        <v>5.2</v>
      </c>
      <c r="O63" s="72">
        <v>5.2</v>
      </c>
      <c r="P63" s="72">
        <v>5.2</v>
      </c>
      <c r="Q63" s="72">
        <v>5.2</v>
      </c>
      <c r="R63" s="72">
        <v>5.2</v>
      </c>
      <c r="S63" s="72">
        <v>5.2</v>
      </c>
      <c r="T63" s="72">
        <v>5.2</v>
      </c>
      <c r="U63" s="72">
        <v>5.2</v>
      </c>
      <c r="V63" s="72">
        <v>5.2</v>
      </c>
      <c r="W63" s="72">
        <v>5.2</v>
      </c>
      <c r="X63" s="72">
        <v>5.2</v>
      </c>
      <c r="Y63" s="72">
        <v>5.2</v>
      </c>
      <c r="Z63" s="72">
        <v>5.2</v>
      </c>
      <c r="AA63" s="72">
        <v>5.2</v>
      </c>
      <c r="AB63" s="72">
        <v>5.2</v>
      </c>
      <c r="AC63" s="72">
        <v>5.2</v>
      </c>
      <c r="AD63" s="72">
        <v>5.2</v>
      </c>
      <c r="AE63" s="72">
        <v>5.2</v>
      </c>
      <c r="AF63" s="72">
        <v>5.2</v>
      </c>
      <c r="AG63" s="61">
        <v>10.050000000000001</v>
      </c>
      <c r="AH63" s="52">
        <f t="shared" si="2"/>
        <v>5.2</v>
      </c>
      <c r="AI63" s="53">
        <f t="shared" si="3"/>
        <v>5.2</v>
      </c>
      <c r="AK63" s="54"/>
    </row>
    <row r="64" spans="1:41" x14ac:dyDescent="0.25">
      <c r="A64" s="60" t="s">
        <v>68</v>
      </c>
      <c r="B64" s="72">
        <v>2.4</v>
      </c>
      <c r="C64" s="72">
        <v>2.4</v>
      </c>
      <c r="D64" s="72">
        <v>2.4</v>
      </c>
      <c r="E64" s="72">
        <v>2.4</v>
      </c>
      <c r="F64" s="72">
        <v>2.4</v>
      </c>
      <c r="G64" s="72">
        <v>2.4</v>
      </c>
      <c r="H64" s="72">
        <v>2.4</v>
      </c>
      <c r="I64" s="72">
        <v>2.4</v>
      </c>
      <c r="J64" s="72">
        <v>2.4</v>
      </c>
      <c r="K64" s="72">
        <v>2.4</v>
      </c>
      <c r="L64" s="72">
        <v>2.4</v>
      </c>
      <c r="M64" s="72">
        <v>2.4</v>
      </c>
      <c r="N64" s="72">
        <v>2.4</v>
      </c>
      <c r="O64" s="72">
        <v>2.4</v>
      </c>
      <c r="P64" s="72">
        <v>2.4</v>
      </c>
      <c r="Q64" s="72">
        <v>2.4</v>
      </c>
      <c r="R64" s="72">
        <v>2.4</v>
      </c>
      <c r="S64" s="72">
        <v>2.4</v>
      </c>
      <c r="T64" s="72">
        <v>2.4</v>
      </c>
      <c r="U64" s="72">
        <v>2.4</v>
      </c>
      <c r="V64" s="72">
        <v>2.4</v>
      </c>
      <c r="W64" s="72">
        <v>2.4</v>
      </c>
      <c r="X64" s="72">
        <v>2.4</v>
      </c>
      <c r="Y64" s="72">
        <v>2.4</v>
      </c>
      <c r="Z64" s="72">
        <v>2.4</v>
      </c>
      <c r="AA64" s="72">
        <v>2.4</v>
      </c>
      <c r="AB64" s="72">
        <v>2.4</v>
      </c>
      <c r="AC64" s="72">
        <v>2.4</v>
      </c>
      <c r="AD64" s="72">
        <v>2.4</v>
      </c>
      <c r="AE64" s="72">
        <v>2.4</v>
      </c>
      <c r="AF64" s="72">
        <v>2.4</v>
      </c>
      <c r="AG64" s="61">
        <v>6.2</v>
      </c>
      <c r="AH64" s="52">
        <f t="shared" si="2"/>
        <v>2.4</v>
      </c>
      <c r="AI64" s="53">
        <f t="shared" si="3"/>
        <v>2.4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7">SUM(B53:B65)</f>
        <v>115.04</v>
      </c>
      <c r="C66" s="67">
        <f t="shared" si="7"/>
        <v>115.04</v>
      </c>
      <c r="D66" s="67">
        <f t="shared" si="7"/>
        <v>102.04</v>
      </c>
      <c r="E66" s="67">
        <f t="shared" si="7"/>
        <v>103.24000000000001</v>
      </c>
      <c r="F66" s="67">
        <f t="shared" si="7"/>
        <v>128.94</v>
      </c>
      <c r="G66" s="67">
        <f t="shared" si="7"/>
        <v>160.33999999999997</v>
      </c>
      <c r="H66" s="67">
        <f t="shared" si="7"/>
        <v>186.04</v>
      </c>
      <c r="I66" s="67">
        <f t="shared" si="7"/>
        <v>226.54</v>
      </c>
      <c r="J66" s="67">
        <f t="shared" si="7"/>
        <v>302.34000000000003</v>
      </c>
      <c r="K66" s="67">
        <f t="shared" si="7"/>
        <v>314.74</v>
      </c>
      <c r="L66" s="67">
        <f t="shared" si="7"/>
        <v>301.84000000000003</v>
      </c>
      <c r="M66" s="67">
        <f t="shared" si="7"/>
        <v>295.34000000000003</v>
      </c>
      <c r="N66" s="67">
        <f t="shared" si="7"/>
        <v>297.33999999999997</v>
      </c>
      <c r="O66" s="67">
        <f t="shared" si="7"/>
        <v>305.44</v>
      </c>
      <c r="P66" s="67">
        <f t="shared" si="7"/>
        <v>331.43999999999994</v>
      </c>
      <c r="Q66" s="67">
        <f t="shared" si="7"/>
        <v>251.13999999999996</v>
      </c>
      <c r="R66" s="67">
        <f t="shared" si="7"/>
        <v>254.34</v>
      </c>
      <c r="S66" s="67">
        <f t="shared" si="7"/>
        <v>258.01</v>
      </c>
      <c r="T66" s="67">
        <f t="shared" si="7"/>
        <v>263.91000000000003</v>
      </c>
      <c r="U66" s="67">
        <f t="shared" si="7"/>
        <v>255.63</v>
      </c>
      <c r="V66" s="67">
        <f t="shared" si="7"/>
        <v>240.14</v>
      </c>
      <c r="W66" s="67">
        <f t="shared" si="7"/>
        <v>252.83999999999997</v>
      </c>
      <c r="X66" s="67">
        <f t="shared" si="7"/>
        <v>210.64</v>
      </c>
      <c r="Y66" s="67">
        <f t="shared" si="7"/>
        <v>239.33999999999997</v>
      </c>
      <c r="Z66" s="67">
        <f t="shared" si="7"/>
        <v>296.33999999999997</v>
      </c>
      <c r="AA66" s="67">
        <f t="shared" si="7"/>
        <v>271.33999999999997</v>
      </c>
      <c r="AB66" s="67">
        <f t="shared" si="7"/>
        <v>241.13999999999996</v>
      </c>
      <c r="AC66" s="67">
        <f t="shared" si="7"/>
        <v>211.14</v>
      </c>
      <c r="AD66" s="67">
        <f t="shared" si="7"/>
        <v>134.44</v>
      </c>
      <c r="AE66" s="67">
        <f t="shared" si="7"/>
        <v>134.44</v>
      </c>
      <c r="AF66" s="67">
        <f t="shared" si="7"/>
        <v>135.34</v>
      </c>
      <c r="AG66" s="68">
        <f t="shared" si="7"/>
        <v>489.91</v>
      </c>
      <c r="AH66" s="52">
        <f t="shared" si="2"/>
        <v>331.43999999999994</v>
      </c>
      <c r="AI66" s="53">
        <f t="shared" si="3"/>
        <v>102.04</v>
      </c>
      <c r="AK66" s="54"/>
    </row>
    <row r="67" spans="1:40" x14ac:dyDescent="0.25">
      <c r="A67" s="49" t="s">
        <v>71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25</v>
      </c>
      <c r="R67" s="50">
        <v>30</v>
      </c>
      <c r="S67" s="50">
        <v>30</v>
      </c>
      <c r="T67" s="50">
        <v>45</v>
      </c>
      <c r="U67" s="50">
        <v>50</v>
      </c>
      <c r="V67" s="50">
        <v>56</v>
      </c>
      <c r="W67" s="50">
        <v>34</v>
      </c>
      <c r="X67" s="50">
        <v>15</v>
      </c>
      <c r="Y67" s="50">
        <v>30</v>
      </c>
      <c r="Z67" s="50">
        <v>60</v>
      </c>
      <c r="AA67" s="50">
        <v>40</v>
      </c>
      <c r="AB67" s="50">
        <v>14</v>
      </c>
      <c r="AC67" s="50">
        <v>30</v>
      </c>
      <c r="AD67" s="50">
        <v>30</v>
      </c>
      <c r="AE67" s="50">
        <v>30</v>
      </c>
      <c r="AF67" s="50">
        <v>10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0</v>
      </c>
      <c r="C68" s="72">
        <v>0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50">
        <v>10.9</v>
      </c>
      <c r="R68" s="50">
        <v>14</v>
      </c>
      <c r="S68" s="72">
        <v>14</v>
      </c>
      <c r="T68" s="72">
        <v>21</v>
      </c>
      <c r="U68" s="72">
        <v>25</v>
      </c>
      <c r="V68" s="72">
        <v>28</v>
      </c>
      <c r="W68" s="72">
        <v>14</v>
      </c>
      <c r="X68" s="72">
        <v>5</v>
      </c>
      <c r="Y68" s="72">
        <v>10</v>
      </c>
      <c r="Z68" s="72">
        <v>20</v>
      </c>
      <c r="AA68" s="72">
        <v>26</v>
      </c>
      <c r="AB68" s="72">
        <v>7.3</v>
      </c>
      <c r="AC68" s="72">
        <v>13</v>
      </c>
      <c r="AD68" s="72">
        <v>13</v>
      </c>
      <c r="AE68" s="72">
        <v>13</v>
      </c>
      <c r="AF68" s="50">
        <v>3.4</v>
      </c>
      <c r="AG68" s="61">
        <v>32</v>
      </c>
      <c r="AH68" s="52">
        <f t="shared" si="2"/>
        <v>28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0</v>
      </c>
      <c r="C69" s="74">
        <v>0</v>
      </c>
      <c r="D69" s="74">
        <v>0</v>
      </c>
      <c r="E69" s="74">
        <v>0</v>
      </c>
      <c r="F69" s="74">
        <v>0</v>
      </c>
      <c r="G69" s="74">
        <v>0</v>
      </c>
      <c r="H69" s="74">
        <v>0</v>
      </c>
      <c r="I69" s="74">
        <v>0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50">
        <v>4</v>
      </c>
      <c r="R69" s="50">
        <v>5.0999999999999996</v>
      </c>
      <c r="S69" s="74">
        <v>5.2</v>
      </c>
      <c r="T69" s="74">
        <v>8</v>
      </c>
      <c r="U69" s="74">
        <v>10</v>
      </c>
      <c r="V69" s="74">
        <v>10</v>
      </c>
      <c r="W69" s="74">
        <v>9.1</v>
      </c>
      <c r="X69" s="74">
        <v>2</v>
      </c>
      <c r="Y69" s="74">
        <v>4</v>
      </c>
      <c r="Z69" s="74">
        <v>7.4</v>
      </c>
      <c r="AA69" s="74">
        <v>10</v>
      </c>
      <c r="AB69" s="74">
        <v>2.7</v>
      </c>
      <c r="AC69" s="74">
        <v>5</v>
      </c>
      <c r="AD69" s="74">
        <v>5</v>
      </c>
      <c r="AE69" s="74">
        <v>5</v>
      </c>
      <c r="AF69" s="50">
        <v>1.2</v>
      </c>
      <c r="AG69" s="75">
        <v>14</v>
      </c>
      <c r="AH69" s="52">
        <f t="shared" si="2"/>
        <v>10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8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9">M67+M68+M69</f>
        <v>0</v>
      </c>
      <c r="N70" s="67">
        <f t="shared" si="9"/>
        <v>0</v>
      </c>
      <c r="O70" s="67">
        <f t="shared" si="9"/>
        <v>0</v>
      </c>
      <c r="P70" s="67">
        <f t="shared" si="9"/>
        <v>0</v>
      </c>
      <c r="Q70" s="67">
        <f t="shared" si="9"/>
        <v>39.9</v>
      </c>
      <c r="R70" s="67">
        <f t="shared" si="9"/>
        <v>49.1</v>
      </c>
      <c r="S70" s="67">
        <f t="shared" si="9"/>
        <v>49.2</v>
      </c>
      <c r="T70" s="67">
        <f t="shared" si="9"/>
        <v>74</v>
      </c>
      <c r="U70" s="67">
        <f t="shared" si="9"/>
        <v>85</v>
      </c>
      <c r="V70" s="67">
        <f t="shared" si="9"/>
        <v>94</v>
      </c>
      <c r="W70" s="67">
        <f t="shared" si="9"/>
        <v>57.1</v>
      </c>
      <c r="X70" s="67">
        <f t="shared" si="9"/>
        <v>22</v>
      </c>
      <c r="Y70" s="67">
        <f t="shared" si="9"/>
        <v>44</v>
      </c>
      <c r="Z70" s="67">
        <f t="shared" si="9"/>
        <v>87.4</v>
      </c>
      <c r="AA70" s="67">
        <f t="shared" si="9"/>
        <v>76</v>
      </c>
      <c r="AB70" s="67">
        <f t="shared" si="9"/>
        <v>24</v>
      </c>
      <c r="AC70" s="67">
        <f t="shared" si="9"/>
        <v>48</v>
      </c>
      <c r="AD70" s="67">
        <f t="shared" si="9"/>
        <v>48</v>
      </c>
      <c r="AE70" s="67">
        <f t="shared" si="9"/>
        <v>48</v>
      </c>
      <c r="AF70" s="67">
        <f t="shared" si="9"/>
        <v>14.6</v>
      </c>
      <c r="AG70" s="68">
        <f>SUM(AG67:AG69)</f>
        <v>106</v>
      </c>
      <c r="AH70" s="52">
        <f t="shared" si="2"/>
        <v>94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67.7</v>
      </c>
      <c r="C71" s="50">
        <v>46.4</v>
      </c>
      <c r="D71" s="50">
        <v>47.6</v>
      </c>
      <c r="E71" s="50">
        <v>58</v>
      </c>
      <c r="F71" s="50">
        <v>45</v>
      </c>
      <c r="G71" s="50">
        <v>48.7</v>
      </c>
      <c r="H71" s="50">
        <v>50.7</v>
      </c>
      <c r="I71" s="50">
        <v>52</v>
      </c>
      <c r="J71" s="50">
        <v>45</v>
      </c>
      <c r="K71" s="50">
        <v>45</v>
      </c>
      <c r="L71" s="50">
        <v>47</v>
      </c>
      <c r="M71" s="50">
        <v>50.9</v>
      </c>
      <c r="N71" s="50">
        <v>51.5</v>
      </c>
      <c r="O71" s="50">
        <v>64</v>
      </c>
      <c r="P71" s="50">
        <v>57.1</v>
      </c>
      <c r="Q71" s="50">
        <v>54.3</v>
      </c>
      <c r="R71" s="50">
        <v>52.2</v>
      </c>
      <c r="S71" s="50">
        <v>58</v>
      </c>
      <c r="T71" s="50">
        <v>61</v>
      </c>
      <c r="U71" s="50">
        <v>40</v>
      </c>
      <c r="V71" s="50">
        <v>40</v>
      </c>
      <c r="W71" s="50">
        <v>50</v>
      </c>
      <c r="X71" s="50">
        <v>45</v>
      </c>
      <c r="Y71" s="50">
        <v>48</v>
      </c>
      <c r="Z71" s="50">
        <v>50</v>
      </c>
      <c r="AA71" s="50">
        <v>57</v>
      </c>
      <c r="AB71" s="50">
        <v>54.2</v>
      </c>
      <c r="AC71" s="50">
        <v>54.5</v>
      </c>
      <c r="AD71" s="50">
        <v>50.1</v>
      </c>
      <c r="AE71" s="50">
        <v>51.4</v>
      </c>
      <c r="AF71" s="50">
        <v>54.4</v>
      </c>
      <c r="AG71" s="56"/>
      <c r="AH71" s="52">
        <f t="shared" si="2"/>
        <v>67.7</v>
      </c>
      <c r="AI71" s="53">
        <f t="shared" si="3"/>
        <v>40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294</v>
      </c>
      <c r="C73" s="72">
        <v>302</v>
      </c>
      <c r="D73" s="72">
        <v>278</v>
      </c>
      <c r="E73" s="72">
        <v>292</v>
      </c>
      <c r="F73" s="72">
        <v>288</v>
      </c>
      <c r="G73" s="72">
        <v>289.8</v>
      </c>
      <c r="H73" s="72">
        <v>287</v>
      </c>
      <c r="I73" s="72">
        <v>285</v>
      </c>
      <c r="J73" s="72">
        <v>279</v>
      </c>
      <c r="K73" s="72">
        <v>244</v>
      </c>
      <c r="L73" s="72">
        <v>242</v>
      </c>
      <c r="M73" s="72">
        <v>276.2</v>
      </c>
      <c r="N73" s="72">
        <v>292</v>
      </c>
      <c r="O73" s="72">
        <v>300</v>
      </c>
      <c r="P73" s="72">
        <v>334.1</v>
      </c>
      <c r="Q73" s="72">
        <v>320.10000000000002</v>
      </c>
      <c r="R73" s="72">
        <v>325.60000000000002</v>
      </c>
      <c r="S73" s="72">
        <v>350</v>
      </c>
      <c r="T73" s="72">
        <v>335</v>
      </c>
      <c r="U73" s="72">
        <v>335</v>
      </c>
      <c r="V73" s="72">
        <v>335</v>
      </c>
      <c r="W73" s="72">
        <v>310</v>
      </c>
      <c r="X73" s="72">
        <v>324</v>
      </c>
      <c r="Y73" s="72">
        <v>303</v>
      </c>
      <c r="Z73" s="72">
        <v>248</v>
      </c>
      <c r="AA73" s="72">
        <v>257</v>
      </c>
      <c r="AB73" s="72">
        <v>300</v>
      </c>
      <c r="AC73" s="72">
        <v>306</v>
      </c>
      <c r="AD73" s="72">
        <v>312</v>
      </c>
      <c r="AE73" s="72">
        <v>312</v>
      </c>
      <c r="AF73" s="72">
        <v>316</v>
      </c>
      <c r="AG73" s="82"/>
      <c r="AH73" s="52">
        <f t="shared" si="2"/>
        <v>350</v>
      </c>
      <c r="AI73" s="53">
        <f t="shared" si="3"/>
        <v>242</v>
      </c>
      <c r="AK73" s="54"/>
    </row>
    <row r="74" spans="1:40" x14ac:dyDescent="0.25">
      <c r="A74" s="60" t="s">
        <v>78</v>
      </c>
      <c r="B74" s="72">
        <v>47</v>
      </c>
      <c r="C74" s="72">
        <v>47</v>
      </c>
      <c r="D74" s="72">
        <v>47</v>
      </c>
      <c r="E74" s="83">
        <v>46</v>
      </c>
      <c r="F74" s="83">
        <v>46.1</v>
      </c>
      <c r="G74" s="83">
        <v>49.5</v>
      </c>
      <c r="H74" s="83">
        <v>49.5</v>
      </c>
      <c r="I74" s="83">
        <v>49.5</v>
      </c>
      <c r="J74" s="83">
        <v>59.4</v>
      </c>
      <c r="K74" s="83">
        <v>56</v>
      </c>
      <c r="L74" s="83">
        <v>56</v>
      </c>
      <c r="M74" s="83">
        <v>53</v>
      </c>
      <c r="N74" s="83">
        <v>54</v>
      </c>
      <c r="O74" s="83">
        <v>55</v>
      </c>
      <c r="P74" s="83">
        <v>54</v>
      </c>
      <c r="Q74" s="83">
        <v>58.9</v>
      </c>
      <c r="R74" s="83">
        <v>55.5</v>
      </c>
      <c r="S74" s="83">
        <v>55.5</v>
      </c>
      <c r="T74" s="83">
        <v>55.5</v>
      </c>
      <c r="U74" s="83">
        <v>55.5</v>
      </c>
      <c r="V74" s="83">
        <v>55.5</v>
      </c>
      <c r="W74" s="83">
        <v>58</v>
      </c>
      <c r="X74" s="83">
        <v>58</v>
      </c>
      <c r="Y74" s="72">
        <v>52</v>
      </c>
      <c r="Z74" s="72">
        <v>56</v>
      </c>
      <c r="AA74" s="72">
        <v>61</v>
      </c>
      <c r="AB74" s="72">
        <v>53.5</v>
      </c>
      <c r="AC74" s="72">
        <v>53.3</v>
      </c>
      <c r="AD74" s="72">
        <v>52.7</v>
      </c>
      <c r="AE74" s="72">
        <v>50</v>
      </c>
      <c r="AF74" s="72">
        <v>50</v>
      </c>
      <c r="AG74" s="82"/>
      <c r="AH74" s="52">
        <f t="shared" si="2"/>
        <v>61</v>
      </c>
      <c r="AI74" s="53">
        <f t="shared" si="3"/>
        <v>46</v>
      </c>
      <c r="AK74" s="54"/>
    </row>
    <row r="75" spans="1:40" x14ac:dyDescent="0.25">
      <c r="A75" s="60" t="s">
        <v>79</v>
      </c>
      <c r="B75" s="50">
        <v>26</v>
      </c>
      <c r="C75" s="50">
        <v>26</v>
      </c>
      <c r="D75" s="50">
        <v>25.2</v>
      </c>
      <c r="E75" s="50">
        <v>24</v>
      </c>
      <c r="F75" s="50">
        <v>22.6</v>
      </c>
      <c r="G75" s="50">
        <v>23.1</v>
      </c>
      <c r="H75" s="50">
        <v>23.8</v>
      </c>
      <c r="I75" s="50">
        <v>23.8</v>
      </c>
      <c r="J75" s="50">
        <v>25.74</v>
      </c>
      <c r="K75" s="50">
        <v>24.5</v>
      </c>
      <c r="L75" s="50">
        <v>27.9</v>
      </c>
      <c r="M75" s="50">
        <v>33.4</v>
      </c>
      <c r="N75" s="50">
        <v>0</v>
      </c>
      <c r="O75" s="50">
        <v>0</v>
      </c>
      <c r="P75" s="50">
        <v>35.700000000000003</v>
      </c>
      <c r="Q75" s="50">
        <v>20.9</v>
      </c>
      <c r="R75" s="50">
        <v>26.5</v>
      </c>
      <c r="S75" s="50">
        <v>26.5</v>
      </c>
      <c r="T75" s="50">
        <v>19</v>
      </c>
      <c r="U75" s="50">
        <v>19</v>
      </c>
      <c r="V75" s="50">
        <v>19</v>
      </c>
      <c r="W75" s="50">
        <v>28</v>
      </c>
      <c r="X75" s="50">
        <v>27</v>
      </c>
      <c r="Y75" s="50">
        <v>27</v>
      </c>
      <c r="Z75" s="50">
        <v>26</v>
      </c>
      <c r="AA75" s="50">
        <v>24</v>
      </c>
      <c r="AB75" s="50">
        <v>24.3</v>
      </c>
      <c r="AC75" s="50">
        <v>25</v>
      </c>
      <c r="AD75" s="50">
        <v>25</v>
      </c>
      <c r="AE75" s="50">
        <v>25</v>
      </c>
      <c r="AF75" s="50">
        <v>26.8</v>
      </c>
      <c r="AG75" s="82"/>
      <c r="AH75" s="52">
        <f t="shared" ref="AH75:AH117" si="10">MAX(B75:AF75)</f>
        <v>35.700000000000003</v>
      </c>
      <c r="AI75" s="53">
        <f t="shared" ref="AI75:AI117" si="11">MIN(B75:AF75)</f>
        <v>0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0"/>
        <v>0</v>
      </c>
      <c r="AI76" s="53">
        <f t="shared" si="11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0"/>
        <v>0</v>
      </c>
      <c r="AI77" s="53">
        <f t="shared" si="11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0"/>
        <v>0</v>
      </c>
      <c r="AI78" s="53">
        <f t="shared" si="11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0"/>
        <v>0</v>
      </c>
      <c r="AI79" s="53">
        <f t="shared" si="11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0"/>
        <v>0</v>
      </c>
      <c r="AI80" s="53">
        <f t="shared" si="11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0"/>
        <v>0</v>
      </c>
      <c r="AI81" s="53">
        <f t="shared" si="11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2">SUMIF(B71:B81,"&gt;0")</f>
        <v>434.7</v>
      </c>
      <c r="C82" s="67">
        <f t="shared" si="12"/>
        <v>421.4</v>
      </c>
      <c r="D82" s="67">
        <f t="shared" si="12"/>
        <v>397.8</v>
      </c>
      <c r="E82" s="67">
        <f t="shared" si="12"/>
        <v>420</v>
      </c>
      <c r="F82" s="67">
        <f t="shared" si="12"/>
        <v>401.70000000000005</v>
      </c>
      <c r="G82" s="67">
        <f t="shared" si="12"/>
        <v>411.1</v>
      </c>
      <c r="H82" s="67">
        <f t="shared" si="12"/>
        <v>411</v>
      </c>
      <c r="I82" s="67">
        <f t="shared" si="12"/>
        <v>410.3</v>
      </c>
      <c r="J82" s="67">
        <f t="shared" si="12"/>
        <v>409.14</v>
      </c>
      <c r="K82" s="67">
        <f t="shared" si="12"/>
        <v>369.5</v>
      </c>
      <c r="L82" s="67">
        <f t="shared" si="12"/>
        <v>372.9</v>
      </c>
      <c r="M82" s="67">
        <f t="shared" si="12"/>
        <v>413.49999999999994</v>
      </c>
      <c r="N82" s="67">
        <f t="shared" si="12"/>
        <v>397.5</v>
      </c>
      <c r="O82" s="67">
        <f t="shared" si="12"/>
        <v>419</v>
      </c>
      <c r="P82" s="67">
        <f t="shared" si="12"/>
        <v>480.90000000000003</v>
      </c>
      <c r="Q82" s="67">
        <f t="shared" si="12"/>
        <v>454.2</v>
      </c>
      <c r="R82" s="67">
        <f t="shared" si="12"/>
        <v>459.8</v>
      </c>
      <c r="S82" s="67">
        <f t="shared" si="12"/>
        <v>490</v>
      </c>
      <c r="T82" s="67">
        <f t="shared" si="12"/>
        <v>470.5</v>
      </c>
      <c r="U82" s="67">
        <f t="shared" si="12"/>
        <v>449.5</v>
      </c>
      <c r="V82" s="67">
        <f t="shared" si="12"/>
        <v>449.5</v>
      </c>
      <c r="W82" s="67">
        <f t="shared" si="12"/>
        <v>446</v>
      </c>
      <c r="X82" s="67">
        <f t="shared" si="12"/>
        <v>454</v>
      </c>
      <c r="Y82" s="67">
        <f t="shared" si="12"/>
        <v>430</v>
      </c>
      <c r="Z82" s="67">
        <f t="shared" si="12"/>
        <v>380</v>
      </c>
      <c r="AA82" s="67">
        <f t="shared" si="12"/>
        <v>399</v>
      </c>
      <c r="AB82" s="67">
        <f t="shared" si="12"/>
        <v>432</v>
      </c>
      <c r="AC82" s="67">
        <f t="shared" si="12"/>
        <v>438.8</v>
      </c>
      <c r="AD82" s="67">
        <f t="shared" si="12"/>
        <v>439.8</v>
      </c>
      <c r="AE82" s="67">
        <f t="shared" si="12"/>
        <v>438.4</v>
      </c>
      <c r="AF82" s="67">
        <f t="shared" si="12"/>
        <v>447.2</v>
      </c>
      <c r="AG82" s="95">
        <f>SUM(AG71:AG81)</f>
        <v>0</v>
      </c>
      <c r="AH82" s="52">
        <f t="shared" si="10"/>
        <v>490</v>
      </c>
      <c r="AI82" s="53">
        <f t="shared" si="11"/>
        <v>369.5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0"/>
        <v>0</v>
      </c>
      <c r="AI83" s="53">
        <f t="shared" si="11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0"/>
        <v>0</v>
      </c>
      <c r="AI84" s="53">
        <f t="shared" si="11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0"/>
        <v>0</v>
      </c>
      <c r="AI85" s="53">
        <f t="shared" si="11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0"/>
        <v>0</v>
      </c>
      <c r="AI86" s="53">
        <f t="shared" si="11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3">B48+B52+B70+B66+B82+B86</f>
        <v>995.74</v>
      </c>
      <c r="C87" s="102">
        <f t="shared" si="13"/>
        <v>982.43999999999994</v>
      </c>
      <c r="D87" s="102">
        <f t="shared" si="13"/>
        <v>945.83999999999992</v>
      </c>
      <c r="E87" s="102">
        <f t="shared" si="13"/>
        <v>969.24</v>
      </c>
      <c r="F87" s="102">
        <f t="shared" si="13"/>
        <v>970.84000000000015</v>
      </c>
      <c r="G87" s="102">
        <f t="shared" si="13"/>
        <v>1025.2400000000002</v>
      </c>
      <c r="H87" s="102">
        <f t="shared" si="13"/>
        <v>1050.04</v>
      </c>
      <c r="I87" s="102">
        <f t="shared" si="13"/>
        <v>1109.8399999999999</v>
      </c>
      <c r="J87" s="102">
        <f t="shared" si="13"/>
        <v>1214.48</v>
      </c>
      <c r="K87" s="102">
        <f t="shared" si="13"/>
        <v>1222.24</v>
      </c>
      <c r="L87" s="102">
        <f t="shared" si="13"/>
        <v>1227.74</v>
      </c>
      <c r="M87" s="102">
        <f t="shared" si="13"/>
        <v>1210.3399999999999</v>
      </c>
      <c r="N87" s="102">
        <f t="shared" si="13"/>
        <v>1186.3399999999999</v>
      </c>
      <c r="O87" s="102">
        <f t="shared" si="13"/>
        <v>1215.94</v>
      </c>
      <c r="P87" s="102">
        <f t="shared" si="13"/>
        <v>1299.94</v>
      </c>
      <c r="Q87" s="102">
        <f t="shared" si="13"/>
        <v>1231.54</v>
      </c>
      <c r="R87" s="102">
        <f t="shared" si="13"/>
        <v>1207.74</v>
      </c>
      <c r="S87" s="102">
        <f t="shared" si="13"/>
        <v>1259.9100000000001</v>
      </c>
      <c r="T87" s="102">
        <f t="shared" si="13"/>
        <v>1271.1100000000001</v>
      </c>
      <c r="U87" s="102">
        <f t="shared" si="13"/>
        <v>1255.4299999999998</v>
      </c>
      <c r="V87" s="102">
        <f t="shared" si="13"/>
        <v>1248.94</v>
      </c>
      <c r="W87" s="102">
        <f t="shared" si="13"/>
        <v>1221.24</v>
      </c>
      <c r="X87" s="102">
        <f t="shared" si="13"/>
        <v>1155.94</v>
      </c>
      <c r="Y87" s="102">
        <f t="shared" si="13"/>
        <v>1202.74</v>
      </c>
      <c r="Z87" s="102">
        <f t="shared" si="13"/>
        <v>1383.14</v>
      </c>
      <c r="AA87" s="102">
        <f t="shared" si="13"/>
        <v>1365.74</v>
      </c>
      <c r="AB87" s="102">
        <f t="shared" si="13"/>
        <v>1276.6399999999999</v>
      </c>
      <c r="AC87" s="102">
        <f t="shared" si="13"/>
        <v>1237.44</v>
      </c>
      <c r="AD87" s="102">
        <f t="shared" si="13"/>
        <v>1121.74</v>
      </c>
      <c r="AE87" s="102">
        <f t="shared" si="13"/>
        <v>1115.3400000000001</v>
      </c>
      <c r="AF87" s="102">
        <f t="shared" si="13"/>
        <v>1071.6400000000001</v>
      </c>
      <c r="AG87" s="68">
        <f t="shared" si="13"/>
        <v>2065.09</v>
      </c>
      <c r="AH87" s="52">
        <f>MAX(B87:AF87)</f>
        <v>1383.14</v>
      </c>
      <c r="AI87" s="53">
        <f>MIN(B87:AF87)</f>
        <v>945.83999999999992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120</v>
      </c>
      <c r="L88" s="104">
        <v>120</v>
      </c>
      <c r="M88" s="104">
        <v>120</v>
      </c>
      <c r="N88" s="104">
        <v>120</v>
      </c>
      <c r="O88" s="104">
        <v>100</v>
      </c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95"/>
      <c r="AH88" s="52">
        <f t="shared" si="10"/>
        <v>120</v>
      </c>
      <c r="AI88" s="53">
        <f t="shared" si="11"/>
        <v>100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4">B87+B88</f>
        <v>995.74</v>
      </c>
      <c r="C89" s="102">
        <f t="shared" si="14"/>
        <v>982.43999999999994</v>
      </c>
      <c r="D89" s="102">
        <f t="shared" si="14"/>
        <v>945.83999999999992</v>
      </c>
      <c r="E89" s="102">
        <f t="shared" si="14"/>
        <v>969.24</v>
      </c>
      <c r="F89" s="102">
        <f t="shared" si="14"/>
        <v>970.84000000000015</v>
      </c>
      <c r="G89" s="102">
        <f t="shared" si="14"/>
        <v>1025.2400000000002</v>
      </c>
      <c r="H89" s="102">
        <f t="shared" si="14"/>
        <v>1050.04</v>
      </c>
      <c r="I89" s="102">
        <f t="shared" si="14"/>
        <v>1109.8399999999999</v>
      </c>
      <c r="J89" s="102">
        <f t="shared" si="14"/>
        <v>1214.48</v>
      </c>
      <c r="K89" s="102">
        <f t="shared" si="14"/>
        <v>1342.24</v>
      </c>
      <c r="L89" s="102">
        <f t="shared" si="14"/>
        <v>1347.74</v>
      </c>
      <c r="M89" s="102">
        <f t="shared" si="14"/>
        <v>1330.34</v>
      </c>
      <c r="N89" s="102">
        <f t="shared" si="14"/>
        <v>1306.3399999999999</v>
      </c>
      <c r="O89" s="102">
        <f t="shared" si="14"/>
        <v>1315.94</v>
      </c>
      <c r="P89" s="102">
        <f t="shared" si="14"/>
        <v>1299.94</v>
      </c>
      <c r="Q89" s="102">
        <f t="shared" si="14"/>
        <v>1231.54</v>
      </c>
      <c r="R89" s="102">
        <f t="shared" si="14"/>
        <v>1207.74</v>
      </c>
      <c r="S89" s="102">
        <f t="shared" si="14"/>
        <v>1259.9100000000001</v>
      </c>
      <c r="T89" s="102">
        <f t="shared" si="14"/>
        <v>1271.1100000000001</v>
      </c>
      <c r="U89" s="102">
        <f t="shared" si="14"/>
        <v>1255.4299999999998</v>
      </c>
      <c r="V89" s="102">
        <f t="shared" si="14"/>
        <v>1248.94</v>
      </c>
      <c r="W89" s="102">
        <f t="shared" si="14"/>
        <v>1221.24</v>
      </c>
      <c r="X89" s="102">
        <f t="shared" si="14"/>
        <v>1155.94</v>
      </c>
      <c r="Y89" s="102">
        <f t="shared" si="14"/>
        <v>1202.74</v>
      </c>
      <c r="Z89" s="102">
        <f t="shared" si="14"/>
        <v>1383.14</v>
      </c>
      <c r="AA89" s="102">
        <f t="shared" si="14"/>
        <v>1365.74</v>
      </c>
      <c r="AB89" s="102">
        <f t="shared" si="14"/>
        <v>1276.6399999999999</v>
      </c>
      <c r="AC89" s="102">
        <f t="shared" si="14"/>
        <v>1237.44</v>
      </c>
      <c r="AD89" s="102">
        <f t="shared" si="14"/>
        <v>1121.74</v>
      </c>
      <c r="AE89" s="102">
        <f t="shared" si="14"/>
        <v>1115.3400000000001</v>
      </c>
      <c r="AF89" s="102">
        <f t="shared" si="14"/>
        <v>1071.6400000000001</v>
      </c>
      <c r="AG89" s="95">
        <f>AG86+AG82+AG70+AG66+AG48+AG88</f>
        <v>1526.99</v>
      </c>
      <c r="AH89" s="52">
        <f t="shared" si="10"/>
        <v>1383.14</v>
      </c>
      <c r="AI89" s="53">
        <f t="shared" si="11"/>
        <v>945.83999999999992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15">B89-B97</f>
        <v>995.74</v>
      </c>
      <c r="C90" s="102">
        <f t="shared" si="15"/>
        <v>982.43999999999994</v>
      </c>
      <c r="D90" s="102">
        <f t="shared" si="15"/>
        <v>945.83999999999992</v>
      </c>
      <c r="E90" s="102">
        <f t="shared" si="15"/>
        <v>969.24</v>
      </c>
      <c r="F90" s="102">
        <f t="shared" si="15"/>
        <v>970.84000000000015</v>
      </c>
      <c r="G90" s="102">
        <f t="shared" si="15"/>
        <v>1025.2400000000002</v>
      </c>
      <c r="H90" s="102">
        <f t="shared" si="15"/>
        <v>1050.04</v>
      </c>
      <c r="I90" s="102">
        <f t="shared" si="15"/>
        <v>1109.8399999999999</v>
      </c>
      <c r="J90" s="102">
        <f t="shared" si="15"/>
        <v>1214.48</v>
      </c>
      <c r="K90" s="102">
        <f t="shared" si="15"/>
        <v>1342.24</v>
      </c>
      <c r="L90" s="102">
        <f t="shared" si="15"/>
        <v>1347.74</v>
      </c>
      <c r="M90" s="102">
        <f t="shared" si="15"/>
        <v>1330.34</v>
      </c>
      <c r="N90" s="102">
        <f t="shared" si="15"/>
        <v>1306.3399999999999</v>
      </c>
      <c r="O90" s="102">
        <f t="shared" si="15"/>
        <v>1315.94</v>
      </c>
      <c r="P90" s="102">
        <f t="shared" si="15"/>
        <v>1299.94</v>
      </c>
      <c r="Q90" s="102">
        <f t="shared" si="15"/>
        <v>1231.54</v>
      </c>
      <c r="R90" s="102">
        <f t="shared" si="15"/>
        <v>1207.74</v>
      </c>
      <c r="S90" s="102">
        <f t="shared" si="15"/>
        <v>1259.9100000000001</v>
      </c>
      <c r="T90" s="102">
        <f t="shared" si="15"/>
        <v>1271.1100000000001</v>
      </c>
      <c r="U90" s="102">
        <f t="shared" si="15"/>
        <v>1255.4299999999998</v>
      </c>
      <c r="V90" s="102">
        <f t="shared" si="15"/>
        <v>1248.94</v>
      </c>
      <c r="W90" s="102">
        <f t="shared" si="15"/>
        <v>1221.24</v>
      </c>
      <c r="X90" s="102">
        <f t="shared" si="15"/>
        <v>1155.94</v>
      </c>
      <c r="Y90" s="102">
        <f t="shared" si="15"/>
        <v>1202.74</v>
      </c>
      <c r="Z90" s="102">
        <f t="shared" si="15"/>
        <v>1383.14</v>
      </c>
      <c r="AA90" s="102">
        <f t="shared" si="15"/>
        <v>1365.74</v>
      </c>
      <c r="AB90" s="102">
        <f t="shared" si="15"/>
        <v>1276.6399999999999</v>
      </c>
      <c r="AC90" s="102">
        <f t="shared" si="15"/>
        <v>1237.44</v>
      </c>
      <c r="AD90" s="102">
        <f t="shared" si="15"/>
        <v>1121.74</v>
      </c>
      <c r="AE90" s="102">
        <f t="shared" si="15"/>
        <v>1115.3400000000001</v>
      </c>
      <c r="AF90" s="102">
        <f t="shared" si="15"/>
        <v>1071.6400000000001</v>
      </c>
      <c r="AG90" s="95"/>
      <c r="AH90" s="52">
        <f t="shared" si="10"/>
        <v>1383.14</v>
      </c>
      <c r="AI90" s="53">
        <f t="shared" si="11"/>
        <v>945.83999999999992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0"/>
        <v>0</v>
      </c>
      <c r="AI91" s="53">
        <f t="shared" si="11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0"/>
        <v>0</v>
      </c>
      <c r="AI92" s="53">
        <f t="shared" si="11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0"/>
        <v>0</v>
      </c>
      <c r="AI93" s="53">
        <f t="shared" si="11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0"/>
        <v>0</v>
      </c>
      <c r="AI94" s="53">
        <f t="shared" si="11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0"/>
        <v>0</v>
      </c>
      <c r="AI95" s="53">
        <f t="shared" si="11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0"/>
        <v>0</v>
      </c>
      <c r="AI96" s="53">
        <f t="shared" si="11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0"/>
        <v>0</v>
      </c>
      <c r="AI97" s="53">
        <f t="shared" si="11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16">B82-B97</f>
        <v>434.7</v>
      </c>
      <c r="C98" s="67">
        <f t="shared" si="16"/>
        <v>421.4</v>
      </c>
      <c r="D98" s="67">
        <f t="shared" si="16"/>
        <v>397.8</v>
      </c>
      <c r="E98" s="67">
        <f t="shared" si="16"/>
        <v>420</v>
      </c>
      <c r="F98" s="67">
        <f t="shared" si="16"/>
        <v>401.70000000000005</v>
      </c>
      <c r="G98" s="67">
        <f t="shared" si="16"/>
        <v>411.1</v>
      </c>
      <c r="H98" s="67">
        <f t="shared" si="16"/>
        <v>411</v>
      </c>
      <c r="I98" s="67">
        <f t="shared" si="16"/>
        <v>410.3</v>
      </c>
      <c r="J98" s="67">
        <f t="shared" si="16"/>
        <v>409.14</v>
      </c>
      <c r="K98" s="67">
        <f t="shared" si="16"/>
        <v>369.5</v>
      </c>
      <c r="L98" s="67">
        <f t="shared" si="16"/>
        <v>372.9</v>
      </c>
      <c r="M98" s="67">
        <f t="shared" si="16"/>
        <v>413.49999999999994</v>
      </c>
      <c r="N98" s="67">
        <f t="shared" si="16"/>
        <v>397.5</v>
      </c>
      <c r="O98" s="67">
        <f t="shared" si="16"/>
        <v>419</v>
      </c>
      <c r="P98" s="67">
        <f t="shared" si="16"/>
        <v>480.90000000000003</v>
      </c>
      <c r="Q98" s="67">
        <f t="shared" si="16"/>
        <v>454.2</v>
      </c>
      <c r="R98" s="67">
        <f t="shared" si="16"/>
        <v>459.8</v>
      </c>
      <c r="S98" s="67">
        <f t="shared" si="16"/>
        <v>490</v>
      </c>
      <c r="T98" s="67">
        <f t="shared" si="16"/>
        <v>470.5</v>
      </c>
      <c r="U98" s="67">
        <f t="shared" si="16"/>
        <v>449.5</v>
      </c>
      <c r="V98" s="67">
        <f t="shared" si="16"/>
        <v>449.5</v>
      </c>
      <c r="W98" s="67">
        <f t="shared" si="16"/>
        <v>446</v>
      </c>
      <c r="X98" s="67">
        <f t="shared" si="16"/>
        <v>454</v>
      </c>
      <c r="Y98" s="67">
        <f t="shared" si="16"/>
        <v>430</v>
      </c>
      <c r="Z98" s="67">
        <f t="shared" si="16"/>
        <v>380</v>
      </c>
      <c r="AA98" s="67">
        <f t="shared" si="16"/>
        <v>399</v>
      </c>
      <c r="AB98" s="67">
        <f t="shared" si="16"/>
        <v>432</v>
      </c>
      <c r="AC98" s="67">
        <f t="shared" si="16"/>
        <v>438.8</v>
      </c>
      <c r="AD98" s="67">
        <f t="shared" si="16"/>
        <v>439.8</v>
      </c>
      <c r="AE98" s="67">
        <f t="shared" si="16"/>
        <v>438.4</v>
      </c>
      <c r="AF98" s="67">
        <f t="shared" si="16"/>
        <v>447.2</v>
      </c>
      <c r="AG98" s="95"/>
      <c r="AH98" s="52">
        <f t="shared" si="10"/>
        <v>490</v>
      </c>
      <c r="AI98" s="53">
        <f t="shared" si="11"/>
        <v>369.5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50.052999999999997</v>
      </c>
      <c r="C99" s="108">
        <v>49.954999999999998</v>
      </c>
      <c r="D99" s="108">
        <v>49.968000000000004</v>
      </c>
      <c r="E99" s="108">
        <v>50</v>
      </c>
      <c r="F99" s="108">
        <v>49.954000000000001</v>
      </c>
      <c r="G99" s="108">
        <v>50.036999999999999</v>
      </c>
      <c r="H99" s="108">
        <v>49.993000000000002</v>
      </c>
      <c r="I99" s="108">
        <v>50</v>
      </c>
      <c r="J99" s="108">
        <v>49.79</v>
      </c>
      <c r="K99" s="108">
        <v>50</v>
      </c>
      <c r="L99" s="108">
        <v>50.079000000000001</v>
      </c>
      <c r="M99" s="108">
        <v>50.128999999999998</v>
      </c>
      <c r="N99" s="108">
        <v>50.057000000000002</v>
      </c>
      <c r="O99" s="108">
        <v>50.073</v>
      </c>
      <c r="P99" s="108">
        <v>49.93</v>
      </c>
      <c r="Q99" s="108">
        <v>49.88</v>
      </c>
      <c r="R99" s="108">
        <v>49.973999999999997</v>
      </c>
      <c r="S99" s="108">
        <v>49.942999999999998</v>
      </c>
      <c r="T99" s="108">
        <v>49.976999999999997</v>
      </c>
      <c r="U99" s="108">
        <v>49.976999999999997</v>
      </c>
      <c r="V99" s="108">
        <v>49.976999999999997</v>
      </c>
      <c r="W99" s="108">
        <v>49.869</v>
      </c>
      <c r="X99" s="108">
        <v>49.875</v>
      </c>
      <c r="Y99" s="108">
        <v>49.972999999999999</v>
      </c>
      <c r="Z99" s="108">
        <v>49.872999999999998</v>
      </c>
      <c r="AA99" s="108">
        <v>49.963000000000001</v>
      </c>
      <c r="AB99" s="108">
        <v>49.972999999999999</v>
      </c>
      <c r="AC99" s="108">
        <v>50.009</v>
      </c>
      <c r="AD99" s="108">
        <v>49.982999999999997</v>
      </c>
      <c r="AE99" s="108">
        <v>50.015999999999998</v>
      </c>
      <c r="AF99" s="108">
        <v>50.033999999999999</v>
      </c>
      <c r="AG99" s="109"/>
      <c r="AH99" s="52">
        <f t="shared" si="10"/>
        <v>50.128999999999998</v>
      </c>
      <c r="AI99" s="53">
        <f t="shared" si="11"/>
        <v>49.79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125</v>
      </c>
      <c r="C100" s="72">
        <v>125.2</v>
      </c>
      <c r="D100" s="72">
        <v>128</v>
      </c>
      <c r="E100" s="72">
        <v>128</v>
      </c>
      <c r="F100" s="72">
        <v>128</v>
      </c>
      <c r="G100" s="72">
        <v>127</v>
      </c>
      <c r="H100" s="72">
        <v>127</v>
      </c>
      <c r="I100" s="72">
        <v>127</v>
      </c>
      <c r="J100" s="72">
        <v>125</v>
      </c>
      <c r="K100" s="72">
        <v>125</v>
      </c>
      <c r="L100" s="72">
        <v>125</v>
      </c>
      <c r="M100" s="72">
        <v>126</v>
      </c>
      <c r="N100" s="72">
        <v>125.2</v>
      </c>
      <c r="O100" s="72">
        <v>126.5</v>
      </c>
      <c r="P100" s="72">
        <v>122</v>
      </c>
      <c r="Q100" s="72">
        <v>125.3</v>
      </c>
      <c r="R100" s="72">
        <v>124.7</v>
      </c>
      <c r="S100" s="72">
        <v>124.7</v>
      </c>
      <c r="T100" s="72">
        <v>124.7</v>
      </c>
      <c r="U100" s="72">
        <v>124.7</v>
      </c>
      <c r="V100" s="72">
        <v>124.7</v>
      </c>
      <c r="W100" s="72">
        <v>127</v>
      </c>
      <c r="X100" s="72">
        <v>127</v>
      </c>
      <c r="Y100" s="72">
        <v>126</v>
      </c>
      <c r="Z100" s="72">
        <v>126</v>
      </c>
      <c r="AA100" s="72">
        <v>1258</v>
      </c>
      <c r="AB100" s="72">
        <v>127.5</v>
      </c>
      <c r="AC100" s="72">
        <v>127.9</v>
      </c>
      <c r="AD100" s="72">
        <v>128.9</v>
      </c>
      <c r="AE100" s="72">
        <v>126.7</v>
      </c>
      <c r="AF100" s="72">
        <v>126.4</v>
      </c>
      <c r="AG100" s="111"/>
      <c r="AH100" s="52">
        <f t="shared" si="10"/>
        <v>1258</v>
      </c>
      <c r="AI100" s="53">
        <f t="shared" si="11"/>
        <v>122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130</v>
      </c>
      <c r="C101" s="72">
        <v>129</v>
      </c>
      <c r="D101" s="72">
        <v>132.30000000000001</v>
      </c>
      <c r="E101" s="72">
        <v>132.30000000000001</v>
      </c>
      <c r="F101" s="72">
        <v>132.30000000000001</v>
      </c>
      <c r="G101" s="72">
        <v>131</v>
      </c>
      <c r="H101" s="72">
        <v>131</v>
      </c>
      <c r="I101" s="72">
        <v>131</v>
      </c>
      <c r="J101" s="72">
        <v>128</v>
      </c>
      <c r="K101" s="72">
        <v>128</v>
      </c>
      <c r="L101" s="72">
        <v>128</v>
      </c>
      <c r="M101" s="72">
        <v>128.1</v>
      </c>
      <c r="N101" s="72">
        <v>128.9</v>
      </c>
      <c r="O101" s="72">
        <v>129.30000000000001</v>
      </c>
      <c r="P101" s="72">
        <v>126.3</v>
      </c>
      <c r="Q101" s="72">
        <v>128.80000000000001</v>
      </c>
      <c r="R101" s="72">
        <v>128.19999999999999</v>
      </c>
      <c r="S101" s="72">
        <v>128.19999999999999</v>
      </c>
      <c r="T101" s="72">
        <v>128.19999999999999</v>
      </c>
      <c r="U101" s="72">
        <v>128.19999999999999</v>
      </c>
      <c r="V101" s="72">
        <v>128.19999999999999</v>
      </c>
      <c r="W101" s="72">
        <v>129</v>
      </c>
      <c r="X101" s="72">
        <v>129</v>
      </c>
      <c r="Y101" s="72">
        <v>129</v>
      </c>
      <c r="Z101" s="72">
        <v>129</v>
      </c>
      <c r="AA101" s="72">
        <v>130</v>
      </c>
      <c r="AB101" s="72">
        <v>130.30000000000001</v>
      </c>
      <c r="AC101" s="72">
        <v>130.19999999999999</v>
      </c>
      <c r="AD101" s="72">
        <v>131.30000000000001</v>
      </c>
      <c r="AE101" s="72">
        <v>130.69999999999999</v>
      </c>
      <c r="AF101" s="72">
        <v>131</v>
      </c>
      <c r="AG101" s="111"/>
      <c r="AH101" s="52">
        <f t="shared" si="10"/>
        <v>132.30000000000001</v>
      </c>
      <c r="AI101" s="53">
        <f t="shared" si="11"/>
        <v>126.3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130.69999999999999</v>
      </c>
      <c r="C102" s="72">
        <v>130.9</v>
      </c>
      <c r="D102" s="72">
        <v>131.1</v>
      </c>
      <c r="E102" s="72">
        <v>131.1</v>
      </c>
      <c r="F102" s="72">
        <v>131.1</v>
      </c>
      <c r="G102" s="72">
        <v>133</v>
      </c>
      <c r="H102" s="72">
        <v>133</v>
      </c>
      <c r="I102" s="72">
        <v>133</v>
      </c>
      <c r="J102" s="72">
        <v>128</v>
      </c>
      <c r="K102" s="72">
        <v>128</v>
      </c>
      <c r="L102" s="72">
        <v>128</v>
      </c>
      <c r="M102" s="72">
        <v>130.30000000000001</v>
      </c>
      <c r="N102" s="72">
        <v>128.5</v>
      </c>
      <c r="O102" s="72">
        <v>129.69999999999999</v>
      </c>
      <c r="P102" s="72">
        <v>128.30000000000001</v>
      </c>
      <c r="Q102" s="72">
        <v>130.9</v>
      </c>
      <c r="R102" s="72">
        <v>129.4</v>
      </c>
      <c r="S102" s="72">
        <v>129.4</v>
      </c>
      <c r="T102" s="72">
        <v>129.4</v>
      </c>
      <c r="U102" s="72">
        <v>129.4</v>
      </c>
      <c r="V102" s="72">
        <v>129.4</v>
      </c>
      <c r="W102" s="72">
        <v>133</v>
      </c>
      <c r="X102" s="72">
        <v>133</v>
      </c>
      <c r="Y102" s="72">
        <v>133</v>
      </c>
      <c r="Z102" s="72">
        <v>133</v>
      </c>
      <c r="AA102" s="72">
        <v>131</v>
      </c>
      <c r="AB102" s="72">
        <v>130.5</v>
      </c>
      <c r="AC102" s="72">
        <v>129.5</v>
      </c>
      <c r="AD102" s="72">
        <v>131.69999999999999</v>
      </c>
      <c r="AE102" s="72">
        <v>131.4</v>
      </c>
      <c r="AF102" s="72">
        <v>131.4</v>
      </c>
      <c r="AG102" s="111"/>
      <c r="AH102" s="52">
        <f t="shared" si="10"/>
        <v>133</v>
      </c>
      <c r="AI102" s="53">
        <f t="shared" si="11"/>
        <v>128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0"/>
        <v>0</v>
      </c>
      <c r="AI103" s="53">
        <f t="shared" si="11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133.19999999999999</v>
      </c>
      <c r="C104" s="113">
        <v>132.1</v>
      </c>
      <c r="D104" s="113">
        <v>135.69999999999999</v>
      </c>
      <c r="E104" s="113">
        <v>135.69999999999999</v>
      </c>
      <c r="F104" s="113">
        <v>135.69999999999999</v>
      </c>
      <c r="G104" s="113">
        <v>133.9</v>
      </c>
      <c r="H104" s="113">
        <v>133.9</v>
      </c>
      <c r="I104" s="113">
        <v>133.9</v>
      </c>
      <c r="J104" s="113">
        <v>131.6</v>
      </c>
      <c r="K104" s="113">
        <v>131.6</v>
      </c>
      <c r="L104" s="113">
        <v>131.6</v>
      </c>
      <c r="M104" s="113">
        <v>131</v>
      </c>
      <c r="N104" s="113">
        <v>133.19999999999999</v>
      </c>
      <c r="O104" s="113">
        <v>133.80000000000001</v>
      </c>
      <c r="P104" s="113">
        <v>132.4</v>
      </c>
      <c r="Q104" s="113">
        <v>134.5</v>
      </c>
      <c r="R104" s="113">
        <v>130.9</v>
      </c>
      <c r="S104" s="113">
        <v>130.9</v>
      </c>
      <c r="T104" s="113">
        <v>130.9</v>
      </c>
      <c r="U104" s="113">
        <v>130.9</v>
      </c>
      <c r="V104" s="113">
        <v>130.9</v>
      </c>
      <c r="W104" s="113">
        <v>132.69999999999999</v>
      </c>
      <c r="X104" s="113">
        <v>132.69999999999999</v>
      </c>
      <c r="Y104" s="113">
        <v>133</v>
      </c>
      <c r="Z104" s="113">
        <v>133</v>
      </c>
      <c r="AA104" s="113">
        <v>135</v>
      </c>
      <c r="AB104" s="113">
        <v>131.69999999999999</v>
      </c>
      <c r="AC104" s="113">
        <v>132</v>
      </c>
      <c r="AD104" s="113">
        <v>133.80000000000001</v>
      </c>
      <c r="AE104" s="113">
        <v>131.69999999999999</v>
      </c>
      <c r="AF104" s="113">
        <v>133.69999999999999</v>
      </c>
      <c r="AG104" s="114"/>
      <c r="AH104" s="52">
        <f t="shared" si="10"/>
        <v>135.69999999999999</v>
      </c>
      <c r="AI104" s="53">
        <f t="shared" si="11"/>
        <v>130.9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132.9</v>
      </c>
      <c r="C105" s="72">
        <v>129.19999999999999</v>
      </c>
      <c r="D105" s="72">
        <v>134.9</v>
      </c>
      <c r="E105" s="72">
        <v>134.9</v>
      </c>
      <c r="F105" s="72">
        <v>134.9</v>
      </c>
      <c r="G105" s="72">
        <v>130</v>
      </c>
      <c r="H105" s="72">
        <v>130</v>
      </c>
      <c r="I105" s="72">
        <v>130</v>
      </c>
      <c r="J105" s="72">
        <v>128.6</v>
      </c>
      <c r="K105" s="72">
        <v>128.6</v>
      </c>
      <c r="L105" s="72">
        <v>128.6</v>
      </c>
      <c r="M105" s="72">
        <v>129.69999999999999</v>
      </c>
      <c r="N105" s="72">
        <v>128.80000000000001</v>
      </c>
      <c r="O105" s="72">
        <v>128</v>
      </c>
      <c r="P105" s="72">
        <v>129.5</v>
      </c>
      <c r="Q105" s="72">
        <v>130.69999999999999</v>
      </c>
      <c r="R105" s="72">
        <v>129.1</v>
      </c>
      <c r="S105" s="72">
        <v>129.1</v>
      </c>
      <c r="T105" s="72">
        <v>129.1</v>
      </c>
      <c r="U105" s="72">
        <v>129.1</v>
      </c>
      <c r="V105" s="72">
        <v>129.1</v>
      </c>
      <c r="W105" s="72">
        <v>128.9</v>
      </c>
      <c r="X105" s="72">
        <v>128.9</v>
      </c>
      <c r="Y105" s="72">
        <v>130</v>
      </c>
      <c r="Z105" s="72">
        <v>130</v>
      </c>
      <c r="AA105" s="72">
        <v>133</v>
      </c>
      <c r="AB105" s="72">
        <v>133</v>
      </c>
      <c r="AC105" s="72">
        <v>134.6</v>
      </c>
      <c r="AD105" s="72">
        <v>136.6</v>
      </c>
      <c r="AE105" s="72">
        <v>136.1</v>
      </c>
      <c r="AF105" s="72">
        <v>128.5</v>
      </c>
      <c r="AG105" s="111"/>
      <c r="AH105" s="52">
        <f t="shared" si="10"/>
        <v>136.6</v>
      </c>
      <c r="AI105" s="53">
        <f t="shared" si="11"/>
        <v>128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65.099999999999994</v>
      </c>
      <c r="C106" s="99">
        <v>65.3</v>
      </c>
      <c r="D106" s="99">
        <v>66.400000000000006</v>
      </c>
      <c r="E106" s="99">
        <v>66.400000000000006</v>
      </c>
      <c r="F106" s="99">
        <v>66.400000000000006</v>
      </c>
      <c r="G106" s="99">
        <v>65.8</v>
      </c>
      <c r="H106" s="99">
        <v>65.8</v>
      </c>
      <c r="I106" s="99">
        <v>65.8</v>
      </c>
      <c r="J106" s="99">
        <v>64.5</v>
      </c>
      <c r="K106" s="99">
        <v>64.5</v>
      </c>
      <c r="L106" s="99">
        <v>64.5</v>
      </c>
      <c r="M106" s="99">
        <v>65.400000000000006</v>
      </c>
      <c r="N106" s="99">
        <v>64.8</v>
      </c>
      <c r="O106" s="99">
        <v>64.900000000000006</v>
      </c>
      <c r="P106" s="99">
        <v>63.4</v>
      </c>
      <c r="Q106" s="99">
        <v>64.5</v>
      </c>
      <c r="R106" s="99">
        <v>64.5</v>
      </c>
      <c r="S106" s="99">
        <v>64.5</v>
      </c>
      <c r="T106" s="99">
        <v>64.5</v>
      </c>
      <c r="U106" s="99">
        <v>64.5</v>
      </c>
      <c r="V106" s="99">
        <v>64.5</v>
      </c>
      <c r="W106" s="99">
        <v>65</v>
      </c>
      <c r="X106" s="99">
        <v>65</v>
      </c>
      <c r="Y106" s="99">
        <v>64.7</v>
      </c>
      <c r="Z106" s="99">
        <v>64.7</v>
      </c>
      <c r="AA106" s="99">
        <v>65</v>
      </c>
      <c r="AB106" s="99">
        <v>65.599999999999994</v>
      </c>
      <c r="AC106" s="99">
        <v>65.400000000000006</v>
      </c>
      <c r="AD106" s="99">
        <v>66</v>
      </c>
      <c r="AE106" s="99">
        <v>66</v>
      </c>
      <c r="AF106" s="99">
        <v>66</v>
      </c>
      <c r="AG106" s="115"/>
      <c r="AH106" s="52">
        <f t="shared" si="10"/>
        <v>66.400000000000006</v>
      </c>
      <c r="AI106" s="53">
        <f t="shared" si="11"/>
        <v>63.4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0"/>
        <v>0</v>
      </c>
      <c r="AI107" s="53">
        <f t="shared" si="11"/>
        <v>0</v>
      </c>
    </row>
    <row r="108" spans="1:88" ht="15.75" thickBot="1" x14ac:dyDescent="0.3">
      <c r="A108" s="117" t="s">
        <v>112</v>
      </c>
      <c r="B108" s="118">
        <f t="shared" ref="B108:AF108" si="17">SUM(B18,B24,B27:B28,B56,B58:B59,B61,B63,B109:B113,B135,B141,B147,B156,B158,B170,B177,B180:B181,B188,B190,B192,B196:B198,B200:B202,B207,B213:B214,B216:B218,B226,B231)</f>
        <v>100.99999999999999</v>
      </c>
      <c r="C108" s="118">
        <f t="shared" si="17"/>
        <v>100.83999999999997</v>
      </c>
      <c r="D108" s="118">
        <f t="shared" si="17"/>
        <v>100.83999999999997</v>
      </c>
      <c r="E108" s="118">
        <f t="shared" si="17"/>
        <v>103.33999999999999</v>
      </c>
      <c r="F108" s="118">
        <f t="shared" si="17"/>
        <v>102.24000000000001</v>
      </c>
      <c r="G108" s="118">
        <f t="shared" si="17"/>
        <v>125.03999999999998</v>
      </c>
      <c r="H108" s="118">
        <f t="shared" si="17"/>
        <v>161.74</v>
      </c>
      <c r="I108" s="118">
        <f t="shared" si="17"/>
        <v>199.44</v>
      </c>
      <c r="J108" s="118">
        <f t="shared" si="17"/>
        <v>242.84</v>
      </c>
      <c r="K108" s="118">
        <f t="shared" si="17"/>
        <v>259.24</v>
      </c>
      <c r="L108" s="118">
        <f t="shared" si="17"/>
        <v>288.73999999999995</v>
      </c>
      <c r="M108" s="118">
        <f t="shared" si="17"/>
        <v>293.44</v>
      </c>
      <c r="N108" s="118">
        <f t="shared" si="17"/>
        <v>276.64000000000004</v>
      </c>
      <c r="O108" s="118">
        <f t="shared" si="17"/>
        <v>268.44</v>
      </c>
      <c r="P108" s="118">
        <v>42</v>
      </c>
      <c r="Q108" s="118">
        <f t="shared" si="17"/>
        <v>254.7</v>
      </c>
      <c r="R108" s="118">
        <f t="shared" si="17"/>
        <v>232.7</v>
      </c>
      <c r="S108" s="118">
        <f t="shared" si="17"/>
        <v>254.57</v>
      </c>
      <c r="T108" s="118">
        <f t="shared" si="17"/>
        <v>258.47000000000003</v>
      </c>
      <c r="U108" s="118">
        <f t="shared" si="17"/>
        <v>253.19</v>
      </c>
      <c r="V108" s="118">
        <f t="shared" si="17"/>
        <v>246.7</v>
      </c>
      <c r="W108" s="118">
        <f t="shared" si="17"/>
        <v>258.39999999999998</v>
      </c>
      <c r="X108" s="118">
        <f t="shared" si="17"/>
        <v>264.2</v>
      </c>
      <c r="Y108" s="118">
        <f t="shared" si="17"/>
        <v>306.89999999999998</v>
      </c>
      <c r="Z108" s="118">
        <f t="shared" si="17"/>
        <v>345.9</v>
      </c>
      <c r="AA108" s="118">
        <f t="shared" si="17"/>
        <v>368.9</v>
      </c>
      <c r="AB108" s="118">
        <f t="shared" si="17"/>
        <v>275.90000000000003</v>
      </c>
      <c r="AC108" s="118">
        <f t="shared" si="17"/>
        <v>277.2</v>
      </c>
      <c r="AD108" s="118">
        <f t="shared" si="17"/>
        <v>213.7</v>
      </c>
      <c r="AE108" s="118">
        <f t="shared" si="17"/>
        <v>165.2</v>
      </c>
      <c r="AF108" s="118">
        <f t="shared" si="17"/>
        <v>139.80000000000001</v>
      </c>
      <c r="AG108" s="119"/>
      <c r="AH108" s="52">
        <f t="shared" si="10"/>
        <v>368.9</v>
      </c>
      <c r="AI108" s="53">
        <f t="shared" si="11"/>
        <v>42</v>
      </c>
    </row>
    <row r="109" spans="1:88" x14ac:dyDescent="0.25">
      <c r="A109" s="107" t="s">
        <v>113</v>
      </c>
      <c r="B109" s="120">
        <v>-16.2</v>
      </c>
      <c r="C109" s="120">
        <v>-18.7</v>
      </c>
      <c r="D109" s="120">
        <v>-14</v>
      </c>
      <c r="E109" s="120">
        <v>-18</v>
      </c>
      <c r="F109" s="120">
        <v>-11.8</v>
      </c>
      <c r="G109" s="120">
        <v>-5.4</v>
      </c>
      <c r="H109" s="120">
        <v>-2.8</v>
      </c>
      <c r="I109" s="120">
        <v>4</v>
      </c>
      <c r="J109" s="120">
        <v>16</v>
      </c>
      <c r="K109" s="120">
        <v>20</v>
      </c>
      <c r="L109" s="120">
        <v>27.9</v>
      </c>
      <c r="M109" s="120">
        <v>26.8</v>
      </c>
      <c r="N109" s="120">
        <v>29</v>
      </c>
      <c r="O109" s="120">
        <v>30</v>
      </c>
      <c r="P109" s="120">
        <v>19</v>
      </c>
      <c r="Q109" s="120">
        <v>5.3</v>
      </c>
      <c r="R109" s="120">
        <v>6.4</v>
      </c>
      <c r="S109" s="120">
        <v>8</v>
      </c>
      <c r="T109" s="120">
        <v>4</v>
      </c>
      <c r="U109" s="120">
        <v>4</v>
      </c>
      <c r="V109" s="120">
        <v>4</v>
      </c>
      <c r="W109" s="120">
        <v>12.5</v>
      </c>
      <c r="X109" s="120">
        <v>9</v>
      </c>
      <c r="Y109" s="120">
        <v>22</v>
      </c>
      <c r="Z109" s="120">
        <v>25</v>
      </c>
      <c r="AA109" s="120">
        <v>25</v>
      </c>
      <c r="AB109" s="120">
        <v>22.1</v>
      </c>
      <c r="AC109" s="120">
        <v>13</v>
      </c>
      <c r="AD109" s="120">
        <v>-2.9</v>
      </c>
      <c r="AE109" s="120">
        <v>-4.3</v>
      </c>
      <c r="AF109" s="120">
        <v>-1.5</v>
      </c>
      <c r="AG109" s="121">
        <v>75</v>
      </c>
      <c r="AH109" s="52">
        <f t="shared" si="10"/>
        <v>30</v>
      </c>
      <c r="AI109" s="53">
        <f t="shared" si="11"/>
        <v>-18.7</v>
      </c>
    </row>
    <row r="110" spans="1:88" x14ac:dyDescent="0.25">
      <c r="A110" s="110" t="s">
        <v>114</v>
      </c>
      <c r="B110" s="185">
        <v>-16.3</v>
      </c>
      <c r="C110" s="185">
        <v>-20.399999999999999</v>
      </c>
      <c r="D110" s="185">
        <v>-13.4</v>
      </c>
      <c r="E110" s="185">
        <v>-21.2</v>
      </c>
      <c r="F110" s="185">
        <v>-13.3</v>
      </c>
      <c r="G110" s="185">
        <v>-5.4</v>
      </c>
      <c r="H110" s="185">
        <v>-1.9</v>
      </c>
      <c r="I110" s="185">
        <v>6.4</v>
      </c>
      <c r="J110" s="185">
        <v>22.3</v>
      </c>
      <c r="K110" s="185">
        <v>22</v>
      </c>
      <c r="L110" s="185">
        <v>32.4</v>
      </c>
      <c r="M110" s="185">
        <v>31</v>
      </c>
      <c r="N110" s="185">
        <v>35.6</v>
      </c>
      <c r="O110" s="185">
        <v>37.1</v>
      </c>
      <c r="P110" s="185">
        <v>26</v>
      </c>
      <c r="Q110" s="185">
        <v>8.3000000000000007</v>
      </c>
      <c r="R110" s="185">
        <v>10.199999999999999</v>
      </c>
      <c r="S110" s="185">
        <v>13</v>
      </c>
      <c r="T110" s="185">
        <v>2</v>
      </c>
      <c r="U110" s="185">
        <v>2</v>
      </c>
      <c r="V110" s="185">
        <v>2</v>
      </c>
      <c r="W110" s="185">
        <v>12.5</v>
      </c>
      <c r="X110" s="185">
        <v>9</v>
      </c>
      <c r="Y110" s="185">
        <v>22</v>
      </c>
      <c r="Z110" s="185">
        <v>29</v>
      </c>
      <c r="AA110" s="185">
        <v>27</v>
      </c>
      <c r="AB110" s="185">
        <v>27.9</v>
      </c>
      <c r="AC110" s="185">
        <v>15.4</v>
      </c>
      <c r="AD110" s="185">
        <v>-6.5</v>
      </c>
      <c r="AE110" s="185">
        <v>-5.9</v>
      </c>
      <c r="AF110" s="185">
        <v>-1.7</v>
      </c>
      <c r="AG110" s="121">
        <v>240</v>
      </c>
      <c r="AH110" s="52">
        <f t="shared" si="10"/>
        <v>37.1</v>
      </c>
      <c r="AI110" s="53">
        <f t="shared" si="11"/>
        <v>-21.2</v>
      </c>
    </row>
    <row r="111" spans="1:88" x14ac:dyDescent="0.25">
      <c r="A111" s="110" t="s">
        <v>115</v>
      </c>
      <c r="B111" s="185">
        <v>-48</v>
      </c>
      <c r="C111" s="185">
        <v>-43</v>
      </c>
      <c r="D111" s="185">
        <v>-44</v>
      </c>
      <c r="E111" s="185">
        <v>-44</v>
      </c>
      <c r="F111" s="185">
        <v>-49.8</v>
      </c>
      <c r="G111" s="185">
        <v>-45</v>
      </c>
      <c r="H111" s="185">
        <v>-27.8</v>
      </c>
      <c r="I111" s="185">
        <v>-13</v>
      </c>
      <c r="J111" s="185">
        <v>-6</v>
      </c>
      <c r="K111" s="185">
        <v>4</v>
      </c>
      <c r="L111" s="185">
        <v>8</v>
      </c>
      <c r="M111" s="185">
        <v>21.3</v>
      </c>
      <c r="N111" s="185">
        <v>11.4</v>
      </c>
      <c r="O111" s="185">
        <v>-6.9</v>
      </c>
      <c r="P111" s="185">
        <f>-7.9-8.8</f>
        <v>-16.700000000000003</v>
      </c>
      <c r="Q111" s="185">
        <f>-1.7-6.1</f>
        <v>-7.8</v>
      </c>
      <c r="R111" s="185">
        <v>-32</v>
      </c>
      <c r="S111" s="185">
        <v>-10</v>
      </c>
      <c r="T111" s="185">
        <v>6</v>
      </c>
      <c r="U111" s="185">
        <v>6</v>
      </c>
      <c r="V111" s="185">
        <v>6</v>
      </c>
      <c r="W111" s="185">
        <v>22</v>
      </c>
      <c r="X111" s="185">
        <v>27</v>
      </c>
      <c r="Y111" s="185">
        <v>29</v>
      </c>
      <c r="Z111" s="185">
        <v>44</v>
      </c>
      <c r="AA111" s="185">
        <v>54</v>
      </c>
      <c r="AB111" s="185">
        <v>17.8</v>
      </c>
      <c r="AC111" s="185">
        <v>18</v>
      </c>
      <c r="AD111" s="185">
        <f>8.3+6.1</f>
        <v>14.4</v>
      </c>
      <c r="AE111" s="185">
        <v>-27</v>
      </c>
      <c r="AF111" s="185">
        <v>-44</v>
      </c>
      <c r="AG111" s="121">
        <v>240</v>
      </c>
      <c r="AH111" s="52">
        <f t="shared" si="10"/>
        <v>54</v>
      </c>
      <c r="AI111" s="53">
        <f t="shared" si="11"/>
        <v>-49.8</v>
      </c>
    </row>
    <row r="112" spans="1:88" x14ac:dyDescent="0.25">
      <c r="A112" s="110" t="s">
        <v>116</v>
      </c>
      <c r="B112" s="185">
        <v>-7.4</v>
      </c>
      <c r="C112" s="185">
        <v>-8</v>
      </c>
      <c r="D112" s="185">
        <v>-4.9000000000000004</v>
      </c>
      <c r="E112" s="185">
        <v>-3.5</v>
      </c>
      <c r="F112" s="185">
        <v>-3.1</v>
      </c>
      <c r="G112" s="185">
        <v>-2.5</v>
      </c>
      <c r="H112" s="185">
        <v>2</v>
      </c>
      <c r="I112" s="185">
        <v>4.8</v>
      </c>
      <c r="J112" s="185">
        <v>6.3</v>
      </c>
      <c r="K112" s="185">
        <v>8</v>
      </c>
      <c r="L112" s="185">
        <v>13.6</v>
      </c>
      <c r="M112" s="185">
        <v>14.3</v>
      </c>
      <c r="N112" s="185">
        <v>13</v>
      </c>
      <c r="O112" s="185">
        <v>13.2</v>
      </c>
      <c r="P112" s="185">
        <v>7.3</v>
      </c>
      <c r="Q112" s="185">
        <v>21.4</v>
      </c>
      <c r="R112" s="185">
        <v>25.9</v>
      </c>
      <c r="S112" s="185">
        <v>24</v>
      </c>
      <c r="T112" s="185">
        <v>35</v>
      </c>
      <c r="U112" s="185">
        <v>35</v>
      </c>
      <c r="V112" s="185">
        <v>35</v>
      </c>
      <c r="W112" s="185">
        <v>18</v>
      </c>
      <c r="X112" s="185">
        <v>17</v>
      </c>
      <c r="Y112" s="185">
        <v>31</v>
      </c>
      <c r="Z112" s="185">
        <v>50</v>
      </c>
      <c r="AA112" s="185">
        <v>42</v>
      </c>
      <c r="AB112" s="185">
        <v>22.3</v>
      </c>
      <c r="AC112" s="185">
        <v>29.1</v>
      </c>
      <c r="AD112" s="185">
        <v>16</v>
      </c>
      <c r="AE112" s="185">
        <v>19</v>
      </c>
      <c r="AF112" s="185">
        <v>4.5999999999999996</v>
      </c>
      <c r="AG112" s="121">
        <v>60</v>
      </c>
      <c r="AH112" s="52">
        <f t="shared" si="10"/>
        <v>50</v>
      </c>
      <c r="AI112" s="53">
        <f t="shared" si="11"/>
        <v>-8</v>
      </c>
    </row>
    <row r="113" spans="1:37" x14ac:dyDescent="0.25">
      <c r="A113" s="123" t="s">
        <v>117</v>
      </c>
      <c r="B113" s="124">
        <v>93.5</v>
      </c>
      <c r="C113" s="124">
        <v>94.6</v>
      </c>
      <c r="D113" s="124">
        <v>80.8</v>
      </c>
      <c r="E113" s="124">
        <v>93.7</v>
      </c>
      <c r="F113" s="124">
        <v>85.9</v>
      </c>
      <c r="G113" s="124">
        <v>89.6</v>
      </c>
      <c r="H113" s="124">
        <v>96</v>
      </c>
      <c r="I113" s="124">
        <v>101</v>
      </c>
      <c r="J113" s="124">
        <v>108</v>
      </c>
      <c r="K113" s="124">
        <v>110</v>
      </c>
      <c r="L113" s="124">
        <v>111.6</v>
      </c>
      <c r="M113" s="124">
        <v>103</v>
      </c>
      <c r="N113" s="124">
        <v>88.6</v>
      </c>
      <c r="O113" s="124">
        <v>96</v>
      </c>
      <c r="P113" s="124">
        <v>114.1</v>
      </c>
      <c r="Q113" s="124">
        <v>113.2</v>
      </c>
      <c r="R113" s="124">
        <v>109.6</v>
      </c>
      <c r="S113" s="124">
        <v>109</v>
      </c>
      <c r="T113" s="124">
        <v>104</v>
      </c>
      <c r="U113" s="124">
        <v>104</v>
      </c>
      <c r="V113" s="124">
        <v>104</v>
      </c>
      <c r="W113" s="124">
        <v>98</v>
      </c>
      <c r="X113" s="124">
        <v>109</v>
      </c>
      <c r="Y113" s="124">
        <v>112</v>
      </c>
      <c r="Z113" s="124">
        <v>107</v>
      </c>
      <c r="AA113" s="124">
        <v>130</v>
      </c>
      <c r="AB113" s="124">
        <v>93.8</v>
      </c>
      <c r="AC113" s="124">
        <v>109.7</v>
      </c>
      <c r="AD113" s="124">
        <v>100.7</v>
      </c>
      <c r="AE113" s="124">
        <v>91.4</v>
      </c>
      <c r="AF113" s="124">
        <v>89.5</v>
      </c>
      <c r="AG113" s="125">
        <v>120</v>
      </c>
      <c r="AH113" s="52">
        <f t="shared" si="10"/>
        <v>130</v>
      </c>
      <c r="AI113" s="53">
        <f t="shared" si="11"/>
        <v>80.8</v>
      </c>
    </row>
    <row r="114" spans="1:37" x14ac:dyDescent="0.25">
      <c r="A114" s="123" t="s">
        <v>118</v>
      </c>
      <c r="B114" s="124">
        <v>97.4</v>
      </c>
      <c r="C114" s="124">
        <v>100.7</v>
      </c>
      <c r="D114" s="124">
        <v>86.7</v>
      </c>
      <c r="E114" s="124">
        <v>104.6</v>
      </c>
      <c r="F114" s="124">
        <v>101</v>
      </c>
      <c r="G114" s="124">
        <v>103</v>
      </c>
      <c r="H114" s="124">
        <v>98</v>
      </c>
      <c r="I114" s="124">
        <v>95</v>
      </c>
      <c r="J114" s="124">
        <v>88.8</v>
      </c>
      <c r="K114" s="124">
        <v>92</v>
      </c>
      <c r="L114" s="124">
        <v>82.1</v>
      </c>
      <c r="M114" s="124">
        <v>84.1</v>
      </c>
      <c r="N114" s="124">
        <v>98.6</v>
      </c>
      <c r="O114" s="124">
        <v>94</v>
      </c>
      <c r="P114" s="124">
        <v>110.4</v>
      </c>
      <c r="Q114" s="124">
        <v>108.6</v>
      </c>
      <c r="R114" s="124">
        <v>105.9</v>
      </c>
      <c r="S114" s="124">
        <v>110</v>
      </c>
      <c r="T114" s="124">
        <v>101</v>
      </c>
      <c r="U114" s="124">
        <v>101</v>
      </c>
      <c r="V114" s="124">
        <v>101</v>
      </c>
      <c r="W114" s="124">
        <v>79</v>
      </c>
      <c r="X114" s="124">
        <v>91</v>
      </c>
      <c r="Y114" s="124">
        <v>86</v>
      </c>
      <c r="Z114" s="124">
        <v>86</v>
      </c>
      <c r="AA114" s="124">
        <v>95</v>
      </c>
      <c r="AB114" s="124">
        <v>94.8</v>
      </c>
      <c r="AC114" s="124">
        <v>88.1</v>
      </c>
      <c r="AD114" s="124">
        <v>83.1</v>
      </c>
      <c r="AE114" s="124">
        <v>94.4</v>
      </c>
      <c r="AF114" s="124">
        <v>98.4</v>
      </c>
      <c r="AG114" s="125"/>
      <c r="AH114" s="52">
        <f t="shared" si="10"/>
        <v>110.4</v>
      </c>
      <c r="AI114" s="53">
        <f t="shared" si="11"/>
        <v>79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>
        <v>20.8</v>
      </c>
      <c r="N115" s="124"/>
      <c r="O115" s="124"/>
      <c r="P115" s="124">
        <v>24.8</v>
      </c>
      <c r="Q115" s="124"/>
      <c r="R115" s="124"/>
      <c r="S115" s="124">
        <v>34</v>
      </c>
      <c r="T115" s="124">
        <v>32</v>
      </c>
      <c r="U115" s="124">
        <v>32</v>
      </c>
      <c r="V115" s="124">
        <v>32</v>
      </c>
      <c r="W115" s="124">
        <v>8.1</v>
      </c>
      <c r="X115" s="124"/>
      <c r="Y115" s="124"/>
      <c r="Z115" s="124">
        <v>26</v>
      </c>
      <c r="AA115" s="124"/>
      <c r="AB115" s="124"/>
      <c r="AC115" s="124"/>
      <c r="AD115" s="124">
        <v>49.4</v>
      </c>
      <c r="AE115" s="124">
        <v>56</v>
      </c>
      <c r="AF115" s="124">
        <v>54.6</v>
      </c>
      <c r="AG115" s="126"/>
      <c r="AH115" s="52">
        <f t="shared" si="10"/>
        <v>56</v>
      </c>
      <c r="AI115" s="53">
        <f t="shared" si="11"/>
        <v>8.1</v>
      </c>
    </row>
    <row r="116" spans="1:37" x14ac:dyDescent="0.25">
      <c r="A116" s="127" t="s">
        <v>120</v>
      </c>
      <c r="B116" s="113">
        <v>80</v>
      </c>
      <c r="C116" s="113">
        <v>79</v>
      </c>
      <c r="D116" s="113">
        <v>80</v>
      </c>
      <c r="E116" s="113">
        <v>92</v>
      </c>
      <c r="F116" s="113">
        <v>90</v>
      </c>
      <c r="G116" s="113">
        <v>84</v>
      </c>
      <c r="H116" s="113">
        <v>73.2</v>
      </c>
      <c r="I116" s="113">
        <v>59.9</v>
      </c>
      <c r="J116" s="113">
        <v>51.7</v>
      </c>
      <c r="K116" s="113">
        <v>40</v>
      </c>
      <c r="L116" s="113">
        <v>32.5</v>
      </c>
      <c r="M116" s="113">
        <v>16</v>
      </c>
      <c r="N116" s="113">
        <v>21</v>
      </c>
      <c r="O116" s="113">
        <v>17</v>
      </c>
      <c r="P116" s="113">
        <v>14</v>
      </c>
      <c r="Q116" s="113">
        <v>15</v>
      </c>
      <c r="R116" s="113">
        <v>14</v>
      </c>
      <c r="S116" s="113">
        <v>28</v>
      </c>
      <c r="T116" s="113">
        <v>27</v>
      </c>
      <c r="U116" s="113">
        <v>27</v>
      </c>
      <c r="V116" s="113">
        <v>27</v>
      </c>
      <c r="W116" s="113">
        <v>11</v>
      </c>
      <c r="X116" s="113">
        <v>3.4</v>
      </c>
      <c r="Y116" s="113">
        <v>-12</v>
      </c>
      <c r="Z116" s="113">
        <v>-26</v>
      </c>
      <c r="AA116" s="113">
        <v>-7</v>
      </c>
      <c r="AB116" s="113">
        <v>0</v>
      </c>
      <c r="AC116" s="113">
        <v>0</v>
      </c>
      <c r="AD116" s="113">
        <v>28</v>
      </c>
      <c r="AE116" s="113">
        <v>40.700000000000003</v>
      </c>
      <c r="AF116" s="113">
        <v>35.4</v>
      </c>
      <c r="AG116" s="126"/>
      <c r="AH116" s="52">
        <f t="shared" si="10"/>
        <v>92</v>
      </c>
      <c r="AI116" s="53">
        <f t="shared" si="11"/>
        <v>-26</v>
      </c>
    </row>
    <row r="117" spans="1:37" ht="15.75" thickBot="1" x14ac:dyDescent="0.3">
      <c r="A117" s="127" t="s">
        <v>121</v>
      </c>
      <c r="B117" s="113">
        <v>37.700000000000003</v>
      </c>
      <c r="C117" s="113">
        <v>36.299999999999997</v>
      </c>
      <c r="D117" s="113">
        <v>36</v>
      </c>
      <c r="E117" s="113">
        <v>25.9</v>
      </c>
      <c r="F117" s="113">
        <v>23.9</v>
      </c>
      <c r="G117" s="113">
        <v>29.9</v>
      </c>
      <c r="H117" s="113">
        <v>27.7</v>
      </c>
      <c r="I117" s="113">
        <v>37.4</v>
      </c>
      <c r="J117" s="113">
        <v>48.2</v>
      </c>
      <c r="K117" s="113">
        <v>52</v>
      </c>
      <c r="L117" s="113">
        <v>65.599999999999994</v>
      </c>
      <c r="M117" s="113">
        <v>62.2</v>
      </c>
      <c r="N117" s="113">
        <v>63.6</v>
      </c>
      <c r="O117" s="113">
        <v>67.5</v>
      </c>
      <c r="P117" s="113">
        <v>65.099999999999994</v>
      </c>
      <c r="Q117" s="113">
        <v>61.3</v>
      </c>
      <c r="R117" s="113">
        <v>55.2</v>
      </c>
      <c r="S117" s="113">
        <v>62</v>
      </c>
      <c r="T117" s="113">
        <v>64</v>
      </c>
      <c r="U117" s="113">
        <v>64</v>
      </c>
      <c r="V117" s="113">
        <v>64</v>
      </c>
      <c r="W117" s="113">
        <v>69</v>
      </c>
      <c r="X117" s="113">
        <v>68</v>
      </c>
      <c r="Y117" s="113">
        <v>85</v>
      </c>
      <c r="Z117" s="113">
        <v>97</v>
      </c>
      <c r="AA117" s="113">
        <v>91</v>
      </c>
      <c r="AB117" s="113">
        <v>89.5</v>
      </c>
      <c r="AC117" s="113">
        <v>91.4</v>
      </c>
      <c r="AD117" s="113">
        <v>75.2</v>
      </c>
      <c r="AE117" s="113">
        <v>63.5</v>
      </c>
      <c r="AF117" s="113">
        <v>64.5</v>
      </c>
      <c r="AG117" s="126"/>
      <c r="AH117" s="52">
        <f t="shared" si="10"/>
        <v>97</v>
      </c>
      <c r="AI117" s="53">
        <f t="shared" si="11"/>
        <v>23.9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18">SUM(B119:B223)</f>
        <v>0</v>
      </c>
      <c r="C224" s="144">
        <f t="shared" si="18"/>
        <v>0</v>
      </c>
      <c r="D224" s="144">
        <f t="shared" si="18"/>
        <v>0</v>
      </c>
      <c r="E224" s="144">
        <f t="shared" si="18"/>
        <v>0</v>
      </c>
      <c r="F224" s="144">
        <f t="shared" si="18"/>
        <v>0</v>
      </c>
      <c r="G224" s="144">
        <f t="shared" si="18"/>
        <v>0</v>
      </c>
      <c r="H224" s="144">
        <f t="shared" si="18"/>
        <v>0</v>
      </c>
      <c r="I224" s="144">
        <f t="shared" si="18"/>
        <v>0</v>
      </c>
      <c r="J224" s="144">
        <f t="shared" si="18"/>
        <v>0</v>
      </c>
      <c r="K224" s="144">
        <f t="shared" si="18"/>
        <v>0</v>
      </c>
      <c r="L224" s="144">
        <f t="shared" si="18"/>
        <v>0</v>
      </c>
      <c r="M224" s="144">
        <f t="shared" si="18"/>
        <v>0</v>
      </c>
      <c r="N224" s="144">
        <f t="shared" si="18"/>
        <v>0</v>
      </c>
      <c r="O224" s="144">
        <f t="shared" si="18"/>
        <v>0</v>
      </c>
      <c r="P224" s="144">
        <f t="shared" si="18"/>
        <v>0</v>
      </c>
      <c r="Q224" s="144">
        <f t="shared" si="18"/>
        <v>0</v>
      </c>
      <c r="R224" s="144">
        <f t="shared" si="18"/>
        <v>0</v>
      </c>
      <c r="S224" s="144">
        <f t="shared" si="18"/>
        <v>0</v>
      </c>
      <c r="T224" s="144">
        <f t="shared" si="18"/>
        <v>0</v>
      </c>
      <c r="U224" s="144">
        <f t="shared" si="18"/>
        <v>0</v>
      </c>
      <c r="V224" s="144">
        <f t="shared" si="18"/>
        <v>0</v>
      </c>
      <c r="W224" s="144">
        <f t="shared" si="18"/>
        <v>0</v>
      </c>
      <c r="X224" s="144">
        <f t="shared" si="18"/>
        <v>0</v>
      </c>
      <c r="Y224" s="144">
        <f t="shared" si="18"/>
        <v>0</v>
      </c>
      <c r="Z224" s="144">
        <f t="shared" si="18"/>
        <v>0</v>
      </c>
      <c r="AA224" s="144">
        <f t="shared" si="18"/>
        <v>0</v>
      </c>
      <c r="AB224" s="144">
        <f t="shared" si="18"/>
        <v>0</v>
      </c>
      <c r="AC224" s="144">
        <f t="shared" si="18"/>
        <v>0</v>
      </c>
      <c r="AD224" s="144">
        <f t="shared" si="18"/>
        <v>0</v>
      </c>
      <c r="AE224" s="144">
        <f t="shared" si="18"/>
        <v>0</v>
      </c>
      <c r="AF224" s="145">
        <f t="shared" si="18"/>
        <v>0</v>
      </c>
      <c r="AG224" s="146">
        <f t="shared" si="18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19">AF226</f>
        <v>0</v>
      </c>
      <c r="C226" s="149">
        <v>0.3</v>
      </c>
      <c r="D226" s="149">
        <f t="shared" ref="D226:P231" si="20">C226</f>
        <v>0.3</v>
      </c>
      <c r="E226" s="149">
        <f t="shared" si="20"/>
        <v>0.3</v>
      </c>
      <c r="F226" s="149">
        <f t="shared" si="20"/>
        <v>0.3</v>
      </c>
      <c r="G226" s="149">
        <f t="shared" si="20"/>
        <v>0.3</v>
      </c>
      <c r="H226" s="149">
        <f t="shared" si="20"/>
        <v>0.3</v>
      </c>
      <c r="I226" s="149">
        <f t="shared" si="20"/>
        <v>0.3</v>
      </c>
      <c r="J226" s="149">
        <f t="shared" si="20"/>
        <v>0.3</v>
      </c>
      <c r="K226" s="149">
        <f t="shared" si="20"/>
        <v>0.3</v>
      </c>
      <c r="L226" s="149">
        <f t="shared" si="20"/>
        <v>0.3</v>
      </c>
      <c r="M226" s="149">
        <f t="shared" si="20"/>
        <v>0.3</v>
      </c>
      <c r="N226" s="149">
        <f t="shared" si="20"/>
        <v>0.3</v>
      </c>
      <c r="O226" s="149">
        <f t="shared" si="20"/>
        <v>0.3</v>
      </c>
      <c r="P226" s="149">
        <f t="shared" si="20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19"/>
        <v>0</v>
      </c>
      <c r="C227" s="136">
        <v>0.4</v>
      </c>
      <c r="D227" s="136">
        <f t="shared" si="20"/>
        <v>0.4</v>
      </c>
      <c r="E227" s="136">
        <f t="shared" si="20"/>
        <v>0.4</v>
      </c>
      <c r="F227" s="136">
        <f t="shared" si="20"/>
        <v>0.4</v>
      </c>
      <c r="G227" s="136">
        <f t="shared" si="20"/>
        <v>0.4</v>
      </c>
      <c r="H227" s="136">
        <f t="shared" si="20"/>
        <v>0.4</v>
      </c>
      <c r="I227" s="136">
        <f t="shared" si="20"/>
        <v>0.4</v>
      </c>
      <c r="J227" s="136">
        <f t="shared" si="20"/>
        <v>0.4</v>
      </c>
      <c r="K227" s="136">
        <f t="shared" si="20"/>
        <v>0.4</v>
      </c>
      <c r="L227" s="136">
        <f t="shared" si="20"/>
        <v>0.4</v>
      </c>
      <c r="M227" s="136">
        <f t="shared" si="20"/>
        <v>0.4</v>
      </c>
      <c r="N227" s="136">
        <f t="shared" si="20"/>
        <v>0.4</v>
      </c>
      <c r="O227" s="136">
        <f t="shared" si="20"/>
        <v>0.4</v>
      </c>
      <c r="P227" s="136">
        <f t="shared" si="20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19"/>
        <v>0</v>
      </c>
      <c r="C228" s="136">
        <v>1.5</v>
      </c>
      <c r="D228" s="136">
        <f t="shared" si="20"/>
        <v>1.5</v>
      </c>
      <c r="E228" s="136">
        <f t="shared" si="20"/>
        <v>1.5</v>
      </c>
      <c r="F228" s="136">
        <f t="shared" si="20"/>
        <v>1.5</v>
      </c>
      <c r="G228" s="136">
        <f t="shared" si="20"/>
        <v>1.5</v>
      </c>
      <c r="H228" s="136">
        <f t="shared" si="20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0"/>
        <v>1.5</v>
      </c>
      <c r="K228" s="136">
        <f t="shared" ca="1" si="20"/>
        <v>1.5</v>
      </c>
      <c r="L228" s="136">
        <f t="shared" ca="1" si="20"/>
        <v>1.5</v>
      </c>
      <c r="M228" s="136">
        <f t="shared" ca="1" si="20"/>
        <v>1.5</v>
      </c>
      <c r="N228" s="136">
        <f t="shared" ca="1" si="20"/>
        <v>1.5</v>
      </c>
      <c r="O228" s="136">
        <f t="shared" ca="1" si="20"/>
        <v>1.5</v>
      </c>
      <c r="P228" s="136">
        <f t="shared" ca="1" si="20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19"/>
        <v>0</v>
      </c>
      <c r="C229" s="136">
        <v>0.3</v>
      </c>
      <c r="D229" s="136">
        <f t="shared" si="20"/>
        <v>0.3</v>
      </c>
      <c r="E229" s="136">
        <f t="shared" si="20"/>
        <v>0.3</v>
      </c>
      <c r="F229" s="136">
        <f t="shared" si="20"/>
        <v>0.3</v>
      </c>
      <c r="G229" s="136">
        <f t="shared" si="20"/>
        <v>0.3</v>
      </c>
      <c r="H229" s="136">
        <f t="shared" si="20"/>
        <v>0.3</v>
      </c>
      <c r="I229" s="136">
        <f t="shared" si="20"/>
        <v>0.3</v>
      </c>
      <c r="J229" s="136">
        <f t="shared" si="20"/>
        <v>0.3</v>
      </c>
      <c r="K229" s="136">
        <f t="shared" si="20"/>
        <v>0.3</v>
      </c>
      <c r="L229" s="136">
        <f t="shared" si="20"/>
        <v>0.3</v>
      </c>
      <c r="M229" s="136">
        <f t="shared" si="20"/>
        <v>0.3</v>
      </c>
      <c r="N229" s="136">
        <f t="shared" si="20"/>
        <v>0.3</v>
      </c>
      <c r="O229" s="136">
        <f t="shared" si="20"/>
        <v>0.3</v>
      </c>
      <c r="P229" s="136">
        <f t="shared" si="20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19"/>
        <v>0</v>
      </c>
      <c r="C230" s="136">
        <v>0.4</v>
      </c>
      <c r="D230" s="136">
        <f t="shared" si="20"/>
        <v>0.4</v>
      </c>
      <c r="E230" s="136">
        <f t="shared" si="20"/>
        <v>0.4</v>
      </c>
      <c r="F230" s="136">
        <f t="shared" si="20"/>
        <v>0.4</v>
      </c>
      <c r="G230" s="136">
        <f t="shared" si="20"/>
        <v>0.4</v>
      </c>
      <c r="H230" s="136">
        <f t="shared" si="20"/>
        <v>0.4</v>
      </c>
      <c r="I230" s="136">
        <f t="shared" si="20"/>
        <v>0.4</v>
      </c>
      <c r="J230" s="136">
        <f t="shared" si="20"/>
        <v>0.4</v>
      </c>
      <c r="K230" s="136">
        <f t="shared" si="20"/>
        <v>0.4</v>
      </c>
      <c r="L230" s="136">
        <f t="shared" si="20"/>
        <v>0.4</v>
      </c>
      <c r="M230" s="136">
        <f t="shared" si="20"/>
        <v>0.4</v>
      </c>
      <c r="N230" s="136">
        <f t="shared" si="20"/>
        <v>0.4</v>
      </c>
      <c r="O230" s="136">
        <f t="shared" si="20"/>
        <v>0.4</v>
      </c>
      <c r="P230" s="136">
        <f t="shared" si="20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19"/>
        <v>0</v>
      </c>
      <c r="C231" s="140">
        <v>0.64</v>
      </c>
      <c r="D231" s="140">
        <f t="shared" si="20"/>
        <v>0.64</v>
      </c>
      <c r="E231" s="140">
        <f t="shared" si="20"/>
        <v>0.64</v>
      </c>
      <c r="F231" s="140">
        <f t="shared" si="20"/>
        <v>0.64</v>
      </c>
      <c r="G231" s="140">
        <f t="shared" si="20"/>
        <v>0.64</v>
      </c>
      <c r="H231" s="140">
        <f t="shared" si="20"/>
        <v>0.64</v>
      </c>
      <c r="I231" s="140">
        <f t="shared" si="20"/>
        <v>0.64</v>
      </c>
      <c r="J231" s="140">
        <f t="shared" si="20"/>
        <v>0.64</v>
      </c>
      <c r="K231" s="140">
        <f t="shared" si="20"/>
        <v>0.64</v>
      </c>
      <c r="L231" s="140">
        <f t="shared" si="20"/>
        <v>0.64</v>
      </c>
      <c r="M231" s="140">
        <f t="shared" si="20"/>
        <v>0.64</v>
      </c>
      <c r="N231" s="140">
        <f t="shared" si="20"/>
        <v>0.64</v>
      </c>
      <c r="O231" s="140">
        <f t="shared" si="20"/>
        <v>0.64</v>
      </c>
      <c r="P231" s="140">
        <f t="shared" si="20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1">SUM(B226:B231)</f>
        <v>0</v>
      </c>
      <c r="C232" s="144">
        <f t="shared" si="21"/>
        <v>3.54</v>
      </c>
      <c r="D232" s="144">
        <f t="shared" si="21"/>
        <v>3.54</v>
      </c>
      <c r="E232" s="144">
        <f t="shared" si="21"/>
        <v>3.54</v>
      </c>
      <c r="F232" s="144">
        <f t="shared" si="21"/>
        <v>3.54</v>
      </c>
      <c r="G232" s="144">
        <f t="shared" si="21"/>
        <v>3.54</v>
      </c>
      <c r="H232" s="144">
        <f t="shared" si="21"/>
        <v>3.54</v>
      </c>
      <c r="I232" s="144">
        <f t="shared" ca="1" si="21"/>
        <v>3.54</v>
      </c>
      <c r="J232" s="144">
        <f t="shared" ca="1" si="21"/>
        <v>3.54</v>
      </c>
      <c r="K232" s="144">
        <f t="shared" ca="1" si="21"/>
        <v>3.54</v>
      </c>
      <c r="L232" s="144">
        <f t="shared" ca="1" si="21"/>
        <v>3.54</v>
      </c>
      <c r="M232" s="144">
        <f t="shared" ca="1" si="21"/>
        <v>3.54</v>
      </c>
      <c r="N232" s="144">
        <f t="shared" ca="1" si="21"/>
        <v>3.54</v>
      </c>
      <c r="O232" s="144">
        <f t="shared" ca="1" si="21"/>
        <v>3.54</v>
      </c>
      <c r="P232" s="144">
        <f t="shared" ca="1" si="21"/>
        <v>3.54</v>
      </c>
      <c r="Q232" s="144">
        <f t="shared" si="21"/>
        <v>0</v>
      </c>
      <c r="R232" s="144">
        <f t="shared" si="21"/>
        <v>0</v>
      </c>
      <c r="S232" s="144">
        <f t="shared" si="21"/>
        <v>0</v>
      </c>
      <c r="T232" s="144">
        <f t="shared" si="21"/>
        <v>0</v>
      </c>
      <c r="U232" s="144">
        <f t="shared" si="21"/>
        <v>0</v>
      </c>
      <c r="V232" s="144">
        <f t="shared" si="21"/>
        <v>0</v>
      </c>
      <c r="W232" s="144">
        <f t="shared" si="21"/>
        <v>0</v>
      </c>
      <c r="X232" s="144">
        <f t="shared" si="21"/>
        <v>0</v>
      </c>
      <c r="Y232" s="144">
        <f t="shared" si="21"/>
        <v>0</v>
      </c>
      <c r="Z232" s="144">
        <f t="shared" si="21"/>
        <v>0</v>
      </c>
      <c r="AA232" s="144">
        <f t="shared" si="21"/>
        <v>0</v>
      </c>
      <c r="AB232" s="144">
        <f t="shared" si="21"/>
        <v>0</v>
      </c>
      <c r="AC232" s="144">
        <f t="shared" si="21"/>
        <v>0</v>
      </c>
      <c r="AD232" s="144">
        <f t="shared" si="21"/>
        <v>0</v>
      </c>
      <c r="AE232" s="144">
        <f t="shared" si="21"/>
        <v>0</v>
      </c>
      <c r="AF232" s="144">
        <f t="shared" si="21"/>
        <v>0</v>
      </c>
      <c r="AG232" s="154">
        <f t="shared" si="21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1347.74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20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2079/12/20)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2079/12/20)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2">B89</f>
        <v>995.74</v>
      </c>
      <c r="U246" s="180">
        <f t="shared" si="22"/>
        <v>982.43999999999994</v>
      </c>
      <c r="V246" s="180">
        <f t="shared" si="22"/>
        <v>945.83999999999992</v>
      </c>
      <c r="W246" s="180">
        <f t="shared" si="22"/>
        <v>969.24</v>
      </c>
      <c r="X246" s="180">
        <f t="shared" si="22"/>
        <v>970.84000000000015</v>
      </c>
      <c r="Y246" s="180">
        <f t="shared" si="22"/>
        <v>1025.2400000000002</v>
      </c>
      <c r="Z246" s="180">
        <f t="shared" si="22"/>
        <v>1050.04</v>
      </c>
      <c r="AA246" s="180">
        <f t="shared" si="22"/>
        <v>1109.8399999999999</v>
      </c>
      <c r="AB246" s="180">
        <f t="shared" si="22"/>
        <v>1214.48</v>
      </c>
      <c r="AC246" s="180">
        <f t="shared" si="22"/>
        <v>1342.24</v>
      </c>
      <c r="AD246" s="180">
        <f t="shared" si="22"/>
        <v>1347.74</v>
      </c>
      <c r="AE246" s="180">
        <f t="shared" si="22"/>
        <v>1330.34</v>
      </c>
      <c r="AF246" s="180">
        <f t="shared" si="22"/>
        <v>1306.3399999999999</v>
      </c>
      <c r="AG246" s="180">
        <f t="shared" si="22"/>
        <v>1315.94</v>
      </c>
      <c r="AH246" s="180">
        <f t="shared" si="22"/>
        <v>1299.94</v>
      </c>
      <c r="AI246" s="180">
        <f t="shared" si="22"/>
        <v>1231.54</v>
      </c>
      <c r="AJ246" s="180">
        <f t="shared" si="22"/>
        <v>1207.74</v>
      </c>
      <c r="AK246" s="180">
        <f t="shared" si="22"/>
        <v>1259.9100000000001</v>
      </c>
      <c r="AL246" s="180">
        <f t="shared" si="22"/>
        <v>1271.1100000000001</v>
      </c>
      <c r="AM246" s="180">
        <f t="shared" si="22"/>
        <v>1255.4299999999998</v>
      </c>
      <c r="AN246" s="180">
        <f t="shared" si="22"/>
        <v>1248.94</v>
      </c>
      <c r="AO246" s="180">
        <f t="shared" si="22"/>
        <v>1221.24</v>
      </c>
      <c r="AP246" s="180">
        <f t="shared" si="22"/>
        <v>1155.94</v>
      </c>
      <c r="AQ246" s="180">
        <f t="shared" si="22"/>
        <v>1202.74</v>
      </c>
      <c r="AR246" s="180">
        <f t="shared" si="22"/>
        <v>1383.14</v>
      </c>
      <c r="AS246" s="180">
        <f t="shared" si="22"/>
        <v>1365.74</v>
      </c>
      <c r="AT246" s="180">
        <f t="shared" si="22"/>
        <v>1276.6399999999999</v>
      </c>
      <c r="AU246" s="180">
        <f t="shared" si="22"/>
        <v>1237.44</v>
      </c>
      <c r="AV246" s="180">
        <f t="shared" si="22"/>
        <v>1121.74</v>
      </c>
      <c r="AW246" s="180">
        <f t="shared" si="22"/>
        <v>1115.3400000000001</v>
      </c>
      <c r="AX246" s="180">
        <f t="shared" si="22"/>
        <v>1071.6400000000001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3">C231</f>
        <v>0.64</v>
      </c>
      <c r="C267" s="183">
        <f t="shared" si="23"/>
        <v>0.64</v>
      </c>
      <c r="D267" s="183">
        <f t="shared" si="23"/>
        <v>0.64</v>
      </c>
      <c r="E267" s="183">
        <f t="shared" si="23"/>
        <v>0.64</v>
      </c>
      <c r="F267" s="183">
        <f t="shared" si="23"/>
        <v>0.64</v>
      </c>
      <c r="G267" s="183">
        <f t="shared" si="23"/>
        <v>0.64</v>
      </c>
      <c r="H267" s="183">
        <f t="shared" si="23"/>
        <v>0.64</v>
      </c>
      <c r="I267" s="183">
        <f t="shared" si="23"/>
        <v>0.64</v>
      </c>
      <c r="J267" s="183">
        <f t="shared" si="23"/>
        <v>0.64</v>
      </c>
      <c r="K267" s="183">
        <f t="shared" si="23"/>
        <v>0.64</v>
      </c>
      <c r="L267" s="183">
        <f t="shared" si="23"/>
        <v>0.64</v>
      </c>
      <c r="M267" s="183">
        <f t="shared" si="23"/>
        <v>0.64</v>
      </c>
      <c r="N267" s="183">
        <f t="shared" si="23"/>
        <v>0.64</v>
      </c>
      <c r="O267" s="183">
        <f t="shared" si="23"/>
        <v>0.64</v>
      </c>
      <c r="P267" s="183">
        <f t="shared" si="23"/>
        <v>0</v>
      </c>
      <c r="Q267" s="183">
        <f t="shared" si="23"/>
        <v>0</v>
      </c>
      <c r="R267" s="183">
        <f t="shared" si="23"/>
        <v>0</v>
      </c>
      <c r="S267" s="183">
        <f t="shared" si="23"/>
        <v>0</v>
      </c>
      <c r="T267" s="183">
        <f t="shared" si="23"/>
        <v>0</v>
      </c>
      <c r="U267" s="183">
        <f t="shared" si="23"/>
        <v>0</v>
      </c>
      <c r="V267" s="183">
        <f t="shared" si="23"/>
        <v>0</v>
      </c>
      <c r="W267" s="183">
        <f t="shared" si="23"/>
        <v>0</v>
      </c>
      <c r="X267" s="183">
        <f t="shared" si="23"/>
        <v>0</v>
      </c>
      <c r="Y267" s="183">
        <f t="shared" si="23"/>
        <v>0</v>
      </c>
      <c r="Z267" s="183">
        <f t="shared" si="23"/>
        <v>0</v>
      </c>
      <c r="AA267" s="183">
        <f t="shared" si="23"/>
        <v>0</v>
      </c>
      <c r="AB267" s="183">
        <f t="shared" si="23"/>
        <v>0</v>
      </c>
      <c r="AC267" s="183">
        <f t="shared" si="23"/>
        <v>0</v>
      </c>
      <c r="AD267" s="183">
        <f t="shared" si="23"/>
        <v>0</v>
      </c>
      <c r="AE267" s="183">
        <f t="shared" si="23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4">IF(B235&lt;100,"",B235-520)</f>
        <v/>
      </c>
      <c r="C268" s="184" t="str">
        <f t="shared" si="24"/>
        <v/>
      </c>
      <c r="D268" s="184" t="str">
        <f t="shared" si="24"/>
        <v/>
      </c>
      <c r="E268" s="184" t="str">
        <f t="shared" si="24"/>
        <v/>
      </c>
      <c r="F268" s="184" t="str">
        <f t="shared" si="24"/>
        <v/>
      </c>
      <c r="G268" s="184" t="str">
        <f t="shared" si="24"/>
        <v/>
      </c>
      <c r="H268" s="184" t="str">
        <f t="shared" si="24"/>
        <v/>
      </c>
      <c r="I268" s="184" t="str">
        <f t="shared" si="24"/>
        <v/>
      </c>
      <c r="J268" s="184" t="str">
        <f t="shared" si="24"/>
        <v/>
      </c>
      <c r="K268" s="184" t="str">
        <f t="shared" si="24"/>
        <v/>
      </c>
      <c r="L268" s="184" t="str">
        <f t="shared" si="24"/>
        <v/>
      </c>
      <c r="M268" s="184" t="str">
        <f t="shared" si="24"/>
        <v/>
      </c>
      <c r="N268" s="184" t="str">
        <f t="shared" si="24"/>
        <v/>
      </c>
      <c r="O268" s="184" t="str">
        <f t="shared" si="24"/>
        <v/>
      </c>
      <c r="P268" s="184" t="str">
        <f t="shared" si="24"/>
        <v/>
      </c>
      <c r="Q268" s="184" t="str">
        <f t="shared" si="24"/>
        <v/>
      </c>
      <c r="R268" s="184" t="str">
        <f t="shared" si="24"/>
        <v/>
      </c>
      <c r="S268" s="184" t="str">
        <f t="shared" si="24"/>
        <v/>
      </c>
      <c r="T268" s="184" t="str">
        <f t="shared" si="24"/>
        <v/>
      </c>
      <c r="U268" s="184" t="str">
        <f t="shared" si="24"/>
        <v/>
      </c>
      <c r="V268" s="184" t="str">
        <f t="shared" si="24"/>
        <v/>
      </c>
      <c r="W268" s="184" t="str">
        <f t="shared" si="24"/>
        <v/>
      </c>
      <c r="X268" s="184" t="str">
        <f t="shared" si="24"/>
        <v/>
      </c>
      <c r="Y268" s="184" t="str">
        <f t="shared" si="24"/>
        <v/>
      </c>
      <c r="Z268" s="184" t="str">
        <f t="shared" si="24"/>
        <v/>
      </c>
      <c r="AA268" s="184" t="str">
        <f t="shared" si="24"/>
        <v/>
      </c>
      <c r="AB268" s="184" t="str">
        <f t="shared" si="24"/>
        <v/>
      </c>
      <c r="AC268" s="184" t="str">
        <f t="shared" si="24"/>
        <v/>
      </c>
      <c r="AD268" s="184" t="str">
        <f t="shared" si="24"/>
        <v/>
      </c>
      <c r="AE268" s="184" t="str">
        <f t="shared" si="24"/>
        <v/>
      </c>
      <c r="AF268" s="184" t="str">
        <f t="shared" si="24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5">IF(B236&lt;100,"",B236-620)</f>
        <v/>
      </c>
      <c r="C269" s="184" t="str">
        <f t="shared" si="25"/>
        <v/>
      </c>
      <c r="D269" s="184" t="str">
        <f t="shared" si="25"/>
        <v/>
      </c>
      <c r="E269" s="184" t="str">
        <f t="shared" si="25"/>
        <v/>
      </c>
      <c r="F269" s="184" t="str">
        <f t="shared" si="25"/>
        <v/>
      </c>
      <c r="G269" s="184" t="str">
        <f t="shared" si="25"/>
        <v/>
      </c>
      <c r="H269" s="184" t="str">
        <f t="shared" si="25"/>
        <v/>
      </c>
      <c r="I269" s="184" t="str">
        <f t="shared" si="25"/>
        <v/>
      </c>
      <c r="J269" s="184" t="str">
        <f t="shared" si="25"/>
        <v/>
      </c>
      <c r="K269" s="184" t="str">
        <f t="shared" si="25"/>
        <v/>
      </c>
      <c r="L269" s="184" t="str">
        <f t="shared" si="25"/>
        <v/>
      </c>
      <c r="M269" s="184" t="str">
        <f t="shared" si="25"/>
        <v/>
      </c>
      <c r="N269" s="184" t="str">
        <f t="shared" si="25"/>
        <v/>
      </c>
      <c r="O269" s="184" t="str">
        <f t="shared" si="25"/>
        <v/>
      </c>
      <c r="P269" s="184" t="str">
        <f t="shared" si="25"/>
        <v/>
      </c>
      <c r="Q269" s="184" t="str">
        <f t="shared" si="25"/>
        <v/>
      </c>
      <c r="R269" s="184" t="str">
        <f t="shared" si="25"/>
        <v/>
      </c>
      <c r="S269" s="184" t="str">
        <f t="shared" si="25"/>
        <v/>
      </c>
      <c r="T269" s="184" t="str">
        <f t="shared" si="25"/>
        <v/>
      </c>
      <c r="U269" s="184" t="str">
        <f t="shared" si="25"/>
        <v/>
      </c>
      <c r="V269" s="184" t="str">
        <f t="shared" si="25"/>
        <v/>
      </c>
      <c r="W269" s="184" t="str">
        <f t="shared" si="25"/>
        <v/>
      </c>
      <c r="X269" s="184" t="str">
        <f t="shared" si="25"/>
        <v/>
      </c>
      <c r="Y269" s="184" t="str">
        <f t="shared" si="25"/>
        <v/>
      </c>
      <c r="Z269" s="184" t="str">
        <f t="shared" si="25"/>
        <v/>
      </c>
      <c r="AA269" s="184" t="str">
        <f t="shared" si="25"/>
        <v/>
      </c>
      <c r="AB269" s="184" t="str">
        <f t="shared" si="25"/>
        <v/>
      </c>
      <c r="AC269" s="184" t="str">
        <f t="shared" si="25"/>
        <v/>
      </c>
      <c r="AD269" s="184" t="str">
        <f t="shared" si="25"/>
        <v/>
      </c>
      <c r="AE269" s="184" t="str">
        <f t="shared" si="25"/>
        <v/>
      </c>
      <c r="AF269" s="184" t="str">
        <f t="shared" si="25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6">IF(B237&lt;100,"",B237-330)</f>
        <v/>
      </c>
      <c r="C270" s="184" t="str">
        <f t="shared" si="26"/>
        <v/>
      </c>
      <c r="D270" s="184" t="str">
        <f t="shared" si="26"/>
        <v/>
      </c>
      <c r="E270" s="184" t="str">
        <f t="shared" si="26"/>
        <v/>
      </c>
      <c r="F270" s="184" t="str">
        <f t="shared" si="26"/>
        <v/>
      </c>
      <c r="G270" s="184" t="str">
        <f t="shared" si="26"/>
        <v/>
      </c>
      <c r="H270" s="184" t="str">
        <f t="shared" si="26"/>
        <v/>
      </c>
      <c r="I270" s="184" t="str">
        <f t="shared" si="26"/>
        <v/>
      </c>
      <c r="J270" s="184" t="str">
        <f t="shared" si="26"/>
        <v/>
      </c>
      <c r="K270" s="184" t="str">
        <f t="shared" si="26"/>
        <v/>
      </c>
      <c r="L270" s="184" t="str">
        <f t="shared" si="26"/>
        <v/>
      </c>
      <c r="M270" s="184" t="str">
        <f t="shared" si="26"/>
        <v/>
      </c>
      <c r="N270" s="184" t="str">
        <f t="shared" si="26"/>
        <v/>
      </c>
      <c r="O270" s="184" t="str">
        <f t="shared" si="26"/>
        <v/>
      </c>
      <c r="P270" s="184" t="str">
        <f t="shared" si="26"/>
        <v/>
      </c>
      <c r="Q270" s="184" t="str">
        <f t="shared" si="26"/>
        <v/>
      </c>
      <c r="R270" s="184" t="str">
        <f t="shared" si="26"/>
        <v/>
      </c>
      <c r="S270" s="184" t="str">
        <f t="shared" si="26"/>
        <v/>
      </c>
      <c r="T270" s="184" t="str">
        <f t="shared" si="26"/>
        <v/>
      </c>
      <c r="U270" s="184" t="str">
        <f t="shared" si="26"/>
        <v/>
      </c>
      <c r="V270" s="184" t="str">
        <f t="shared" si="26"/>
        <v/>
      </c>
      <c r="W270" s="184" t="str">
        <f t="shared" si="26"/>
        <v/>
      </c>
      <c r="X270" s="184" t="str">
        <f t="shared" si="26"/>
        <v/>
      </c>
      <c r="Y270" s="184" t="str">
        <f t="shared" si="26"/>
        <v/>
      </c>
      <c r="Z270" s="184" t="str">
        <f t="shared" si="26"/>
        <v/>
      </c>
      <c r="AA270" s="184" t="str">
        <f t="shared" si="26"/>
        <v/>
      </c>
      <c r="AB270" s="184" t="str">
        <f t="shared" si="26"/>
        <v/>
      </c>
      <c r="AC270" s="184" t="str">
        <f t="shared" si="26"/>
        <v/>
      </c>
      <c r="AD270" s="184" t="str">
        <f t="shared" si="26"/>
        <v/>
      </c>
      <c r="AE270" s="184" t="str">
        <f t="shared" si="26"/>
        <v/>
      </c>
      <c r="AF270" s="184" t="str">
        <f t="shared" si="26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7">IF(B238&lt;100,"",B238-1500)</f>
        <v/>
      </c>
      <c r="C271" s="184" t="str">
        <f t="shared" si="27"/>
        <v/>
      </c>
      <c r="D271" s="184" t="str">
        <f t="shared" si="27"/>
        <v/>
      </c>
      <c r="E271" s="184" t="str">
        <f t="shared" si="27"/>
        <v/>
      </c>
      <c r="F271" s="184" t="str">
        <f t="shared" si="27"/>
        <v/>
      </c>
      <c r="G271" s="184" t="str">
        <f t="shared" si="27"/>
        <v/>
      </c>
      <c r="H271" s="184" t="str">
        <f t="shared" si="27"/>
        <v/>
      </c>
      <c r="I271" s="184" t="str">
        <f t="shared" si="27"/>
        <v/>
      </c>
      <c r="J271" s="184" t="str">
        <f t="shared" si="27"/>
        <v/>
      </c>
      <c r="K271" s="184" t="str">
        <f t="shared" si="27"/>
        <v/>
      </c>
      <c r="L271" s="184" t="str">
        <f t="shared" si="27"/>
        <v/>
      </c>
      <c r="M271" s="184" t="str">
        <f t="shared" si="27"/>
        <v/>
      </c>
      <c r="N271" s="184" t="str">
        <f t="shared" si="27"/>
        <v/>
      </c>
      <c r="O271" s="184" t="str">
        <f t="shared" si="27"/>
        <v/>
      </c>
      <c r="P271" s="184" t="str">
        <f t="shared" si="27"/>
        <v/>
      </c>
      <c r="Q271" s="184" t="str">
        <f t="shared" si="27"/>
        <v/>
      </c>
      <c r="R271" s="184" t="str">
        <f t="shared" si="27"/>
        <v/>
      </c>
      <c r="S271" s="184" t="str">
        <f t="shared" si="27"/>
        <v/>
      </c>
      <c r="T271" s="184" t="str">
        <f t="shared" si="27"/>
        <v/>
      </c>
      <c r="U271" s="184" t="str">
        <f t="shared" si="27"/>
        <v/>
      </c>
      <c r="V271" s="184" t="str">
        <f t="shared" si="27"/>
        <v/>
      </c>
      <c r="W271" s="184" t="str">
        <f t="shared" si="27"/>
        <v/>
      </c>
      <c r="X271" s="184" t="str">
        <f t="shared" si="27"/>
        <v/>
      </c>
      <c r="Y271" s="184" t="str">
        <f t="shared" si="27"/>
        <v/>
      </c>
      <c r="Z271" s="184" t="str">
        <f t="shared" si="27"/>
        <v/>
      </c>
      <c r="AA271" s="184" t="str">
        <f t="shared" si="27"/>
        <v/>
      </c>
      <c r="AB271" s="184" t="str">
        <f t="shared" si="27"/>
        <v/>
      </c>
      <c r="AC271" s="184" t="str">
        <f t="shared" si="27"/>
        <v/>
      </c>
      <c r="AD271" s="184" t="str">
        <f t="shared" si="27"/>
        <v/>
      </c>
      <c r="AE271" s="184" t="str">
        <f t="shared" si="27"/>
        <v/>
      </c>
      <c r="AF271" s="184" t="str">
        <f t="shared" si="27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4983" priority="344">
      <formula>B$9&gt;=20/24</formula>
    </cfRule>
    <cfRule type="expression" dxfId="4982" priority="345">
      <formula>AND(B$9&gt;=14/24,B$9&lt;20/24)</formula>
    </cfRule>
    <cfRule type="expression" dxfId="4981" priority="346">
      <formula>AND(B$9&gt;=8/24,B$9&lt;14/24)</formula>
    </cfRule>
    <cfRule type="expression" dxfId="4980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4979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4978" priority="341">
      <formula>$AH12=0</formula>
    </cfRule>
  </conditionalFormatting>
  <conditionalFormatting sqref="A114">
    <cfRule type="expression" dxfId="4977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4976" priority="338">
      <formula>$AH45=0</formula>
    </cfRule>
  </conditionalFormatting>
  <conditionalFormatting sqref="A98">
    <cfRule type="expression" dxfId="4975" priority="337">
      <formula>$AH98=0</formula>
    </cfRule>
  </conditionalFormatting>
  <conditionalFormatting sqref="A18">
    <cfRule type="expression" dxfId="4974" priority="336">
      <formula>$AH18=0</formula>
    </cfRule>
  </conditionalFormatting>
  <conditionalFormatting sqref="A196:A201">
    <cfRule type="expression" dxfId="4973" priority="335">
      <formula>$AH196=0</formula>
    </cfRule>
  </conditionalFormatting>
  <conditionalFormatting sqref="A190:A195">
    <cfRule type="expression" dxfId="4972" priority="334">
      <formula>$AH190=0</formula>
    </cfRule>
  </conditionalFormatting>
  <conditionalFormatting sqref="A58">
    <cfRule type="expression" dxfId="4971" priority="333">
      <formula>$AH58=0</formula>
    </cfRule>
  </conditionalFormatting>
  <conditionalFormatting sqref="A94">
    <cfRule type="expression" dxfId="4970" priority="332">
      <formula>$AH94=0</formula>
    </cfRule>
  </conditionalFormatting>
  <conditionalFormatting sqref="E99:X99 AD99:AF99">
    <cfRule type="expression" dxfId="4969" priority="328">
      <formula>E$9&gt;=20/24</formula>
    </cfRule>
    <cfRule type="expression" dxfId="4968" priority="329">
      <formula>AND(E$9&gt;=14/24,E$9&lt;20/24)</formula>
    </cfRule>
    <cfRule type="expression" dxfId="4967" priority="330">
      <formula>AND(E$9&gt;=8/24,E$9&lt;14/24)</formula>
    </cfRule>
    <cfRule type="expression" dxfId="4966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965" priority="350">
      <formula>C$9&gt;=20/24</formula>
    </cfRule>
    <cfRule type="expression" dxfId="4964" priority="351">
      <formula>AND(C$9&gt;=14/24,C$9&lt;20/24)</formula>
    </cfRule>
    <cfRule type="expression" dxfId="4963" priority="352">
      <formula>AND(C$9&gt;=8/24,C$9&lt;14/24)</formula>
    </cfRule>
    <cfRule type="expression" dxfId="4962" priority="353">
      <formula>C$9&lt;8/24</formula>
    </cfRule>
  </conditionalFormatting>
  <conditionalFormatting sqref="A233">
    <cfRule type="expression" dxfId="4961" priority="354">
      <formula>$AH233=0</formula>
    </cfRule>
  </conditionalFormatting>
  <conditionalFormatting sqref="AG245">
    <cfRule type="expression" dxfId="4960" priority="355">
      <formula>B$9&gt;=20/24</formula>
    </cfRule>
    <cfRule type="expression" dxfId="4959" priority="356">
      <formula>AND(B$9&gt;=14/24,B$9&lt;20/24)</formula>
    </cfRule>
    <cfRule type="expression" dxfId="4958" priority="357">
      <formula>AND(B$9&gt;=8/24,B$9&lt;14/24)</formula>
    </cfRule>
    <cfRule type="expression" dxfId="4957" priority="358">
      <formula>B$9&lt;8/24</formula>
    </cfRule>
  </conditionalFormatting>
  <conditionalFormatting sqref="S8">
    <cfRule type="expression" dxfId="4956" priority="323">
      <formula>U$9&gt;=20/24</formula>
    </cfRule>
    <cfRule type="expression" dxfId="4955" priority="324">
      <formula>AND(U$9&gt;=14/24,U$9&lt;20/24)</formula>
    </cfRule>
    <cfRule type="expression" dxfId="4954" priority="325">
      <formula>AND(U$9&gt;=8/24,U$9&lt;14/24)</formula>
    </cfRule>
    <cfRule type="expression" dxfId="4953" priority="326">
      <formula>U$9&lt;8/24</formula>
    </cfRule>
  </conditionalFormatting>
  <conditionalFormatting sqref="AB8">
    <cfRule type="expression" dxfId="4952" priority="319">
      <formula>AD$9&gt;=20/24</formula>
    </cfRule>
    <cfRule type="expression" dxfId="4951" priority="320">
      <formula>AND(AD$9&gt;=14/24,AD$9&lt;20/24)</formula>
    </cfRule>
    <cfRule type="expression" dxfId="4950" priority="321">
      <formula>AND(AD$9&gt;=8/24,AD$9&lt;14/24)</formula>
    </cfRule>
    <cfRule type="expression" dxfId="4949" priority="322">
      <formula>AD$9&lt;8/24</formula>
    </cfRule>
  </conditionalFormatting>
  <conditionalFormatting sqref="AH245:AX245">
    <cfRule type="expression" dxfId="4948" priority="359">
      <formula>AG$9&gt;=20/24</formula>
    </cfRule>
    <cfRule type="expression" dxfId="4947" priority="360">
      <formula>AND(AG$9&gt;=14/24,AG$9&lt;20/24)</formula>
    </cfRule>
    <cfRule type="expression" dxfId="4946" priority="361">
      <formula>AND(AG$9&gt;=8/24,AG$9&lt;14/24)</formula>
    </cfRule>
    <cfRule type="expression" dxfId="4945" priority="362">
      <formula>AG$9&lt;8/24</formula>
    </cfRule>
  </conditionalFormatting>
  <conditionalFormatting sqref="T245">
    <cfRule type="expression" dxfId="4944" priority="363">
      <formula>AX$9&gt;=20/24</formula>
    </cfRule>
    <cfRule type="expression" dxfId="4943" priority="364">
      <formula>AND(AX$9&gt;=14/24,AX$9&lt;20/24)</formula>
    </cfRule>
    <cfRule type="expression" dxfId="4942" priority="365">
      <formula>AND(AX$9&gt;=8/24,AX$9&lt;14/24)</formula>
    </cfRule>
    <cfRule type="expression" dxfId="4941" priority="366">
      <formula>AX$9&lt;8/24</formula>
    </cfRule>
  </conditionalFormatting>
  <conditionalFormatting sqref="A115:A116">
    <cfRule type="expression" dxfId="4940" priority="318">
      <formula>$AH115=0</formula>
    </cfRule>
  </conditionalFormatting>
  <conditionalFormatting sqref="M54:N56 N57:N58 AB54:AB57 M57 O54:Q58 R58:AB58 AC54:AF58 E71:AF71">
    <cfRule type="expression" dxfId="4939" priority="314">
      <formula>E$9&gt;=20/24</formula>
    </cfRule>
    <cfRule type="expression" dxfId="4938" priority="315">
      <formula>AND(E$9&gt;=14/24,E$9&lt;20/24)</formula>
    </cfRule>
    <cfRule type="expression" dxfId="4937" priority="316">
      <formula>AND(E$9&gt;=8/24,E$9&lt;14/24)</formula>
    </cfRule>
    <cfRule type="expression" dxfId="4936" priority="317">
      <formula>E$9&lt;8/24</formula>
    </cfRule>
  </conditionalFormatting>
  <conditionalFormatting sqref="M53:Q53 AB53:AF53">
    <cfRule type="expression" dxfId="4935" priority="310">
      <formula>M$9&gt;=20/24</formula>
    </cfRule>
    <cfRule type="expression" dxfId="4934" priority="311">
      <formula>AND(M$9&gt;=14/24,M$9&lt;20/24)</formula>
    </cfRule>
    <cfRule type="expression" dxfId="4933" priority="312">
      <formula>AND(M$9&gt;=8/24,M$9&lt;14/24)</formula>
    </cfRule>
    <cfRule type="expression" dxfId="4932" priority="313">
      <formula>M$9&lt;8/24</formula>
    </cfRule>
  </conditionalFormatting>
  <conditionalFormatting sqref="M53:N56 N57:N58 AB53:AB57 M57 O53:Q58 R58:AB58 AC53:AF58">
    <cfRule type="expression" dxfId="4931" priority="309">
      <formula>M53&gt;$AG53</formula>
    </cfRule>
  </conditionalFormatting>
  <conditionalFormatting sqref="D86:AF86 X96:AF96 Y47:AF47 E72:X73 M100:X106 X67:AF69 AD100:AF106 Y72:AF74">
    <cfRule type="expression" dxfId="4930" priority="305">
      <formula>D$9&gt;=20/24</formula>
    </cfRule>
    <cfRule type="expression" dxfId="4929" priority="306">
      <formula>AND(D$9&gt;=14/24,D$9&lt;20/24)</formula>
    </cfRule>
    <cfRule type="expression" dxfId="4928" priority="307">
      <formula>AND(D$9&gt;=8/24,D$9&lt;14/24)</formula>
    </cfRule>
    <cfRule type="expression" dxfId="4927" priority="308">
      <formula>D$9&lt;8/24</formula>
    </cfRule>
  </conditionalFormatting>
  <conditionalFormatting sqref="Y47:AF47 X67:AF69">
    <cfRule type="expression" dxfId="4926" priority="304">
      <formula>X47&gt;$AG47</formula>
    </cfRule>
  </conditionalFormatting>
  <conditionalFormatting sqref="R53:AA57">
    <cfRule type="expression" dxfId="4925" priority="300">
      <formula>R$9&gt;=20/24</formula>
    </cfRule>
    <cfRule type="expression" dxfId="4924" priority="301">
      <formula>AND(R$9&gt;=14/24,R$9&lt;20/24)</formula>
    </cfRule>
    <cfRule type="expression" dxfId="4923" priority="302">
      <formula>AND(R$9&gt;=8/24,R$9&lt;14/24)</formula>
    </cfRule>
    <cfRule type="expression" dxfId="4922" priority="303">
      <formula>R$9&lt;8/24</formula>
    </cfRule>
  </conditionalFormatting>
  <conditionalFormatting sqref="R53:AA57">
    <cfRule type="expression" dxfId="4921" priority="299">
      <formula>R53&gt;$AG53</formula>
    </cfRule>
  </conditionalFormatting>
  <conditionalFormatting sqref="C97:AF97 D88:AF88">
    <cfRule type="expression" dxfId="4920" priority="295">
      <formula>C$9&gt;=20/24</formula>
    </cfRule>
    <cfRule type="expression" dxfId="4919" priority="296">
      <formula>AND(C$9&gt;=14/24,C$9&lt;20/24)</formula>
    </cfRule>
    <cfRule type="expression" dxfId="4918" priority="297">
      <formula>AND(C$9&gt;=8/24,C$9&lt;14/24)</formula>
    </cfRule>
    <cfRule type="expression" dxfId="4917" priority="298">
      <formula>C$9&lt;8/24</formula>
    </cfRule>
  </conditionalFormatting>
  <conditionalFormatting sqref="T47:X47">
    <cfRule type="expression" dxfId="4916" priority="291">
      <formula>T$9&gt;=20/24</formula>
    </cfRule>
    <cfRule type="expression" dxfId="4915" priority="292">
      <formula>AND(T$9&gt;=14/24,T$9&lt;20/24)</formula>
    </cfRule>
    <cfRule type="expression" dxfId="4914" priority="293">
      <formula>AND(T$9&gt;=8/24,T$9&lt;14/24)</formula>
    </cfRule>
    <cfRule type="expression" dxfId="4913" priority="294">
      <formula>T$9&lt;8/24</formula>
    </cfRule>
  </conditionalFormatting>
  <conditionalFormatting sqref="T47:X47">
    <cfRule type="expression" dxfId="4912" priority="290">
      <formula>T47&gt;$AG47</formula>
    </cfRule>
  </conditionalFormatting>
  <conditionalFormatting sqref="E54:L55">
    <cfRule type="expression" dxfId="4911" priority="286">
      <formula>E$9&gt;=20/24</formula>
    </cfRule>
    <cfRule type="expression" dxfId="4910" priority="287">
      <formula>AND(E$9&gt;=14/24,E$9&lt;20/24)</formula>
    </cfRule>
    <cfRule type="expression" dxfId="4909" priority="288">
      <formula>AND(E$9&gt;=8/24,E$9&lt;14/24)</formula>
    </cfRule>
    <cfRule type="expression" dxfId="4908" priority="289">
      <formula>E$9&lt;8/24</formula>
    </cfRule>
  </conditionalFormatting>
  <conditionalFormatting sqref="E53:L53">
    <cfRule type="expression" dxfId="4907" priority="282">
      <formula>E$9&gt;=20/24</formula>
    </cfRule>
    <cfRule type="expression" dxfId="4906" priority="283">
      <formula>AND(E$9&gt;=14/24,E$9&lt;20/24)</formula>
    </cfRule>
    <cfRule type="expression" dxfId="4905" priority="284">
      <formula>AND(E$9&gt;=8/24,E$9&lt;14/24)</formula>
    </cfRule>
    <cfRule type="expression" dxfId="4904" priority="285">
      <formula>E$9&lt;8/24</formula>
    </cfRule>
  </conditionalFormatting>
  <conditionalFormatting sqref="E53:L55">
    <cfRule type="expression" dxfId="4903" priority="281">
      <formula>E53&gt;$AG53</formula>
    </cfRule>
  </conditionalFormatting>
  <conditionalFormatting sqref="AG70 AG87 Q67:W69 J100:L106">
    <cfRule type="expression" dxfId="4902" priority="277">
      <formula>J$9&gt;=20/24</formula>
    </cfRule>
    <cfRule type="expression" dxfId="4901" priority="278">
      <formula>AND(J$9&gt;=14/24,J$9&lt;20/24)</formula>
    </cfRule>
    <cfRule type="expression" dxfId="4900" priority="279">
      <formula>AND(J$9&gt;=8/24,J$9&lt;14/24)</formula>
    </cfRule>
    <cfRule type="expression" dxfId="4899" priority="280">
      <formula>J$9&lt;8/24</formula>
    </cfRule>
  </conditionalFormatting>
  <conditionalFormatting sqref="AG48 AG66 AG70 Q67:W69">
    <cfRule type="expression" dxfId="4898" priority="276">
      <formula>Q48&gt;$AG48</formula>
    </cfRule>
  </conditionalFormatting>
  <conditionalFormatting sqref="A43">
    <cfRule type="expression" dxfId="4897" priority="270">
      <formula>$AH43=0</formula>
    </cfRule>
  </conditionalFormatting>
  <conditionalFormatting sqref="X91:AF95">
    <cfRule type="expression" dxfId="4896" priority="266">
      <formula>X$9&gt;=20/24</formula>
    </cfRule>
    <cfRule type="expression" dxfId="4895" priority="267">
      <formula>AND(X$9&gt;=14/24,X$9&lt;20/24)</formula>
    </cfRule>
    <cfRule type="expression" dxfId="4894" priority="268">
      <formula>AND(X$9&gt;=8/24,X$9&lt;14/24)</formula>
    </cfRule>
    <cfRule type="expression" dxfId="4893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4892" priority="262">
      <formula>E$9&gt;=20/24</formula>
    </cfRule>
    <cfRule type="expression" dxfId="4891" priority="263">
      <formula>AND(E$9&gt;=14/24,E$9&lt;20/24)</formula>
    </cfRule>
    <cfRule type="expression" dxfId="4890" priority="264">
      <formula>AND(E$9&gt;=8/24,E$9&lt;14/24)</formula>
    </cfRule>
    <cfRule type="expression" dxfId="4889" priority="265">
      <formula>E$9&lt;8/24</formula>
    </cfRule>
  </conditionalFormatting>
  <conditionalFormatting sqref="E49:AF51">
    <cfRule type="expression" dxfId="4888" priority="261">
      <formula>E49&gt;$AG49</formula>
    </cfRule>
  </conditionalFormatting>
  <conditionalFormatting sqref="AG52">
    <cfRule type="expression" dxfId="4887" priority="257">
      <formula>AG$9&gt;=20/24</formula>
    </cfRule>
    <cfRule type="expression" dxfId="4886" priority="258">
      <formula>AND(AG$9&gt;=14/24,AG$9&lt;20/24)</formula>
    </cfRule>
    <cfRule type="expression" dxfId="4885" priority="259">
      <formula>AND(AG$9&gt;=8/24,AG$9&lt;14/24)</formula>
    </cfRule>
    <cfRule type="expression" dxfId="4884" priority="260">
      <formula>AG$9&lt;8/24</formula>
    </cfRule>
  </conditionalFormatting>
  <conditionalFormatting sqref="AG52">
    <cfRule type="expression" dxfId="4883" priority="256">
      <formula>AG52&gt;$AG52</formula>
    </cfRule>
  </conditionalFormatting>
  <conditionalFormatting sqref="C107:AF107">
    <cfRule type="expression" dxfId="4882" priority="252">
      <formula>C$9&gt;=20/24</formula>
    </cfRule>
    <cfRule type="expression" dxfId="4881" priority="253">
      <formula>AND(C$9&gt;=14/24,C$9&lt;20/24)</formula>
    </cfRule>
    <cfRule type="expression" dxfId="4880" priority="254">
      <formula>AND(C$9&gt;=8/24,C$9&lt;14/24)</formula>
    </cfRule>
    <cfRule type="expression" dxfId="4879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878" priority="250">
      <formula>$AH40=0</formula>
    </cfRule>
  </conditionalFormatting>
  <conditionalFormatting sqref="A90">
    <cfRule type="expression" dxfId="4877" priority="248">
      <formula>$AH90=0</formula>
    </cfRule>
  </conditionalFormatting>
  <conditionalFormatting sqref="A87">
    <cfRule type="expression" dxfId="4876" priority="249">
      <formula>$AH87=0</formula>
    </cfRule>
  </conditionalFormatting>
  <conditionalFormatting sqref="D110:AF110">
    <cfRule type="expression" dxfId="4875" priority="244">
      <formula>D$9&gt;=20/24</formula>
    </cfRule>
    <cfRule type="expression" dxfId="4874" priority="245">
      <formula>AND(D$9&gt;=14/24,D$9&lt;20/24)</formula>
    </cfRule>
    <cfRule type="expression" dxfId="4873" priority="246">
      <formula>AND(D$9&gt;=8/24,D$9&lt;14/24)</formula>
    </cfRule>
    <cfRule type="expression" dxfId="4872" priority="247">
      <formula>D$9&lt;8/24</formula>
    </cfRule>
  </conditionalFormatting>
  <conditionalFormatting sqref="A110">
    <cfRule type="expression" dxfId="4871" priority="243">
      <formula>$AH110=0</formula>
    </cfRule>
  </conditionalFormatting>
  <conditionalFormatting sqref="A21">
    <cfRule type="expression" dxfId="4870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869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4868" priority="235">
      <formula>Y$9&gt;=20/24</formula>
    </cfRule>
    <cfRule type="expression" dxfId="4867" priority="236">
      <formula>AND(Y$9&gt;=14/24,Y$9&lt;20/24)</formula>
    </cfRule>
    <cfRule type="expression" dxfId="4866" priority="237">
      <formula>AND(Y$9&gt;=8/24,Y$9&lt;14/24)</formula>
    </cfRule>
    <cfRule type="expression" dxfId="4865" priority="238">
      <formula>Y$9&lt;8/24</formula>
    </cfRule>
  </conditionalFormatting>
  <conditionalFormatting sqref="Y100:AC106">
    <cfRule type="expression" dxfId="4864" priority="231">
      <formula>Y$9&gt;=20/24</formula>
    </cfRule>
    <cfRule type="expression" dxfId="4863" priority="232">
      <formula>AND(Y$9&gt;=14/24,Y$9&lt;20/24)</formula>
    </cfRule>
    <cfRule type="expression" dxfId="4862" priority="233">
      <formula>AND(Y$9&gt;=8/24,Y$9&lt;14/24)</formula>
    </cfRule>
    <cfRule type="expression" dxfId="4861" priority="234">
      <formula>Y$9&lt;8/24</formula>
    </cfRule>
  </conditionalFormatting>
  <conditionalFormatting sqref="C109 C111:C116 F18:O18 P17:AF31">
    <cfRule type="expression" dxfId="4860" priority="227">
      <formula>C$9&gt;=20/24</formula>
    </cfRule>
    <cfRule type="expression" dxfId="4859" priority="228">
      <formula>AND(C$9&gt;=14/24,C$9&lt;20/24)</formula>
    </cfRule>
    <cfRule type="expression" dxfId="4858" priority="229">
      <formula>AND(C$9&gt;=8/24,C$9&lt;14/24)</formula>
    </cfRule>
    <cfRule type="expression" dxfId="4857" priority="230">
      <formula>C$9&lt;8/24</formula>
    </cfRule>
  </conditionalFormatting>
  <conditionalFormatting sqref="C47:S47">
    <cfRule type="expression" dxfId="4856" priority="223">
      <formula>C$9&gt;=20/24</formula>
    </cfRule>
    <cfRule type="expression" dxfId="4855" priority="224">
      <formula>AND(C$9&gt;=14/24,C$9&lt;20/24)</formula>
    </cfRule>
    <cfRule type="expression" dxfId="4854" priority="225">
      <formula>AND(C$9&gt;=8/24,C$9&lt;14/24)</formula>
    </cfRule>
    <cfRule type="expression" dxfId="4853" priority="226">
      <formula>C$9&lt;8/24</formula>
    </cfRule>
  </conditionalFormatting>
  <conditionalFormatting sqref="C47:S47 F18:O18 P17:AF31">
    <cfRule type="expression" dxfId="4852" priority="222">
      <formula>C17&gt;$AG17</formula>
    </cfRule>
  </conditionalFormatting>
  <conditionalFormatting sqref="C99:D99">
    <cfRule type="expression" dxfId="4851" priority="218">
      <formula>C$9&gt;=20/24</formula>
    </cfRule>
    <cfRule type="expression" dxfId="4850" priority="219">
      <formula>AND(C$9&gt;=14/24,C$9&lt;20/24)</formula>
    </cfRule>
    <cfRule type="expression" dxfId="4849" priority="220">
      <formula>AND(C$9&gt;=8/24,C$9&lt;14/24)</formula>
    </cfRule>
    <cfRule type="expression" dxfId="4848" priority="221">
      <formula>C$9&lt;8/24</formula>
    </cfRule>
  </conditionalFormatting>
  <conditionalFormatting sqref="C86 C96:W96 C83:AF85 O67:P69 Y75:AB75 C100:I106 E74:X75 N76:AB76 AC75:AF76">
    <cfRule type="expression" dxfId="4847" priority="214">
      <formula>C$9&gt;=20/24</formula>
    </cfRule>
    <cfRule type="expression" dxfId="4846" priority="215">
      <formula>AND(C$9&gt;=14/24,C$9&lt;20/24)</formula>
    </cfRule>
    <cfRule type="expression" dxfId="4845" priority="216">
      <formula>AND(C$9&gt;=8/24,C$9&lt;14/24)</formula>
    </cfRule>
    <cfRule type="expression" dxfId="4844" priority="217">
      <formula>C$9&lt;8/24</formula>
    </cfRule>
  </conditionalFormatting>
  <conditionalFormatting sqref="F56:L57 O67:P69">
    <cfRule type="expression" dxfId="4843" priority="213">
      <formula>F56&gt;$AG56</formula>
    </cfRule>
  </conditionalFormatting>
  <conditionalFormatting sqref="M58">
    <cfRule type="expression" dxfId="4842" priority="209">
      <formula>M$9&gt;=20/24</formula>
    </cfRule>
    <cfRule type="expression" dxfId="4841" priority="210">
      <formula>AND(M$9&gt;=14/24,M$9&lt;20/24)</formula>
    </cfRule>
    <cfRule type="expression" dxfId="4840" priority="211">
      <formula>AND(M$9&gt;=8/24,M$9&lt;14/24)</formula>
    </cfRule>
    <cfRule type="expression" dxfId="4839" priority="212">
      <formula>M$9&lt;8/24</formula>
    </cfRule>
  </conditionalFormatting>
  <conditionalFormatting sqref="M58">
    <cfRule type="expression" dxfId="4838" priority="208">
      <formula>M58&gt;$AG58</formula>
    </cfRule>
  </conditionalFormatting>
  <conditionalFormatting sqref="B54:D57 B71:D71 E56:E57">
    <cfRule type="expression" dxfId="4837" priority="132">
      <formula>B$9&gt;=20/24</formula>
    </cfRule>
    <cfRule type="expression" dxfId="4836" priority="133">
      <formula>AND(B$9&gt;=14/24,B$9&lt;20/24)</formula>
    </cfRule>
    <cfRule type="expression" dxfId="4835" priority="134">
      <formula>AND(B$9&gt;=8/24,B$9&lt;14/24)</formula>
    </cfRule>
    <cfRule type="expression" dxfId="4834" priority="135">
      <formula>B$9&lt;8/24</formula>
    </cfRule>
  </conditionalFormatting>
  <conditionalFormatting sqref="P46:AF46">
    <cfRule type="expression" dxfId="4833" priority="204">
      <formula>P$9&gt;=20/24</formula>
    </cfRule>
    <cfRule type="expression" dxfId="4832" priority="205">
      <formula>AND(P$9&gt;=14/24,P$9&lt;20/24)</formula>
    </cfRule>
    <cfRule type="expression" dxfId="4831" priority="206">
      <formula>AND(P$9&gt;=8/24,P$9&lt;14/24)</formula>
    </cfRule>
    <cfRule type="expression" dxfId="4830" priority="207">
      <formula>P$9&lt;8/24</formula>
    </cfRule>
  </conditionalFormatting>
  <conditionalFormatting sqref="P46:AF46">
    <cfRule type="expression" dxfId="4829" priority="203">
      <formula>P46&gt;$AG46</formula>
    </cfRule>
  </conditionalFormatting>
  <conditionalFormatting sqref="C87:AF87 C89:AF89 C98:AF98 C70:AF70">
    <cfRule type="expression" dxfId="4828" priority="199">
      <formula>C$9&gt;=20/24</formula>
    </cfRule>
    <cfRule type="expression" dxfId="4827" priority="200">
      <formula>AND(C$9&gt;=14/24,C$9&lt;20/24)</formula>
    </cfRule>
    <cfRule type="expression" dxfId="4826" priority="201">
      <formula>AND(C$9&gt;=8/24,C$9&lt;14/24)</formula>
    </cfRule>
    <cfRule type="expression" dxfId="4825" priority="202">
      <formula>C$9&lt;8/24</formula>
    </cfRule>
  </conditionalFormatting>
  <conditionalFormatting sqref="C70:AF70 C48:AF48 C65:AF66">
    <cfRule type="expression" dxfId="4824" priority="198">
      <formula>C48&gt;$AG48</formula>
    </cfRule>
  </conditionalFormatting>
  <conditionalFormatting sqref="C82:AF82">
    <cfRule type="expression" dxfId="4823" priority="194">
      <formula>C$9&gt;=20/24</formula>
    </cfRule>
    <cfRule type="expression" dxfId="4822" priority="195">
      <formula>AND(C$9&gt;=14/24,C$9&lt;20/24)</formula>
    </cfRule>
    <cfRule type="expression" dxfId="4821" priority="196">
      <formula>AND(C$9&gt;=8/24,C$9&lt;14/24)</formula>
    </cfRule>
    <cfRule type="expression" dxfId="4820" priority="197">
      <formula>C$9&lt;8/24</formula>
    </cfRule>
  </conditionalFormatting>
  <conditionalFormatting sqref="C91:W95">
    <cfRule type="expression" dxfId="4819" priority="190">
      <formula>C$9&gt;=20/24</formula>
    </cfRule>
    <cfRule type="expression" dxfId="4818" priority="191">
      <formula>AND(C$9&gt;=14/24,C$9&lt;20/24)</formula>
    </cfRule>
    <cfRule type="expression" dxfId="4817" priority="192">
      <formula>AND(C$9&gt;=8/24,C$9&lt;14/24)</formula>
    </cfRule>
    <cfRule type="expression" dxfId="4816" priority="193">
      <formula>C$9&lt;8/24</formula>
    </cfRule>
  </conditionalFormatting>
  <conditionalFormatting sqref="C52:AF52">
    <cfRule type="expression" dxfId="4815" priority="186">
      <formula>C$9&gt;=20/24</formula>
    </cfRule>
    <cfRule type="expression" dxfId="4814" priority="187">
      <formula>AND(C$9&gt;=14/24,C$9&lt;20/24)</formula>
    </cfRule>
    <cfRule type="expression" dxfId="4813" priority="188">
      <formula>AND(C$9&gt;=8/24,C$9&lt;14/24)</formula>
    </cfRule>
    <cfRule type="expression" dxfId="4812" priority="189">
      <formula>C$9&lt;8/24</formula>
    </cfRule>
  </conditionalFormatting>
  <conditionalFormatting sqref="C52:AF52">
    <cfRule type="expression" dxfId="4811" priority="185">
      <formula>C52&gt;$AG52</formula>
    </cfRule>
  </conditionalFormatting>
  <conditionalFormatting sqref="B49:D51">
    <cfRule type="expression" dxfId="4810" priority="100">
      <formula>B$9&gt;=20/24</formula>
    </cfRule>
    <cfRule type="expression" dxfId="4809" priority="101">
      <formula>AND(B$9&gt;=14/24,B$9&lt;20/24)</formula>
    </cfRule>
    <cfRule type="expression" dxfId="4808" priority="102">
      <formula>AND(B$9&gt;=8/24,B$9&lt;14/24)</formula>
    </cfRule>
    <cfRule type="expression" dxfId="4807" priority="103">
      <formula>B$9&lt;8/24</formula>
    </cfRule>
  </conditionalFormatting>
  <conditionalFormatting sqref="C110">
    <cfRule type="expression" dxfId="4806" priority="177">
      <formula>C$9&gt;=20/24</formula>
    </cfRule>
    <cfRule type="expression" dxfId="4805" priority="178">
      <formula>AND(C$9&gt;=14/24,C$9&lt;20/24)</formula>
    </cfRule>
    <cfRule type="expression" dxfId="4804" priority="179">
      <formula>AND(C$9&gt;=8/24,C$9&lt;14/24)</formula>
    </cfRule>
    <cfRule type="expression" dxfId="4803" priority="180">
      <formula>C$9&lt;8/24</formula>
    </cfRule>
  </conditionalFormatting>
  <conditionalFormatting sqref="P59:AF64">
    <cfRule type="expression" dxfId="4802" priority="173">
      <formula>P$9&gt;=20/24</formula>
    </cfRule>
    <cfRule type="expression" dxfId="4801" priority="174">
      <formula>AND(P$9&gt;=14/24,P$9&lt;20/24)</formula>
    </cfRule>
    <cfRule type="expression" dxfId="4800" priority="175">
      <formula>AND(P$9&gt;=8/24,P$9&lt;14/24)</formula>
    </cfRule>
    <cfRule type="expression" dxfId="4799" priority="176">
      <formula>P$9&lt;8/24</formula>
    </cfRule>
  </conditionalFormatting>
  <conditionalFormatting sqref="P59:AF64">
    <cfRule type="expression" dxfId="4798" priority="172">
      <formula>P59&gt;$AG59</formula>
    </cfRule>
  </conditionalFormatting>
  <conditionalFormatting sqref="F13:AF15">
    <cfRule type="expression" dxfId="4797" priority="171">
      <formula>F13&gt;$AG13</formula>
    </cfRule>
  </conditionalFormatting>
  <conditionalFormatting sqref="P12:AF12">
    <cfRule type="expression" dxfId="4796" priority="167">
      <formula>P$9&gt;=20/24</formula>
    </cfRule>
    <cfRule type="expression" dxfId="4795" priority="168">
      <formula>AND(P$9&gt;=14/24,P$9&lt;20/24)</formula>
    </cfRule>
    <cfRule type="expression" dxfId="4794" priority="169">
      <formula>AND(P$9&gt;=8/24,P$9&lt;14/24)</formula>
    </cfRule>
    <cfRule type="expression" dxfId="4793" priority="170">
      <formula>P$9&lt;8/24</formula>
    </cfRule>
  </conditionalFormatting>
  <conditionalFormatting sqref="P12:AF12">
    <cfRule type="expression" dxfId="4792" priority="166">
      <formula>P12&gt;$AG12</formula>
    </cfRule>
  </conditionalFormatting>
  <conditionalFormatting sqref="F13:AF15">
    <cfRule type="expression" dxfId="4791" priority="162">
      <formula>F$9&gt;=20/24</formula>
    </cfRule>
    <cfRule type="expression" dxfId="4790" priority="163">
      <formula>AND(F$9&gt;=14/24,F$9&lt;20/24)</formula>
    </cfRule>
    <cfRule type="expression" dxfId="4789" priority="164">
      <formula>AND(F$9&gt;=8/24,F$9&lt;14/24)</formula>
    </cfRule>
    <cfRule type="expression" dxfId="4788" priority="165">
      <formula>F$9&lt;8/24</formula>
    </cfRule>
  </conditionalFormatting>
  <conditionalFormatting sqref="N77:AF81">
    <cfRule type="expression" dxfId="4787" priority="154">
      <formula>N$9&gt;=20/24</formula>
    </cfRule>
    <cfRule type="expression" dxfId="4786" priority="155">
      <formula>AND(N$9&gt;=14/24,N$9&lt;20/24)</formula>
    </cfRule>
    <cfRule type="expression" dxfId="4785" priority="156">
      <formula>AND(N$9&gt;=8/24,N$9&lt;14/24)</formula>
    </cfRule>
    <cfRule type="expression" dxfId="4784" priority="157">
      <formula>N$9&lt;8/24</formula>
    </cfRule>
  </conditionalFormatting>
  <conditionalFormatting sqref="AL78:AN78 AL84:AN84 AN79:AN80">
    <cfRule type="expression" dxfId="4783" priority="150">
      <formula>AL$9&gt;=20/24</formula>
    </cfRule>
    <cfRule type="expression" dxfId="4782" priority="151">
      <formula>AND(AL$9&gt;=14/24,AL$9&lt;20/24)</formula>
    </cfRule>
    <cfRule type="expression" dxfId="4781" priority="152">
      <formula>AND(AL$9&gt;=8/24,AL$9&lt;14/24)</formula>
    </cfRule>
    <cfRule type="expression" dxfId="4780" priority="153">
      <formula>AL$9&lt;8/24</formula>
    </cfRule>
  </conditionalFormatting>
  <conditionalFormatting sqref="AN81:AN82">
    <cfRule type="expression" dxfId="4779" priority="146">
      <formula>AN$9&gt;=20/24</formula>
    </cfRule>
    <cfRule type="expression" dxfId="4778" priority="147">
      <formula>AND(AN$9&gt;=14/24,AN$9&lt;20/24)</formula>
    </cfRule>
    <cfRule type="expression" dxfId="4777" priority="148">
      <formula>AND(AN$9&gt;=8/24,AN$9&lt;14/24)</formula>
    </cfRule>
    <cfRule type="expression" dxfId="4776" priority="149">
      <formula>AN$9&lt;8/24</formula>
    </cfRule>
  </conditionalFormatting>
  <conditionalFormatting sqref="AL79:AM83">
    <cfRule type="expression" dxfId="4775" priority="368">
      <formula>AJ$9&gt;=20/24</formula>
    </cfRule>
    <cfRule type="expression" dxfId="4774" priority="369">
      <formula>AND(AJ$9&gt;=14/24,AJ$9&lt;20/24)</formula>
    </cfRule>
    <cfRule type="expression" dxfId="4773" priority="370">
      <formula>AND(AJ$9&gt;=8/24,AJ$9&lt;14/24)</formula>
    </cfRule>
    <cfRule type="expression" dxfId="4772" priority="371">
      <formula>AJ$9&lt;8/24</formula>
    </cfRule>
  </conditionalFormatting>
  <conditionalFormatting sqref="A117">
    <cfRule type="expression" dxfId="4771" priority="145">
      <formula>$AH117=0</formula>
    </cfRule>
  </conditionalFormatting>
  <conditionalFormatting sqref="B109 B111:B116 B13:E15 B17:E32 F17:O17 B12:O12 F19:O32 P32:AF32 B45:AF45 B34:AF43">
    <cfRule type="expression" dxfId="4770" priority="141">
      <formula>B$9&gt;=20/24</formula>
    </cfRule>
    <cfRule type="expression" dxfId="4769" priority="142">
      <formula>AND(B$9&gt;=14/24,B$9&lt;20/24)</formula>
    </cfRule>
    <cfRule type="expression" dxfId="4768" priority="143">
      <formula>AND(B$9&gt;=8/24,B$9&lt;14/24)</formula>
    </cfRule>
    <cfRule type="expression" dxfId="4767" priority="144">
      <formula>B$9&lt;8/24</formula>
    </cfRule>
  </conditionalFormatting>
  <conditionalFormatting sqref="B13:E15 B17:E32 F17:O17 B12:O12 F19:O32 P32:AF32 B45:AF45 B34:AF43">
    <cfRule type="expression" dxfId="4766" priority="140">
      <formula>B12&gt;$AG12</formula>
    </cfRule>
  </conditionalFormatting>
  <conditionalFormatting sqref="B99">
    <cfRule type="expression" dxfId="4765" priority="136">
      <formula>B$9&gt;=20/24</formula>
    </cfRule>
    <cfRule type="expression" dxfId="4764" priority="137">
      <formula>AND(B$9&gt;=14/24,B$9&lt;20/24)</formula>
    </cfRule>
    <cfRule type="expression" dxfId="4763" priority="138">
      <formula>AND(B$9&gt;=8/24,B$9&lt;14/24)</formula>
    </cfRule>
    <cfRule type="expression" dxfId="4762" priority="139">
      <formula>B$9&lt;8/24</formula>
    </cfRule>
  </conditionalFormatting>
  <conditionalFormatting sqref="B53:D53">
    <cfRule type="expression" dxfId="4761" priority="128">
      <formula>B$9&gt;=20/24</formula>
    </cfRule>
    <cfRule type="expression" dxfId="4760" priority="129">
      <formula>AND(B$9&gt;=14/24,B$9&lt;20/24)</formula>
    </cfRule>
    <cfRule type="expression" dxfId="4759" priority="130">
      <formula>AND(B$9&gt;=8/24,B$9&lt;14/24)</formula>
    </cfRule>
    <cfRule type="expression" dxfId="4758" priority="131">
      <formula>B$9&lt;8/24</formula>
    </cfRule>
  </conditionalFormatting>
  <conditionalFormatting sqref="B53:D57 E56:E57">
    <cfRule type="expression" dxfId="4757" priority="127">
      <formula>B53&gt;$AG53</formula>
    </cfRule>
  </conditionalFormatting>
  <conditionalFormatting sqref="B96 B100:B106 B86 B47 B72:D74 B67:N69">
    <cfRule type="expression" dxfId="4756" priority="123">
      <formula>B$9&gt;=20/24</formula>
    </cfRule>
    <cfRule type="expression" dxfId="4755" priority="124">
      <formula>AND(B$9&gt;=14/24,B$9&lt;20/24)</formula>
    </cfRule>
    <cfRule type="expression" dxfId="4754" priority="125">
      <formula>AND(B$9&gt;=8/24,B$9&lt;14/24)</formula>
    </cfRule>
    <cfRule type="expression" dxfId="4753" priority="126">
      <formula>B$9&lt;8/24</formula>
    </cfRule>
  </conditionalFormatting>
  <conditionalFormatting sqref="B47 B67:N69">
    <cfRule type="expression" dxfId="4752" priority="122">
      <formula>B47&gt;$AG47</formula>
    </cfRule>
  </conditionalFormatting>
  <conditionalFormatting sqref="B97 B88:C88">
    <cfRule type="expression" dxfId="4751" priority="118">
      <formula>B$9&gt;=20/24</formula>
    </cfRule>
    <cfRule type="expression" dxfId="4750" priority="119">
      <formula>AND(B$9&gt;=14/24,B$9&lt;20/24)</formula>
    </cfRule>
    <cfRule type="expression" dxfId="4749" priority="120">
      <formula>AND(B$9&gt;=8/24,B$9&lt;14/24)</formula>
    </cfRule>
    <cfRule type="expression" dxfId="4748" priority="121">
      <formula>B$9&lt;8/24</formula>
    </cfRule>
  </conditionalFormatting>
  <conditionalFormatting sqref="B46:O46">
    <cfRule type="expression" dxfId="4747" priority="114">
      <formula>B$9&gt;=20/24</formula>
    </cfRule>
    <cfRule type="expression" dxfId="4746" priority="115">
      <formula>AND(B$9&gt;=14/24,B$9&lt;20/24)</formula>
    </cfRule>
    <cfRule type="expression" dxfId="4745" priority="116">
      <formula>AND(B$9&gt;=8/24,B$9&lt;14/24)</formula>
    </cfRule>
    <cfRule type="expression" dxfId="4744" priority="117">
      <formula>B$9&lt;8/24</formula>
    </cfRule>
  </conditionalFormatting>
  <conditionalFormatting sqref="B46:O46">
    <cfRule type="expression" dxfId="4743" priority="113">
      <formula>B46&gt;$AG46</formula>
    </cfRule>
  </conditionalFormatting>
  <conditionalFormatting sqref="B58:L58">
    <cfRule type="expression" dxfId="4742" priority="109">
      <formula>B$9&gt;=20/24</formula>
    </cfRule>
    <cfRule type="expression" dxfId="4741" priority="110">
      <formula>AND(B$9&gt;=14/24,B$9&lt;20/24)</formula>
    </cfRule>
    <cfRule type="expression" dxfId="4740" priority="111">
      <formula>AND(B$9&gt;=8/24,B$9&lt;14/24)</formula>
    </cfRule>
    <cfRule type="expression" dxfId="4739" priority="112">
      <formula>B$9&lt;8/24</formula>
    </cfRule>
  </conditionalFormatting>
  <conditionalFormatting sqref="B58:L58">
    <cfRule type="expression" dxfId="4738" priority="108">
      <formula>B58&gt;$AG58</formula>
    </cfRule>
  </conditionalFormatting>
  <conditionalFormatting sqref="B91:B95">
    <cfRule type="expression" dxfId="4737" priority="104">
      <formula>B$9&gt;=20/24</formula>
    </cfRule>
    <cfRule type="expression" dxfId="4736" priority="105">
      <formula>AND(B$9&gt;=14/24,B$9&lt;20/24)</formula>
    </cfRule>
    <cfRule type="expression" dxfId="4735" priority="106">
      <formula>AND(B$9&gt;=8/24,B$9&lt;14/24)</formula>
    </cfRule>
    <cfRule type="expression" dxfId="4734" priority="107">
      <formula>B$9&lt;8/24</formula>
    </cfRule>
  </conditionalFormatting>
  <conditionalFormatting sqref="B49:D51">
    <cfRule type="expression" dxfId="4733" priority="99">
      <formula>B49&gt;$AG49</formula>
    </cfRule>
  </conditionalFormatting>
  <conditionalFormatting sqref="B107">
    <cfRule type="expression" dxfId="4732" priority="95">
      <formula>B$9&gt;=20/24</formula>
    </cfRule>
    <cfRule type="expression" dxfId="4731" priority="96">
      <formula>AND(B$9&gt;=14/24,B$9&lt;20/24)</formula>
    </cfRule>
    <cfRule type="expression" dxfId="4730" priority="97">
      <formula>AND(B$9&gt;=8/24,B$9&lt;14/24)</formula>
    </cfRule>
    <cfRule type="expression" dxfId="4729" priority="98">
      <formula>B$9&lt;8/24</formula>
    </cfRule>
  </conditionalFormatting>
  <conditionalFormatting sqref="B110">
    <cfRule type="expression" dxfId="4728" priority="91">
      <formula>B$9&gt;=20/24</formula>
    </cfRule>
    <cfRule type="expression" dxfId="4727" priority="92">
      <formula>AND(B$9&gt;=14/24,B$9&lt;20/24)</formula>
    </cfRule>
    <cfRule type="expression" dxfId="4726" priority="93">
      <formula>AND(B$9&gt;=8/24,B$9&lt;14/24)</formula>
    </cfRule>
    <cfRule type="expression" dxfId="4725" priority="94">
      <formula>B$9&lt;8/24</formula>
    </cfRule>
  </conditionalFormatting>
  <conditionalFormatting sqref="B83:B85 B75:D76 E76:M76">
    <cfRule type="expression" dxfId="4724" priority="87">
      <formula>B$9&gt;=20/24</formula>
    </cfRule>
    <cfRule type="expression" dxfId="4723" priority="88">
      <formula>AND(B$9&gt;=14/24,B$9&lt;20/24)</formula>
    </cfRule>
    <cfRule type="expression" dxfId="4722" priority="89">
      <formula>AND(B$9&gt;=8/24,B$9&lt;14/24)</formula>
    </cfRule>
    <cfRule type="expression" dxfId="4721" priority="90">
      <formula>B$9&lt;8/24</formula>
    </cfRule>
  </conditionalFormatting>
  <conditionalFormatting sqref="B89 B98 B70 B87">
    <cfRule type="expression" dxfId="4720" priority="83">
      <formula>B$9&gt;=20/24</formula>
    </cfRule>
    <cfRule type="expression" dxfId="4719" priority="84">
      <formula>AND(B$9&gt;=14/24,B$9&lt;20/24)</formula>
    </cfRule>
    <cfRule type="expression" dxfId="4718" priority="85">
      <formula>AND(B$9&gt;=8/24,B$9&lt;14/24)</formula>
    </cfRule>
    <cfRule type="expression" dxfId="4717" priority="86">
      <formula>B$9&lt;8/24</formula>
    </cfRule>
  </conditionalFormatting>
  <conditionalFormatting sqref="B48 B65:B66 B70">
    <cfRule type="expression" dxfId="4716" priority="82">
      <formula>B48&gt;$AG48</formula>
    </cfRule>
  </conditionalFormatting>
  <conditionalFormatting sqref="B82">
    <cfRule type="expression" dxfId="4715" priority="78">
      <formula>B$9&gt;=20/24</formula>
    </cfRule>
    <cfRule type="expression" dxfId="4714" priority="79">
      <formula>AND(B$9&gt;=14/24,B$9&lt;20/24)</formula>
    </cfRule>
    <cfRule type="expression" dxfId="4713" priority="80">
      <formula>AND(B$9&gt;=8/24,B$9&lt;14/24)</formula>
    </cfRule>
    <cfRule type="expression" dxfId="4712" priority="81">
      <formula>B$9&lt;8/24</formula>
    </cfRule>
  </conditionalFormatting>
  <conditionalFormatting sqref="B52">
    <cfRule type="expression" dxfId="4711" priority="74">
      <formula>B$9&gt;=20/24</formula>
    </cfRule>
    <cfRule type="expression" dxfId="4710" priority="75">
      <formula>AND(B$9&gt;=14/24,B$9&lt;20/24)</formula>
    </cfRule>
    <cfRule type="expression" dxfId="4709" priority="76">
      <formula>AND(B$9&gt;=8/24,B$9&lt;14/24)</formula>
    </cfRule>
    <cfRule type="expression" dxfId="4708" priority="77">
      <formula>B$9&lt;8/24</formula>
    </cfRule>
  </conditionalFormatting>
  <conditionalFormatting sqref="B52">
    <cfRule type="expression" dxfId="4707" priority="73">
      <formula>B52&gt;$AG52</formula>
    </cfRule>
  </conditionalFormatting>
  <conditionalFormatting sqref="B59:O64">
    <cfRule type="expression" dxfId="4706" priority="65">
      <formula>B$9&gt;=20/24</formula>
    </cfRule>
    <cfRule type="expression" dxfId="4705" priority="66">
      <formula>AND(B$9&gt;=14/24,B$9&lt;20/24)</formula>
    </cfRule>
    <cfRule type="expression" dxfId="4704" priority="67">
      <formula>AND(B$9&gt;=8/24,B$9&lt;14/24)</formula>
    </cfRule>
    <cfRule type="expression" dxfId="4703" priority="68">
      <formula>B$9&lt;8/24</formula>
    </cfRule>
  </conditionalFormatting>
  <conditionalFormatting sqref="B59:O64">
    <cfRule type="expression" dxfId="4702" priority="64">
      <formula>B59&gt;$AG59</formula>
    </cfRule>
  </conditionalFormatting>
  <conditionalFormatting sqref="B77:M81">
    <cfRule type="expression" dxfId="4701" priority="60">
      <formula>B$9&gt;=20/24</formula>
    </cfRule>
    <cfRule type="expression" dxfId="4700" priority="61">
      <formula>AND(B$9&gt;=14/24,B$9&lt;20/24)</formula>
    </cfRule>
    <cfRule type="expression" dxfId="4699" priority="62">
      <formula>AND(B$9&gt;=8/24,B$9&lt;14/24)</formula>
    </cfRule>
    <cfRule type="expression" dxfId="4698" priority="63">
      <formula>B$9&lt;8/24</formula>
    </cfRule>
  </conditionalFormatting>
  <conditionalFormatting sqref="A11">
    <cfRule type="expression" dxfId="4697" priority="59">
      <formula>$AH11=0</formula>
    </cfRule>
  </conditionalFormatting>
  <conditionalFormatting sqref="P11:AF11">
    <cfRule type="expression" dxfId="4696" priority="55">
      <formula>P$9&gt;=20/24</formula>
    </cfRule>
    <cfRule type="expression" dxfId="4695" priority="56">
      <formula>AND(P$9&gt;=14/24,P$9&lt;20/24)</formula>
    </cfRule>
    <cfRule type="expression" dxfId="4694" priority="57">
      <formula>AND(P$9&gt;=8/24,P$9&lt;14/24)</formula>
    </cfRule>
    <cfRule type="expression" dxfId="4693" priority="58">
      <formula>P$9&lt;8/24</formula>
    </cfRule>
  </conditionalFormatting>
  <conditionalFormatting sqref="P11:AF11">
    <cfRule type="expression" dxfId="4692" priority="54">
      <formula>P11&gt;$AG11</formula>
    </cfRule>
  </conditionalFormatting>
  <conditionalFormatting sqref="B11:O11">
    <cfRule type="expression" dxfId="4691" priority="50">
      <formula>B$9&gt;=20/24</formula>
    </cfRule>
    <cfRule type="expression" dxfId="4690" priority="51">
      <formula>AND(B$9&gt;=14/24,B$9&lt;20/24)</formula>
    </cfRule>
    <cfRule type="expression" dxfId="4689" priority="52">
      <formula>AND(B$9&gt;=8/24,B$9&lt;14/24)</formula>
    </cfRule>
    <cfRule type="expression" dxfId="4688" priority="53">
      <formula>B$9&lt;8/24</formula>
    </cfRule>
  </conditionalFormatting>
  <conditionalFormatting sqref="B11:O11">
    <cfRule type="expression" dxfId="4687" priority="49">
      <formula>B11&gt;$AG11</formula>
    </cfRule>
  </conditionalFormatting>
  <conditionalFormatting sqref="A16">
    <cfRule type="expression" dxfId="4686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P16:AF16">
    <cfRule type="expression" dxfId="4685" priority="43">
      <formula>P$9&gt;=20/24</formula>
    </cfRule>
    <cfRule type="expression" dxfId="4684" priority="44">
      <formula>AND(P$9&gt;=14/24,P$9&lt;20/24)</formula>
    </cfRule>
    <cfRule type="expression" dxfId="4683" priority="45">
      <formula>AND(P$9&gt;=8/24,P$9&lt;14/24)</formula>
    </cfRule>
    <cfRule type="expression" dxfId="4682" priority="46">
      <formula>P$9&lt;8/24</formula>
    </cfRule>
  </conditionalFormatting>
  <conditionalFormatting sqref="P16:AF16">
    <cfRule type="expression" dxfId="4681" priority="42">
      <formula>P16&gt;$AG16</formula>
    </cfRule>
  </conditionalFormatting>
  <conditionalFormatting sqref="B16:O16">
    <cfRule type="expression" dxfId="4680" priority="38">
      <formula>B$9&gt;=20/24</formula>
    </cfRule>
    <cfRule type="expression" dxfId="4679" priority="39">
      <formula>AND(B$9&gt;=14/24,B$9&lt;20/24)</formula>
    </cfRule>
    <cfRule type="expression" dxfId="4678" priority="40">
      <formula>AND(B$9&gt;=8/24,B$9&lt;14/24)</formula>
    </cfRule>
    <cfRule type="expression" dxfId="4677" priority="41">
      <formula>B$9&lt;8/24</formula>
    </cfRule>
  </conditionalFormatting>
  <conditionalFormatting sqref="B16:O16">
    <cfRule type="expression" dxfId="4676" priority="37">
      <formula>B16&gt;$AG16</formula>
    </cfRule>
  </conditionalFormatting>
  <conditionalFormatting sqref="A33">
    <cfRule type="expression" dxfId="4675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4674" priority="26">
      <formula>B$9&gt;=20/24</formula>
    </cfRule>
    <cfRule type="expression" dxfId="4673" priority="27">
      <formula>AND(B$9&gt;=14/24,B$9&lt;20/24)</formula>
    </cfRule>
    <cfRule type="expression" dxfId="4672" priority="28">
      <formula>AND(B$9&gt;=8/24,B$9&lt;14/24)</formula>
    </cfRule>
    <cfRule type="expression" dxfId="4671" priority="29">
      <formula>B$9&lt;8/24</formula>
    </cfRule>
  </conditionalFormatting>
  <conditionalFormatting sqref="B33:AF33">
    <cfRule type="expression" dxfId="4670" priority="25">
      <formula>B33&gt;$AG33</formula>
    </cfRule>
  </conditionalFormatting>
  <conditionalFormatting sqref="A44">
    <cfRule type="expression" dxfId="4669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4668" priority="14">
      <formula>B$9&gt;=20/24</formula>
    </cfRule>
    <cfRule type="expression" dxfId="4667" priority="15">
      <formula>AND(B$9&gt;=14/24,B$9&lt;20/24)</formula>
    </cfRule>
    <cfRule type="expression" dxfId="4666" priority="16">
      <formula>AND(B$9&gt;=8/24,B$9&lt;14/24)</formula>
    </cfRule>
    <cfRule type="expression" dxfId="4665" priority="17">
      <formula>B$9&lt;8/24</formula>
    </cfRule>
  </conditionalFormatting>
  <conditionalFormatting sqref="B44:AF44">
    <cfRule type="expression" dxfId="4664" priority="13">
      <formula>B44&gt;$AG44</formula>
    </cfRule>
  </conditionalFormatting>
  <conditionalFormatting sqref="B117">
    <cfRule type="expression" dxfId="4663" priority="1">
      <formula>B$9&gt;=20/24</formula>
    </cfRule>
    <cfRule type="expression" dxfId="4662" priority="2">
      <formula>AND(B$9&gt;=14/24,B$9&lt;20/24)</formula>
    </cfRule>
    <cfRule type="expression" dxfId="4661" priority="3">
      <formula>AND(B$9&gt;=8/24,B$9&lt;14/24)</formula>
    </cfRule>
    <cfRule type="expression" dxfId="4660" priority="4">
      <formula>B$9&lt;8/24</formula>
    </cfRule>
  </conditionalFormatting>
  <conditionalFormatting sqref="D117:AF117">
    <cfRule type="expression" dxfId="4659" priority="9">
      <formula>D$9&gt;=20/24</formula>
    </cfRule>
    <cfRule type="expression" dxfId="4658" priority="10">
      <formula>AND(D$9&gt;=14/24,D$9&lt;20/24)</formula>
    </cfRule>
    <cfRule type="expression" dxfId="4657" priority="11">
      <formula>AND(D$9&gt;=8/24,D$9&lt;14/24)</formula>
    </cfRule>
    <cfRule type="expression" dxfId="4656" priority="12">
      <formula>D$9&lt;8/24</formula>
    </cfRule>
  </conditionalFormatting>
  <conditionalFormatting sqref="C117">
    <cfRule type="expression" dxfId="4655" priority="5">
      <formula>C$9&gt;=20/24</formula>
    </cfRule>
    <cfRule type="expression" dxfId="4654" priority="6">
      <formula>AND(C$9&gt;=14/24,C$9&lt;20/24)</formula>
    </cfRule>
    <cfRule type="expression" dxfId="4653" priority="7">
      <formula>AND(C$9&gt;=8/24,C$9&lt;14/24)</formula>
    </cfRule>
    <cfRule type="expression" dxfId="4652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9841A8E3-384A-45A5-A2ED-F06027A28E2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B987F903-18D9-489C-8B4C-3B8F8FA7F9F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37BC358A-BF0F-4617-8CFA-4DB97967761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580E0615-C02D-4592-98A8-A85359FD6C4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953844C6-FF25-4E51-95D6-24F064A7007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8B557F4C-6EFB-4D38-9CA5-7184D29ABD6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08F1EB71-D330-4605-B59B-166EDA67664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BC4ED423-7E0F-41F8-A3CE-70D07D6A4CB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104" activePane="bottomLeft" state="frozen"/>
      <selection activeCell="Z85" sqref="Z85"/>
      <selection pane="bottomLeft" activeCell="W123" sqref="W123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2079/12/21</v>
      </c>
      <c r="C4" s="196"/>
      <c r="D4" s="196"/>
      <c r="E4" s="197" t="str">
        <f ca="1">"2079/"&amp;"12/"&amp;INT(MID(CELL("filename",G6),FIND("]",CELL("filename",G6))+1,200))</f>
        <v>2079/12/21</v>
      </c>
      <c r="F4" s="197"/>
      <c r="G4" s="197"/>
      <c r="H4" s="197" t="str">
        <f ca="1">TEXT(E4,"dddd")</f>
        <v>Thursday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400.1</v>
      </c>
      <c r="C5" s="33">
        <f t="shared" si="0"/>
        <v>389.7</v>
      </c>
      <c r="D5" s="33">
        <f t="shared" si="0"/>
        <v>383.79999999999995</v>
      </c>
      <c r="E5" s="33">
        <f t="shared" si="0"/>
        <v>373.5</v>
      </c>
      <c r="F5" s="33">
        <f t="shared" si="0"/>
        <v>378.29999999999995</v>
      </c>
      <c r="G5" s="33">
        <f t="shared" si="0"/>
        <v>371.00000000000006</v>
      </c>
      <c r="H5" s="33">
        <f t="shared" si="0"/>
        <v>349.2</v>
      </c>
      <c r="I5" s="33">
        <f t="shared" si="0"/>
        <v>385.22999999999996</v>
      </c>
      <c r="J5" s="33">
        <f t="shared" si="0"/>
        <v>356.3</v>
      </c>
      <c r="K5" s="33">
        <f t="shared" si="0"/>
        <v>408.3</v>
      </c>
      <c r="L5" s="33">
        <f t="shared" si="0"/>
        <v>410.6</v>
      </c>
      <c r="M5" s="33">
        <f t="shared" si="0"/>
        <v>431.59999999999997</v>
      </c>
      <c r="N5" s="33">
        <f t="shared" si="0"/>
        <v>435</v>
      </c>
      <c r="O5" s="33">
        <f t="shared" si="0"/>
        <v>478.6</v>
      </c>
      <c r="P5" s="33">
        <f t="shared" si="0"/>
        <v>454.3</v>
      </c>
      <c r="Q5" s="33">
        <f t="shared" si="0"/>
        <v>432.4</v>
      </c>
      <c r="R5" s="33">
        <f t="shared" si="0"/>
        <v>459.09999999999997</v>
      </c>
      <c r="S5" s="33">
        <f t="shared" si="0"/>
        <v>455.4</v>
      </c>
      <c r="T5" s="33">
        <f t="shared" si="0"/>
        <v>434.4</v>
      </c>
      <c r="U5" s="33">
        <f t="shared" si="0"/>
        <v>417</v>
      </c>
      <c r="V5" s="33">
        <f t="shared" si="0"/>
        <v>426</v>
      </c>
      <c r="W5" s="33">
        <f t="shared" si="0"/>
        <v>427</v>
      </c>
      <c r="X5" s="33">
        <f t="shared" si="0"/>
        <v>415</v>
      </c>
      <c r="Y5" s="33">
        <f t="shared" si="0"/>
        <v>415</v>
      </c>
      <c r="Z5" s="33">
        <f t="shared" si="0"/>
        <v>406</v>
      </c>
      <c r="AA5" s="33">
        <f t="shared" si="0"/>
        <v>415</v>
      </c>
      <c r="AB5" s="33">
        <f t="shared" si="0"/>
        <v>415</v>
      </c>
      <c r="AC5" s="33">
        <f t="shared" si="0"/>
        <v>429</v>
      </c>
      <c r="AD5" s="33">
        <f t="shared" si="0"/>
        <v>410</v>
      </c>
      <c r="AE5" s="33">
        <f t="shared" si="0"/>
        <v>400</v>
      </c>
      <c r="AF5" s="33">
        <f>B82</f>
        <v>432.40000000000003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1394MW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Load=938</v>
      </c>
      <c r="B7" s="38">
        <f t="shared" ref="B7:AF7" si="1">B89</f>
        <v>1053.8400000000001</v>
      </c>
      <c r="C7" s="38">
        <f t="shared" si="1"/>
        <v>1002.0400000000001</v>
      </c>
      <c r="D7" s="38">
        <f t="shared" si="1"/>
        <v>961.6400000000001</v>
      </c>
      <c r="E7" s="38">
        <f t="shared" si="1"/>
        <v>948.04</v>
      </c>
      <c r="F7" s="38">
        <f t="shared" si="1"/>
        <v>937.74</v>
      </c>
      <c r="G7" s="38">
        <f t="shared" si="1"/>
        <v>963.13999999999987</v>
      </c>
      <c r="H7" s="38">
        <f t="shared" si="1"/>
        <v>1016.9390000000001</v>
      </c>
      <c r="I7" s="38">
        <f t="shared" si="1"/>
        <v>1086.3399999999999</v>
      </c>
      <c r="J7" s="38">
        <f t="shared" si="1"/>
        <v>1159.57</v>
      </c>
      <c r="K7" s="38">
        <f t="shared" si="1"/>
        <v>1254.8400000000001</v>
      </c>
      <c r="L7" s="38">
        <f t="shared" si="1"/>
        <v>1393.54</v>
      </c>
      <c r="M7" s="38">
        <f t="shared" si="1"/>
        <v>1335.14</v>
      </c>
      <c r="N7" s="38">
        <f>N89</f>
        <v>1322.74</v>
      </c>
      <c r="O7" s="38">
        <f t="shared" si="1"/>
        <v>1136.24</v>
      </c>
      <c r="P7" s="38">
        <f t="shared" si="1"/>
        <v>1240.44</v>
      </c>
      <c r="Q7" s="38">
        <f t="shared" si="1"/>
        <v>1268.8399999999999</v>
      </c>
      <c r="R7" s="38">
        <f t="shared" si="1"/>
        <v>1216.94</v>
      </c>
      <c r="S7" s="38">
        <f t="shared" si="1"/>
        <v>1259.04</v>
      </c>
      <c r="T7" s="38">
        <f t="shared" si="1"/>
        <v>1284.44</v>
      </c>
      <c r="U7" s="38">
        <f t="shared" si="1"/>
        <v>1300.1399999999999</v>
      </c>
      <c r="V7" s="38">
        <f t="shared" si="1"/>
        <v>1208.54</v>
      </c>
      <c r="W7" s="38">
        <f t="shared" si="1"/>
        <v>1190.44</v>
      </c>
      <c r="X7" s="38">
        <f t="shared" si="1"/>
        <v>1332.74</v>
      </c>
      <c r="Y7" s="38">
        <f t="shared" si="1"/>
        <v>1374.54</v>
      </c>
      <c r="Z7" s="38">
        <f t="shared" si="1"/>
        <v>1434.54</v>
      </c>
      <c r="AA7" s="38">
        <f t="shared" si="1"/>
        <v>1453.24</v>
      </c>
      <c r="AB7" s="38">
        <f t="shared" si="1"/>
        <v>1417.24</v>
      </c>
      <c r="AC7" s="38">
        <f t="shared" si="1"/>
        <v>1338.34</v>
      </c>
      <c r="AD7" s="38">
        <f t="shared" si="1"/>
        <v>1290.3399999999999</v>
      </c>
      <c r="AE7" s="38">
        <f t="shared" si="1"/>
        <v>1138.3399999999999</v>
      </c>
      <c r="AF7" s="38">
        <f t="shared" si="1"/>
        <v>1048.3399999999999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30</v>
      </c>
      <c r="C11" s="50">
        <v>30</v>
      </c>
      <c r="D11" s="50">
        <v>30</v>
      </c>
      <c r="E11" s="50">
        <v>30</v>
      </c>
      <c r="F11" s="50">
        <v>30</v>
      </c>
      <c r="G11" s="50">
        <v>30</v>
      </c>
      <c r="H11" s="50">
        <v>30</v>
      </c>
      <c r="I11" s="50">
        <v>30</v>
      </c>
      <c r="J11" s="50">
        <v>30</v>
      </c>
      <c r="K11" s="50">
        <v>30</v>
      </c>
      <c r="L11" s="50">
        <v>30</v>
      </c>
      <c r="M11" s="50">
        <v>30</v>
      </c>
      <c r="N11" s="50">
        <v>30</v>
      </c>
      <c r="O11" s="50">
        <v>30</v>
      </c>
      <c r="P11" s="50">
        <v>30</v>
      </c>
      <c r="Q11" s="50">
        <v>29.2</v>
      </c>
      <c r="R11" s="50">
        <v>29.2</v>
      </c>
      <c r="S11" s="50">
        <v>29.2</v>
      </c>
      <c r="T11" s="50">
        <v>29.2</v>
      </c>
      <c r="U11" s="50">
        <v>28</v>
      </c>
      <c r="V11" s="50">
        <v>28</v>
      </c>
      <c r="W11" s="50">
        <v>28</v>
      </c>
      <c r="X11" s="50">
        <v>28</v>
      </c>
      <c r="Y11" s="50">
        <v>29</v>
      </c>
      <c r="Z11" s="50">
        <v>29</v>
      </c>
      <c r="AA11" s="50">
        <v>29</v>
      </c>
      <c r="AB11" s="50">
        <v>15</v>
      </c>
      <c r="AC11" s="50">
        <v>24</v>
      </c>
      <c r="AD11" s="50">
        <v>24</v>
      </c>
      <c r="AE11" s="50">
        <v>30</v>
      </c>
      <c r="AF11" s="50">
        <v>30</v>
      </c>
      <c r="AG11" s="51">
        <v>86</v>
      </c>
      <c r="AH11" s="52">
        <f t="shared" ref="AH11:AH74" si="2">MAX(B11:AF11)</f>
        <v>30</v>
      </c>
      <c r="AI11" s="53">
        <f t="shared" ref="AI11:AI74" si="3">MIN(B11:AF11)</f>
        <v>15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17</v>
      </c>
      <c r="C12" s="50">
        <v>17</v>
      </c>
      <c r="D12" s="50">
        <v>17</v>
      </c>
      <c r="E12" s="50">
        <v>18.7</v>
      </c>
      <c r="F12" s="50">
        <v>18.7</v>
      </c>
      <c r="G12" s="50">
        <v>17.7</v>
      </c>
      <c r="H12" s="50">
        <v>17.7</v>
      </c>
      <c r="I12" s="50">
        <v>17.7</v>
      </c>
      <c r="J12" s="50">
        <v>17.7</v>
      </c>
      <c r="K12" s="50">
        <v>17.7</v>
      </c>
      <c r="L12" s="50">
        <v>17.7</v>
      </c>
      <c r="M12" s="50">
        <v>17.7</v>
      </c>
      <c r="N12" s="50">
        <v>17.7</v>
      </c>
      <c r="O12" s="50">
        <v>18.100000000000001</v>
      </c>
      <c r="P12" s="50">
        <v>12.4</v>
      </c>
      <c r="Q12" s="50">
        <v>13.5</v>
      </c>
      <c r="R12" s="50">
        <v>13.5</v>
      </c>
      <c r="S12" s="50">
        <v>13.5</v>
      </c>
      <c r="T12" s="50">
        <v>13.5</v>
      </c>
      <c r="U12" s="50">
        <v>13.5</v>
      </c>
      <c r="V12" s="50">
        <v>13.5</v>
      </c>
      <c r="W12" s="50">
        <v>13.5</v>
      </c>
      <c r="X12" s="50">
        <v>13.5</v>
      </c>
      <c r="Y12" s="50">
        <v>14</v>
      </c>
      <c r="Z12" s="50">
        <v>14</v>
      </c>
      <c r="AA12" s="50">
        <v>14</v>
      </c>
      <c r="AB12" s="50">
        <v>14</v>
      </c>
      <c r="AC12" s="50">
        <v>18</v>
      </c>
      <c r="AD12" s="50">
        <v>18</v>
      </c>
      <c r="AE12" s="50">
        <v>18</v>
      </c>
      <c r="AF12" s="50">
        <v>18</v>
      </c>
      <c r="AG12" s="51">
        <v>52.4</v>
      </c>
      <c r="AH12" s="52">
        <f t="shared" si="2"/>
        <v>18.7</v>
      </c>
      <c r="AI12" s="53">
        <f t="shared" si="3"/>
        <v>12.4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</v>
      </c>
      <c r="C13" s="50">
        <v>28</v>
      </c>
      <c r="D13" s="50">
        <v>28</v>
      </c>
      <c r="E13" s="50">
        <v>29.3</v>
      </c>
      <c r="F13" s="50">
        <v>29.3</v>
      </c>
      <c r="G13" s="50">
        <v>30.9</v>
      </c>
      <c r="H13" s="50">
        <v>30.9</v>
      </c>
      <c r="I13" s="50">
        <v>31</v>
      </c>
      <c r="J13" s="50">
        <v>31</v>
      </c>
      <c r="K13" s="50">
        <v>31</v>
      </c>
      <c r="L13" s="50">
        <v>31</v>
      </c>
      <c r="M13" s="50">
        <v>31</v>
      </c>
      <c r="N13" s="50">
        <v>31</v>
      </c>
      <c r="O13" s="50">
        <v>30.3</v>
      </c>
      <c r="P13" s="50">
        <v>28</v>
      </c>
      <c r="Q13" s="50">
        <v>27.8</v>
      </c>
      <c r="R13" s="50">
        <v>27.8</v>
      </c>
      <c r="S13" s="50">
        <v>27.8</v>
      </c>
      <c r="T13" s="50">
        <v>27.8</v>
      </c>
      <c r="U13" s="50">
        <v>31</v>
      </c>
      <c r="V13" s="50">
        <v>31</v>
      </c>
      <c r="W13" s="50">
        <v>31</v>
      </c>
      <c r="X13" s="50">
        <v>31</v>
      </c>
      <c r="Y13" s="50">
        <v>31.4</v>
      </c>
      <c r="Z13" s="50">
        <v>31.4</v>
      </c>
      <c r="AA13" s="50">
        <v>31.4</v>
      </c>
      <c r="AB13" s="50">
        <v>31.4</v>
      </c>
      <c r="AC13" s="50">
        <v>33.6</v>
      </c>
      <c r="AD13" s="50">
        <v>33.6</v>
      </c>
      <c r="AE13" s="50">
        <v>33.6</v>
      </c>
      <c r="AF13" s="50">
        <v>33.6</v>
      </c>
      <c r="AG13" s="55">
        <v>50</v>
      </c>
      <c r="AH13" s="52">
        <f t="shared" si="2"/>
        <v>33.6</v>
      </c>
      <c r="AI13" s="53">
        <f t="shared" si="3"/>
        <v>27.8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18</v>
      </c>
      <c r="C14" s="50">
        <v>18</v>
      </c>
      <c r="D14" s="50">
        <v>18</v>
      </c>
      <c r="E14" s="50">
        <v>18.600000000000001</v>
      </c>
      <c r="F14" s="50">
        <v>18.600000000000001</v>
      </c>
      <c r="G14" s="50">
        <v>18.600000000000001</v>
      </c>
      <c r="H14" s="50">
        <v>18.600000000000001</v>
      </c>
      <c r="I14" s="50">
        <v>16.7</v>
      </c>
      <c r="J14" s="50">
        <v>17.3</v>
      </c>
      <c r="K14" s="50">
        <v>17.3</v>
      </c>
      <c r="L14" s="50">
        <v>17.3</v>
      </c>
      <c r="M14" s="50">
        <v>17.3</v>
      </c>
      <c r="N14" s="50">
        <v>17.3</v>
      </c>
      <c r="O14" s="50">
        <v>16.3</v>
      </c>
      <c r="P14" s="50">
        <v>16.3</v>
      </c>
      <c r="Q14" s="50">
        <v>15.5</v>
      </c>
      <c r="R14" s="50">
        <v>15.5</v>
      </c>
      <c r="S14" s="50">
        <v>15.5</v>
      </c>
      <c r="T14" s="50">
        <v>15.5</v>
      </c>
      <c r="U14" s="50">
        <v>15.5</v>
      </c>
      <c r="V14" s="50">
        <v>15.5</v>
      </c>
      <c r="W14" s="50">
        <v>15.5</v>
      </c>
      <c r="X14" s="50">
        <v>15.5</v>
      </c>
      <c r="Y14" s="50">
        <v>15.5</v>
      </c>
      <c r="Z14" s="50">
        <v>15.5</v>
      </c>
      <c r="AA14" s="50">
        <v>15.5</v>
      </c>
      <c r="AB14" s="50">
        <v>15.5</v>
      </c>
      <c r="AC14" s="50">
        <v>16.5</v>
      </c>
      <c r="AD14" s="50">
        <v>16.5</v>
      </c>
      <c r="AE14" s="50">
        <v>16.5</v>
      </c>
      <c r="AF14" s="50">
        <v>16.5</v>
      </c>
      <c r="AG14" s="55">
        <v>45</v>
      </c>
      <c r="AH14" s="52">
        <f t="shared" si="2"/>
        <v>18.600000000000001</v>
      </c>
      <c r="AI14" s="53">
        <f t="shared" si="3"/>
        <v>15.5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8.5</v>
      </c>
      <c r="C15" s="50">
        <v>8.5</v>
      </c>
      <c r="D15" s="50">
        <v>8.5</v>
      </c>
      <c r="E15" s="50">
        <v>9.1</v>
      </c>
      <c r="F15" s="50">
        <v>9.1</v>
      </c>
      <c r="G15" s="50">
        <v>9.1</v>
      </c>
      <c r="H15" s="50">
        <v>9.1</v>
      </c>
      <c r="I15" s="50">
        <v>9.1</v>
      </c>
      <c r="J15" s="50">
        <v>9.1</v>
      </c>
      <c r="K15" s="50">
        <v>9.1</v>
      </c>
      <c r="L15" s="50">
        <v>9.1</v>
      </c>
      <c r="M15" s="50">
        <v>9.1</v>
      </c>
      <c r="N15" s="50">
        <v>9.1</v>
      </c>
      <c r="O15" s="50">
        <v>9.1</v>
      </c>
      <c r="P15" s="50">
        <v>9.1</v>
      </c>
      <c r="Q15" s="50">
        <v>9.1</v>
      </c>
      <c r="R15" s="50">
        <v>9.1</v>
      </c>
      <c r="S15" s="50">
        <v>9.1</v>
      </c>
      <c r="T15" s="50">
        <v>9.1</v>
      </c>
      <c r="U15" s="50">
        <v>9.1</v>
      </c>
      <c r="V15" s="50">
        <v>9.1</v>
      </c>
      <c r="W15" s="50">
        <v>9.1</v>
      </c>
      <c r="X15" s="50">
        <v>9.1</v>
      </c>
      <c r="Y15" s="50">
        <v>9.1</v>
      </c>
      <c r="Z15" s="50">
        <v>9.1</v>
      </c>
      <c r="AA15" s="50">
        <v>9.1</v>
      </c>
      <c r="AB15" s="50">
        <v>9.1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9.1</v>
      </c>
      <c r="AI15" s="53">
        <f t="shared" si="3"/>
        <v>8.5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8.5</v>
      </c>
      <c r="C18" s="50">
        <v>8.5</v>
      </c>
      <c r="D18" s="50">
        <v>8.5</v>
      </c>
      <c r="E18" s="50">
        <v>10</v>
      </c>
      <c r="F18" s="50">
        <v>10</v>
      </c>
      <c r="G18" s="50">
        <v>10</v>
      </c>
      <c r="H18" s="50">
        <v>10</v>
      </c>
      <c r="I18" s="50">
        <v>10</v>
      </c>
      <c r="J18" s="50">
        <v>10</v>
      </c>
      <c r="K18" s="50">
        <v>10</v>
      </c>
      <c r="L18" s="50">
        <v>10</v>
      </c>
      <c r="M18" s="50">
        <v>10</v>
      </c>
      <c r="N18" s="50">
        <v>0</v>
      </c>
      <c r="O18" s="50">
        <v>10.5</v>
      </c>
      <c r="P18" s="50">
        <v>9.6999999999999993</v>
      </c>
      <c r="Q18" s="50">
        <v>9.5</v>
      </c>
      <c r="R18" s="50">
        <v>9.5</v>
      </c>
      <c r="S18" s="50">
        <v>9.5</v>
      </c>
      <c r="T18" s="50">
        <v>9.5</v>
      </c>
      <c r="U18" s="50">
        <v>11</v>
      </c>
      <c r="V18" s="50">
        <v>10.8</v>
      </c>
      <c r="W18" s="50">
        <v>10.8</v>
      </c>
      <c r="X18" s="50">
        <v>10.8</v>
      </c>
      <c r="Y18" s="50">
        <v>10.8</v>
      </c>
      <c r="Z18" s="50">
        <v>10.8</v>
      </c>
      <c r="AA18" s="50">
        <v>12</v>
      </c>
      <c r="AB18" s="50">
        <v>12</v>
      </c>
      <c r="AC18" s="50">
        <v>12</v>
      </c>
      <c r="AD18" s="50">
        <v>12</v>
      </c>
      <c r="AE18" s="50">
        <v>12</v>
      </c>
      <c r="AF18" s="50">
        <v>12</v>
      </c>
      <c r="AG18" s="56">
        <v>30</v>
      </c>
      <c r="AH18" s="52">
        <f t="shared" si="2"/>
        <v>12</v>
      </c>
      <c r="AI18" s="53">
        <f t="shared" si="3"/>
        <v>0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7.2</v>
      </c>
      <c r="C19" s="50">
        <v>7.2</v>
      </c>
      <c r="D19" s="50">
        <v>7.2</v>
      </c>
      <c r="E19" s="50">
        <v>8.1</v>
      </c>
      <c r="F19" s="50">
        <v>8.1</v>
      </c>
      <c r="G19" s="50">
        <v>8.1</v>
      </c>
      <c r="H19" s="50">
        <v>8.1</v>
      </c>
      <c r="I19" s="50">
        <v>8.1</v>
      </c>
      <c r="J19" s="50">
        <v>8.1</v>
      </c>
      <c r="K19" s="50">
        <v>8.1</v>
      </c>
      <c r="L19" s="50">
        <v>8.1</v>
      </c>
      <c r="M19" s="50">
        <v>8.1</v>
      </c>
      <c r="N19" s="50">
        <v>8.1</v>
      </c>
      <c r="O19" s="50">
        <v>8.1</v>
      </c>
      <c r="P19" s="50">
        <v>7.3</v>
      </c>
      <c r="Q19" s="50">
        <v>7.3</v>
      </c>
      <c r="R19" s="50">
        <v>7.3</v>
      </c>
      <c r="S19" s="50">
        <v>7.3</v>
      </c>
      <c r="T19" s="50">
        <v>7.3</v>
      </c>
      <c r="U19" s="50">
        <v>7.3</v>
      </c>
      <c r="V19" s="50">
        <v>7.3</v>
      </c>
      <c r="W19" s="50">
        <v>7.3</v>
      </c>
      <c r="X19" s="50">
        <v>7.3</v>
      </c>
      <c r="Y19" s="50">
        <v>7.3</v>
      </c>
      <c r="Z19" s="50">
        <v>7.3</v>
      </c>
      <c r="AA19" s="50">
        <v>9</v>
      </c>
      <c r="AB19" s="50">
        <v>9</v>
      </c>
      <c r="AC19" s="50">
        <v>9</v>
      </c>
      <c r="AD19" s="50">
        <v>9</v>
      </c>
      <c r="AE19" s="50">
        <v>9</v>
      </c>
      <c r="AF19" s="50">
        <v>9</v>
      </c>
      <c r="AG19" s="55">
        <v>24.2</v>
      </c>
      <c r="AH19" s="52">
        <f t="shared" si="2"/>
        <v>9</v>
      </c>
      <c r="AI19" s="53">
        <f t="shared" si="3"/>
        <v>7.2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8</v>
      </c>
      <c r="C21" s="50">
        <v>8</v>
      </c>
      <c r="D21" s="50">
        <v>8</v>
      </c>
      <c r="E21" s="50">
        <v>8</v>
      </c>
      <c r="F21" s="50">
        <v>8</v>
      </c>
      <c r="G21" s="50">
        <v>8</v>
      </c>
      <c r="H21" s="50">
        <v>8</v>
      </c>
      <c r="I21" s="50">
        <v>8</v>
      </c>
      <c r="J21" s="50">
        <v>8</v>
      </c>
      <c r="K21" s="50">
        <v>8</v>
      </c>
      <c r="L21" s="50">
        <v>8</v>
      </c>
      <c r="M21" s="50">
        <v>8</v>
      </c>
      <c r="N21" s="50">
        <v>8</v>
      </c>
      <c r="O21" s="50">
        <v>8</v>
      </c>
      <c r="P21" s="50">
        <v>8</v>
      </c>
      <c r="Q21" s="50">
        <v>8</v>
      </c>
      <c r="R21" s="50">
        <v>8</v>
      </c>
      <c r="S21" s="50">
        <v>8</v>
      </c>
      <c r="T21" s="50">
        <v>8</v>
      </c>
      <c r="U21" s="50">
        <v>8</v>
      </c>
      <c r="V21" s="50">
        <v>8</v>
      </c>
      <c r="W21" s="50">
        <v>8</v>
      </c>
      <c r="X21" s="50">
        <v>8</v>
      </c>
      <c r="Y21" s="50">
        <v>8</v>
      </c>
      <c r="Z21" s="50">
        <v>8</v>
      </c>
      <c r="AA21" s="50">
        <v>8</v>
      </c>
      <c r="AB21" s="50">
        <v>8</v>
      </c>
      <c r="AC21" s="50">
        <v>8</v>
      </c>
      <c r="AD21" s="50">
        <v>8</v>
      </c>
      <c r="AE21" s="50">
        <v>8</v>
      </c>
      <c r="AF21" s="50">
        <v>8</v>
      </c>
      <c r="AG21" s="56">
        <v>30</v>
      </c>
      <c r="AH21" s="52">
        <f t="shared" si="2"/>
        <v>8</v>
      </c>
      <c r="AI21" s="53">
        <f t="shared" si="3"/>
        <v>8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13.2</v>
      </c>
      <c r="C22" s="50">
        <v>13.2</v>
      </c>
      <c r="D22" s="50">
        <v>13.2</v>
      </c>
      <c r="E22" s="50">
        <v>12.5</v>
      </c>
      <c r="F22" s="50">
        <v>12.5</v>
      </c>
      <c r="G22" s="50">
        <v>12.5</v>
      </c>
      <c r="H22" s="50">
        <v>12.5</v>
      </c>
      <c r="I22" s="50">
        <v>12.5</v>
      </c>
      <c r="J22" s="50">
        <v>12.5</v>
      </c>
      <c r="K22" s="50">
        <v>12.5</v>
      </c>
      <c r="L22" s="50">
        <v>12.5</v>
      </c>
      <c r="M22" s="50">
        <v>12.5</v>
      </c>
      <c r="N22" s="50">
        <v>12.5</v>
      </c>
      <c r="O22" s="50">
        <v>11</v>
      </c>
      <c r="P22" s="50">
        <v>10.7</v>
      </c>
      <c r="Q22" s="50">
        <v>10.199999999999999</v>
      </c>
      <c r="R22" s="50">
        <v>10.199999999999999</v>
      </c>
      <c r="S22" s="50">
        <v>10.199999999999999</v>
      </c>
      <c r="T22" s="50">
        <v>10.199999999999999</v>
      </c>
      <c r="U22" s="50">
        <v>10.199999999999999</v>
      </c>
      <c r="V22" s="50">
        <v>10.199999999999999</v>
      </c>
      <c r="W22" s="50">
        <v>10.199999999999999</v>
      </c>
      <c r="X22" s="50">
        <v>10.199999999999999</v>
      </c>
      <c r="Y22" s="50">
        <v>10.199999999999999</v>
      </c>
      <c r="Z22" s="50">
        <v>10.199999999999999</v>
      </c>
      <c r="AA22" s="50">
        <v>10.199999999999999</v>
      </c>
      <c r="AB22" s="50">
        <v>10.199999999999999</v>
      </c>
      <c r="AC22" s="50">
        <v>10.199999999999999</v>
      </c>
      <c r="AD22" s="50">
        <v>10.199999999999999</v>
      </c>
      <c r="AE22" s="50">
        <v>10.199999999999999</v>
      </c>
      <c r="AF22" s="50">
        <v>10.199999999999999</v>
      </c>
      <c r="AG22" s="55">
        <v>25</v>
      </c>
      <c r="AH22" s="52">
        <f t="shared" si="2"/>
        <v>13.2</v>
      </c>
      <c r="AI22" s="53">
        <f t="shared" si="3"/>
        <v>10.199999999999999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7.8</v>
      </c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7.8</v>
      </c>
      <c r="AA26" s="50">
        <v>7.8</v>
      </c>
      <c r="AB26" s="50">
        <v>7.8</v>
      </c>
      <c r="AC26" s="50">
        <v>7.8</v>
      </c>
      <c r="AD26" s="50">
        <v>7.8</v>
      </c>
      <c r="AE26" s="50">
        <v>7.8</v>
      </c>
      <c r="AF26" s="50">
        <v>7.8</v>
      </c>
      <c r="AG26" s="55">
        <v>23.5</v>
      </c>
      <c r="AH26" s="52">
        <f t="shared" si="2"/>
        <v>7.8</v>
      </c>
      <c r="AI26" s="53">
        <f t="shared" si="3"/>
        <v>7.8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10.1</v>
      </c>
      <c r="C30" s="50">
        <v>10.1</v>
      </c>
      <c r="D30" s="50">
        <v>10.1</v>
      </c>
      <c r="E30" s="50">
        <v>10.1</v>
      </c>
      <c r="F30" s="50">
        <v>10.1</v>
      </c>
      <c r="G30" s="50">
        <v>10.1</v>
      </c>
      <c r="H30" s="50">
        <v>10.1</v>
      </c>
      <c r="I30" s="50">
        <v>10.1</v>
      </c>
      <c r="J30" s="50">
        <v>10.1</v>
      </c>
      <c r="K30" s="50">
        <v>10.1</v>
      </c>
      <c r="L30" s="50">
        <v>10.1</v>
      </c>
      <c r="M30" s="50">
        <v>10.1</v>
      </c>
      <c r="N30" s="50">
        <v>10.1</v>
      </c>
      <c r="O30" s="50">
        <v>10.1</v>
      </c>
      <c r="P30" s="50">
        <v>9.5</v>
      </c>
      <c r="Q30" s="50">
        <v>11.8</v>
      </c>
      <c r="R30" s="50">
        <v>11.8</v>
      </c>
      <c r="S30" s="50">
        <v>11.8</v>
      </c>
      <c r="T30" s="50">
        <v>11.8</v>
      </c>
      <c r="U30" s="50">
        <v>11.8</v>
      </c>
      <c r="V30" s="50">
        <v>11.8</v>
      </c>
      <c r="W30" s="50">
        <v>11.8</v>
      </c>
      <c r="X30" s="50">
        <v>11.8</v>
      </c>
      <c r="Y30" s="50">
        <v>11.8</v>
      </c>
      <c r="Z30" s="50">
        <v>11.8</v>
      </c>
      <c r="AA30" s="50">
        <v>11.8</v>
      </c>
      <c r="AB30" s="50">
        <v>11.8</v>
      </c>
      <c r="AC30" s="50">
        <v>11.8</v>
      </c>
      <c r="AD30" s="50">
        <v>11.8</v>
      </c>
      <c r="AE30" s="50">
        <v>11.8</v>
      </c>
      <c r="AF30" s="50">
        <v>11.8</v>
      </c>
      <c r="AG30" s="55">
        <v>22</v>
      </c>
      <c r="AH30" s="52">
        <f t="shared" si="2"/>
        <v>11.8</v>
      </c>
      <c r="AI30" s="53">
        <f t="shared" si="3"/>
        <v>9.5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10</v>
      </c>
      <c r="C38" s="50">
        <v>10</v>
      </c>
      <c r="D38" s="50">
        <v>10</v>
      </c>
      <c r="E38" s="50">
        <v>10</v>
      </c>
      <c r="F38" s="50">
        <v>10</v>
      </c>
      <c r="G38" s="50">
        <v>10</v>
      </c>
      <c r="H38" s="50">
        <v>10</v>
      </c>
      <c r="I38" s="50">
        <v>10</v>
      </c>
      <c r="J38" s="50">
        <v>10</v>
      </c>
      <c r="K38" s="50">
        <v>10</v>
      </c>
      <c r="L38" s="50">
        <v>10</v>
      </c>
      <c r="M38" s="50">
        <v>10</v>
      </c>
      <c r="N38" s="50">
        <v>10</v>
      </c>
      <c r="O38" s="50">
        <v>10</v>
      </c>
      <c r="P38" s="50">
        <v>10</v>
      </c>
      <c r="Q38" s="50">
        <v>10</v>
      </c>
      <c r="R38" s="50">
        <v>10</v>
      </c>
      <c r="S38" s="50">
        <v>10</v>
      </c>
      <c r="T38" s="50">
        <v>10</v>
      </c>
      <c r="U38" s="50">
        <v>10</v>
      </c>
      <c r="V38" s="50">
        <v>10</v>
      </c>
      <c r="W38" s="50">
        <v>10</v>
      </c>
      <c r="X38" s="50">
        <v>10</v>
      </c>
      <c r="Y38" s="50">
        <v>10</v>
      </c>
      <c r="Z38" s="50">
        <v>10</v>
      </c>
      <c r="AA38" s="50">
        <v>10</v>
      </c>
      <c r="AB38" s="50">
        <v>10</v>
      </c>
      <c r="AC38" s="50">
        <v>10</v>
      </c>
      <c r="AD38" s="50">
        <v>10</v>
      </c>
      <c r="AE38" s="50">
        <v>10</v>
      </c>
      <c r="AF38" s="50">
        <v>10</v>
      </c>
      <c r="AG38" s="55">
        <v>12</v>
      </c>
      <c r="AH38" s="52">
        <f t="shared" si="2"/>
        <v>10</v>
      </c>
      <c r="AI38" s="53">
        <f t="shared" si="3"/>
        <v>10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6">
        <v>11.88</v>
      </c>
      <c r="AH41" s="52">
        <f t="shared" si="2"/>
        <v>0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362.3</v>
      </c>
      <c r="C48" s="67">
        <f t="shared" si="4"/>
        <v>362.3</v>
      </c>
      <c r="D48" s="67">
        <f t="shared" si="4"/>
        <v>362.3</v>
      </c>
      <c r="E48" s="67">
        <f t="shared" si="4"/>
        <v>368.2</v>
      </c>
      <c r="F48" s="67">
        <f t="shared" si="4"/>
        <v>368.2</v>
      </c>
      <c r="G48" s="67">
        <f t="shared" si="4"/>
        <v>368.79999999999995</v>
      </c>
      <c r="H48" s="67">
        <f t="shared" si="4"/>
        <v>368.79999999999995</v>
      </c>
      <c r="I48" s="67">
        <f t="shared" si="4"/>
        <v>367</v>
      </c>
      <c r="J48" s="67">
        <f t="shared" si="4"/>
        <v>367.6</v>
      </c>
      <c r="K48" s="67">
        <f t="shared" si="4"/>
        <v>367.6</v>
      </c>
      <c r="L48" s="67">
        <f t="shared" si="4"/>
        <v>367.6</v>
      </c>
      <c r="M48" s="67">
        <f t="shared" si="4"/>
        <v>367.6</v>
      </c>
      <c r="N48" s="67">
        <f t="shared" si="4"/>
        <v>357.6</v>
      </c>
      <c r="O48" s="67">
        <f t="shared" si="4"/>
        <v>365.29999999999995</v>
      </c>
      <c r="P48" s="67">
        <f t="shared" si="4"/>
        <v>354.8</v>
      </c>
      <c r="Q48" s="67">
        <f t="shared" si="4"/>
        <v>356.5</v>
      </c>
      <c r="R48" s="67">
        <f t="shared" si="4"/>
        <v>356.5</v>
      </c>
      <c r="S48" s="67">
        <f t="shared" si="4"/>
        <v>356.5</v>
      </c>
      <c r="T48" s="67">
        <f t="shared" si="4"/>
        <v>356.5</v>
      </c>
      <c r="U48" s="67">
        <f t="shared" si="4"/>
        <v>361.20000000000005</v>
      </c>
      <c r="V48" s="67">
        <f t="shared" si="4"/>
        <v>361</v>
      </c>
      <c r="W48" s="67">
        <f t="shared" si="4"/>
        <v>361</v>
      </c>
      <c r="X48" s="67">
        <f t="shared" si="4"/>
        <v>361</v>
      </c>
      <c r="Y48" s="67">
        <f t="shared" ref="Y48:Z48" si="5">SUM(Y12:Y46)</f>
        <v>361.9</v>
      </c>
      <c r="Z48" s="67">
        <f t="shared" si="5"/>
        <v>361.9</v>
      </c>
      <c r="AA48" s="67">
        <f t="shared" ref="AA48" si="6">SUM(AA12:AA46)</f>
        <v>364.8</v>
      </c>
      <c r="AB48" s="67">
        <f t="shared" si="4"/>
        <v>364.8</v>
      </c>
      <c r="AC48" s="67">
        <f t="shared" si="4"/>
        <v>371.9</v>
      </c>
      <c r="AD48" s="67">
        <f t="shared" si="4"/>
        <v>371.9</v>
      </c>
      <c r="AE48" s="67">
        <f t="shared" si="4"/>
        <v>371.9</v>
      </c>
      <c r="AF48" s="67">
        <f t="shared" si="4"/>
        <v>371.9</v>
      </c>
      <c r="AG48" s="68">
        <f t="shared" si="4"/>
        <v>875.68</v>
      </c>
      <c r="AH48" s="52">
        <f t="shared" si="2"/>
        <v>371.9</v>
      </c>
      <c r="AI48" s="53">
        <f t="shared" si="3"/>
        <v>354.8</v>
      </c>
      <c r="AK48" s="54"/>
    </row>
    <row r="49" spans="1:41" x14ac:dyDescent="0.25">
      <c r="A49" s="69" t="s">
        <v>53</v>
      </c>
      <c r="B49" s="50">
        <v>70</v>
      </c>
      <c r="C49" s="50">
        <v>100</v>
      </c>
      <c r="D49" s="50">
        <v>70</v>
      </c>
      <c r="E49" s="50">
        <v>80</v>
      </c>
      <c r="F49" s="50">
        <v>80</v>
      </c>
      <c r="G49" s="50">
        <v>90</v>
      </c>
      <c r="H49" s="50">
        <v>90</v>
      </c>
      <c r="I49" s="50">
        <v>140</v>
      </c>
      <c r="J49" s="50">
        <v>130</v>
      </c>
      <c r="K49" s="50">
        <v>130</v>
      </c>
      <c r="L49" s="50">
        <v>120</v>
      </c>
      <c r="M49" s="70">
        <v>100</v>
      </c>
      <c r="N49" s="70">
        <v>80</v>
      </c>
      <c r="O49" s="50">
        <v>60</v>
      </c>
      <c r="P49" s="50">
        <v>80</v>
      </c>
      <c r="Q49" s="50">
        <v>100</v>
      </c>
      <c r="R49" s="50">
        <v>90</v>
      </c>
      <c r="S49" s="50">
        <v>90</v>
      </c>
      <c r="T49" s="50">
        <v>90</v>
      </c>
      <c r="U49" s="50">
        <v>90</v>
      </c>
      <c r="V49" s="50">
        <v>90</v>
      </c>
      <c r="W49" s="50">
        <v>90</v>
      </c>
      <c r="X49" s="50">
        <v>90</v>
      </c>
      <c r="Y49" s="50">
        <v>110</v>
      </c>
      <c r="Z49" s="50">
        <v>110</v>
      </c>
      <c r="AA49" s="50">
        <v>150</v>
      </c>
      <c r="AB49" s="50">
        <v>130</v>
      </c>
      <c r="AC49" s="50">
        <v>130</v>
      </c>
      <c r="AD49" s="50">
        <v>110</v>
      </c>
      <c r="AE49" s="50">
        <v>90</v>
      </c>
      <c r="AF49" s="50">
        <v>50</v>
      </c>
      <c r="AG49" s="56">
        <v>456</v>
      </c>
      <c r="AH49" s="52">
        <f t="shared" si="2"/>
        <v>150</v>
      </c>
      <c r="AI49" s="53">
        <f t="shared" si="3"/>
        <v>50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31.9</v>
      </c>
      <c r="Q50" s="72">
        <v>31</v>
      </c>
      <c r="R50" s="72">
        <v>31.2</v>
      </c>
      <c r="S50" s="72">
        <v>31.2</v>
      </c>
      <c r="T50" s="72">
        <v>36</v>
      </c>
      <c r="U50" s="72">
        <v>36</v>
      </c>
      <c r="V50" s="72">
        <v>36</v>
      </c>
      <c r="W50" s="72">
        <v>36</v>
      </c>
      <c r="X50" s="72">
        <v>36</v>
      </c>
      <c r="Y50" s="72">
        <v>36</v>
      </c>
      <c r="Z50" s="72">
        <v>36</v>
      </c>
      <c r="AA50" s="72">
        <v>36</v>
      </c>
      <c r="AB50" s="72">
        <v>36</v>
      </c>
      <c r="AC50" s="72">
        <v>36</v>
      </c>
      <c r="AD50" s="72">
        <v>36</v>
      </c>
      <c r="AE50" s="72">
        <v>36</v>
      </c>
      <c r="AF50" s="72">
        <v>36</v>
      </c>
      <c r="AG50" s="61">
        <v>60</v>
      </c>
      <c r="AH50" s="52">
        <f t="shared" si="2"/>
        <v>36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11.2</v>
      </c>
      <c r="C51" s="74">
        <v>11.2</v>
      </c>
      <c r="D51" s="74">
        <v>11.2</v>
      </c>
      <c r="E51" s="74">
        <v>11.2</v>
      </c>
      <c r="F51" s="74">
        <v>11.2</v>
      </c>
      <c r="G51" s="74">
        <v>11.2</v>
      </c>
      <c r="H51" s="74">
        <v>11.2</v>
      </c>
      <c r="I51" s="74">
        <v>11.3</v>
      </c>
      <c r="J51" s="74">
        <v>11.2</v>
      </c>
      <c r="K51" s="74">
        <v>11.1</v>
      </c>
      <c r="L51" s="74">
        <v>11.1</v>
      </c>
      <c r="M51" s="74">
        <v>11.1</v>
      </c>
      <c r="N51" s="74">
        <v>11.1</v>
      </c>
      <c r="O51" s="74">
        <v>9.6</v>
      </c>
      <c r="P51" s="74">
        <v>9.6</v>
      </c>
      <c r="Q51" s="74">
        <v>9.5</v>
      </c>
      <c r="R51" s="74">
        <v>9.6</v>
      </c>
      <c r="S51" s="74">
        <v>9.6</v>
      </c>
      <c r="T51" s="74">
        <v>9.5</v>
      </c>
      <c r="U51" s="74">
        <v>9.5</v>
      </c>
      <c r="V51" s="74">
        <v>9.5</v>
      </c>
      <c r="W51" s="74">
        <v>9.5</v>
      </c>
      <c r="X51" s="74">
        <v>9.5</v>
      </c>
      <c r="Y51" s="74">
        <v>9.5</v>
      </c>
      <c r="Z51" s="74">
        <v>9.5</v>
      </c>
      <c r="AA51" s="74">
        <v>9.5</v>
      </c>
      <c r="AB51" s="74">
        <v>9.5</v>
      </c>
      <c r="AC51" s="74">
        <v>9.5</v>
      </c>
      <c r="AD51" s="74">
        <v>9.5</v>
      </c>
      <c r="AE51" s="74">
        <v>9.5</v>
      </c>
      <c r="AF51" s="74">
        <v>9.5</v>
      </c>
      <c r="AG51" s="75">
        <v>22.1</v>
      </c>
      <c r="AH51" s="52">
        <f t="shared" si="2"/>
        <v>11.3</v>
      </c>
      <c r="AI51" s="53">
        <f t="shared" si="3"/>
        <v>9.5</v>
      </c>
      <c r="AK51" s="54"/>
    </row>
    <row r="52" spans="1:41" ht="15.75" thickBot="1" x14ac:dyDescent="0.3">
      <c r="A52" s="76" t="s">
        <v>56</v>
      </c>
      <c r="B52" s="67">
        <f t="shared" ref="B52:AG52" si="7">SUM(B49:B51)</f>
        <v>106.2</v>
      </c>
      <c r="C52" s="67">
        <f t="shared" si="7"/>
        <v>136.19999999999999</v>
      </c>
      <c r="D52" s="67">
        <f t="shared" si="7"/>
        <v>106.2</v>
      </c>
      <c r="E52" s="67">
        <f t="shared" si="7"/>
        <v>116.2</v>
      </c>
      <c r="F52" s="67">
        <f t="shared" si="7"/>
        <v>116.2</v>
      </c>
      <c r="G52" s="67">
        <f t="shared" si="7"/>
        <v>126.2</v>
      </c>
      <c r="H52" s="67">
        <f t="shared" si="7"/>
        <v>126.2</v>
      </c>
      <c r="I52" s="67">
        <f t="shared" si="7"/>
        <v>176.3</v>
      </c>
      <c r="J52" s="67">
        <f t="shared" si="7"/>
        <v>166.2</v>
      </c>
      <c r="K52" s="67">
        <f t="shared" si="7"/>
        <v>166.1</v>
      </c>
      <c r="L52" s="67">
        <f t="shared" si="7"/>
        <v>156.1</v>
      </c>
      <c r="M52" s="67">
        <f t="shared" si="7"/>
        <v>136.1</v>
      </c>
      <c r="N52" s="67">
        <f t="shared" si="7"/>
        <v>116.1</v>
      </c>
      <c r="O52" s="67">
        <f t="shared" si="7"/>
        <v>94.6</v>
      </c>
      <c r="P52" s="67">
        <f t="shared" si="7"/>
        <v>121.5</v>
      </c>
      <c r="Q52" s="67">
        <f t="shared" si="7"/>
        <v>140.5</v>
      </c>
      <c r="R52" s="67">
        <f t="shared" si="7"/>
        <v>130.80000000000001</v>
      </c>
      <c r="S52" s="67">
        <f t="shared" si="7"/>
        <v>130.80000000000001</v>
      </c>
      <c r="T52" s="67">
        <f t="shared" si="7"/>
        <v>135.5</v>
      </c>
      <c r="U52" s="67">
        <f t="shared" si="7"/>
        <v>135.5</v>
      </c>
      <c r="V52" s="67">
        <f t="shared" si="7"/>
        <v>135.5</v>
      </c>
      <c r="W52" s="67">
        <f t="shared" si="7"/>
        <v>135.5</v>
      </c>
      <c r="X52" s="67">
        <f t="shared" si="7"/>
        <v>135.5</v>
      </c>
      <c r="Y52" s="67">
        <f t="shared" ref="Y52:Z52" si="8">SUM(Y49:Y51)</f>
        <v>155.5</v>
      </c>
      <c r="Z52" s="67">
        <f t="shared" si="8"/>
        <v>155.5</v>
      </c>
      <c r="AA52" s="67">
        <f t="shared" ref="AA52" si="9">SUM(AA49:AA51)</f>
        <v>195.5</v>
      </c>
      <c r="AB52" s="67">
        <f t="shared" si="7"/>
        <v>175.5</v>
      </c>
      <c r="AC52" s="67">
        <f t="shared" si="7"/>
        <v>175.5</v>
      </c>
      <c r="AD52" s="67">
        <f t="shared" si="7"/>
        <v>155.5</v>
      </c>
      <c r="AE52" s="67">
        <f t="shared" si="7"/>
        <v>135.5</v>
      </c>
      <c r="AF52" s="67">
        <f t="shared" si="7"/>
        <v>95.5</v>
      </c>
      <c r="AG52" s="68">
        <f t="shared" si="7"/>
        <v>538.1</v>
      </c>
      <c r="AH52" s="52">
        <f t="shared" si="2"/>
        <v>195.5</v>
      </c>
      <c r="AI52" s="53">
        <f t="shared" si="3"/>
        <v>94.6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28.2</v>
      </c>
      <c r="I53" s="50">
        <v>30</v>
      </c>
      <c r="J53" s="50">
        <v>62</v>
      </c>
      <c r="K53" s="50">
        <v>75</v>
      </c>
      <c r="L53" s="50">
        <v>61.1</v>
      </c>
      <c r="M53" s="50">
        <v>61.3</v>
      </c>
      <c r="N53" s="50">
        <v>60.8</v>
      </c>
      <c r="O53" s="50">
        <v>61</v>
      </c>
      <c r="P53" s="50">
        <v>81.2</v>
      </c>
      <c r="Q53" s="50">
        <v>94.7</v>
      </c>
      <c r="R53" s="50">
        <v>97.2</v>
      </c>
      <c r="S53" s="50">
        <v>97.1</v>
      </c>
      <c r="T53" s="50">
        <v>97</v>
      </c>
      <c r="U53" s="50">
        <v>97</v>
      </c>
      <c r="V53" s="50">
        <v>81</v>
      </c>
      <c r="W53" s="50">
        <v>81</v>
      </c>
      <c r="X53" s="50">
        <v>71</v>
      </c>
      <c r="Y53" s="50">
        <v>71</v>
      </c>
      <c r="Z53" s="50">
        <v>97</v>
      </c>
      <c r="AA53" s="50">
        <v>97</v>
      </c>
      <c r="AB53" s="50">
        <v>97</v>
      </c>
      <c r="AC53" s="50">
        <v>70</v>
      </c>
      <c r="AD53" s="50">
        <v>45</v>
      </c>
      <c r="AE53" s="50">
        <v>30</v>
      </c>
      <c r="AF53" s="50">
        <v>0</v>
      </c>
      <c r="AG53" s="56">
        <v>144</v>
      </c>
      <c r="AH53" s="52">
        <f t="shared" si="2"/>
        <v>97.2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25</v>
      </c>
      <c r="J54" s="72">
        <v>35.700000000000003</v>
      </c>
      <c r="K54" s="72">
        <v>47.5</v>
      </c>
      <c r="L54" s="72">
        <v>34.700000000000003</v>
      </c>
      <c r="M54" s="72">
        <v>22.1</v>
      </c>
      <c r="N54" s="72">
        <v>34.799999999999997</v>
      </c>
      <c r="O54" s="72">
        <v>34.799999999999997</v>
      </c>
      <c r="P54" s="72">
        <v>45</v>
      </c>
      <c r="Q54" s="72">
        <v>44.4</v>
      </c>
      <c r="R54" s="72">
        <v>44.6</v>
      </c>
      <c r="S54" s="50">
        <v>53.2</v>
      </c>
      <c r="T54" s="50">
        <v>67</v>
      </c>
      <c r="U54" s="50">
        <v>67</v>
      </c>
      <c r="V54" s="50">
        <v>44</v>
      </c>
      <c r="W54" s="50">
        <v>44</v>
      </c>
      <c r="X54" s="50">
        <v>45</v>
      </c>
      <c r="Y54" s="50">
        <v>42</v>
      </c>
      <c r="Z54" s="50">
        <v>44</v>
      </c>
      <c r="AA54" s="50">
        <v>44</v>
      </c>
      <c r="AB54" s="50">
        <v>44</v>
      </c>
      <c r="AC54" s="50">
        <v>44</v>
      </c>
      <c r="AD54" s="72">
        <v>26</v>
      </c>
      <c r="AE54" s="72">
        <v>25</v>
      </c>
      <c r="AF54" s="72">
        <v>22</v>
      </c>
      <c r="AG54" s="61">
        <v>70</v>
      </c>
      <c r="AH54" s="52">
        <f t="shared" si="2"/>
        <v>67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22.8</v>
      </c>
      <c r="C55" s="72">
        <v>22.8</v>
      </c>
      <c r="D55" s="72">
        <v>22.8</v>
      </c>
      <c r="E55" s="72">
        <v>0</v>
      </c>
      <c r="F55" s="72">
        <v>0</v>
      </c>
      <c r="G55" s="72">
        <v>0</v>
      </c>
      <c r="H55" s="72">
        <v>16</v>
      </c>
      <c r="I55" s="72">
        <v>32</v>
      </c>
      <c r="J55" s="72">
        <v>36</v>
      </c>
      <c r="K55" s="72">
        <v>36</v>
      </c>
      <c r="L55" s="72">
        <v>35.6</v>
      </c>
      <c r="M55" s="72">
        <v>35.6</v>
      </c>
      <c r="N55" s="72">
        <v>35.6</v>
      </c>
      <c r="O55" s="72">
        <v>35.4</v>
      </c>
      <c r="P55" s="72">
        <v>50</v>
      </c>
      <c r="Q55" s="72">
        <v>32</v>
      </c>
      <c r="R55" s="72">
        <v>16.8</v>
      </c>
      <c r="S55" s="50">
        <v>22.5</v>
      </c>
      <c r="T55" s="50">
        <v>33</v>
      </c>
      <c r="U55" s="50">
        <v>33</v>
      </c>
      <c r="V55" s="50">
        <v>34</v>
      </c>
      <c r="W55" s="50">
        <v>34</v>
      </c>
      <c r="X55" s="50">
        <v>34</v>
      </c>
      <c r="Y55" s="50">
        <v>34</v>
      </c>
      <c r="Z55" s="50">
        <v>61</v>
      </c>
      <c r="AA55" s="50">
        <v>51</v>
      </c>
      <c r="AB55" s="50">
        <v>51</v>
      </c>
      <c r="AC55" s="50">
        <v>51</v>
      </c>
      <c r="AD55" s="72">
        <v>52</v>
      </c>
      <c r="AE55" s="72">
        <v>52</v>
      </c>
      <c r="AF55" s="72">
        <v>33</v>
      </c>
      <c r="AG55" s="61">
        <v>69</v>
      </c>
      <c r="AH55" s="52">
        <f t="shared" si="2"/>
        <v>61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38</v>
      </c>
      <c r="C56" s="72">
        <v>38</v>
      </c>
      <c r="D56" s="72">
        <v>38</v>
      </c>
      <c r="E56" s="63">
        <v>40.299999999999997</v>
      </c>
      <c r="F56" s="63">
        <v>40.299999999999997</v>
      </c>
      <c r="G56" s="63">
        <v>40.299999999999997</v>
      </c>
      <c r="H56" s="63">
        <v>41.3</v>
      </c>
      <c r="I56" s="63">
        <v>41.3</v>
      </c>
      <c r="J56" s="63">
        <v>41.3</v>
      </c>
      <c r="K56" s="63">
        <v>40.799999999999997</v>
      </c>
      <c r="L56" s="63">
        <v>40.799999999999997</v>
      </c>
      <c r="M56" s="72">
        <v>40.799999999999997</v>
      </c>
      <c r="N56" s="72">
        <v>40.1</v>
      </c>
      <c r="O56" s="72">
        <v>40.1</v>
      </c>
      <c r="P56" s="72">
        <v>40.1</v>
      </c>
      <c r="Q56" s="72">
        <v>38.299999999999997</v>
      </c>
      <c r="R56" s="72">
        <v>38.299999999999997</v>
      </c>
      <c r="S56" s="50">
        <v>32</v>
      </c>
      <c r="T56" s="50">
        <v>34</v>
      </c>
      <c r="U56" s="50">
        <v>34</v>
      </c>
      <c r="V56" s="50">
        <v>42</v>
      </c>
      <c r="W56" s="50">
        <v>42</v>
      </c>
      <c r="X56" s="50">
        <v>35</v>
      </c>
      <c r="Y56" s="50">
        <v>35</v>
      </c>
      <c r="Z56" s="50">
        <v>35</v>
      </c>
      <c r="AA56" s="50">
        <v>35</v>
      </c>
      <c r="AB56" s="50">
        <v>35</v>
      </c>
      <c r="AC56" s="50">
        <v>35</v>
      </c>
      <c r="AD56" s="50">
        <v>35</v>
      </c>
      <c r="AE56" s="72">
        <v>38</v>
      </c>
      <c r="AF56" s="72">
        <v>40</v>
      </c>
      <c r="AG56" s="61">
        <v>60</v>
      </c>
      <c r="AH56" s="52">
        <f t="shared" si="2"/>
        <v>42</v>
      </c>
      <c r="AI56" s="53">
        <f t="shared" si="3"/>
        <v>32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0</v>
      </c>
      <c r="F57" s="63">
        <v>0</v>
      </c>
      <c r="G57" s="63">
        <v>10</v>
      </c>
      <c r="H57" s="63">
        <v>25</v>
      </c>
      <c r="I57" s="63">
        <v>25</v>
      </c>
      <c r="J57" s="63">
        <v>25</v>
      </c>
      <c r="K57" s="63">
        <v>25</v>
      </c>
      <c r="L57" s="63">
        <v>25</v>
      </c>
      <c r="M57" s="72">
        <v>15</v>
      </c>
      <c r="N57" s="72">
        <v>14.7</v>
      </c>
      <c r="O57" s="72">
        <v>14.7</v>
      </c>
      <c r="P57" s="72">
        <v>12</v>
      </c>
      <c r="Q57" s="72">
        <v>0</v>
      </c>
      <c r="R57" s="72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10</v>
      </c>
      <c r="Y57" s="50">
        <v>10</v>
      </c>
      <c r="Z57" s="50">
        <v>15</v>
      </c>
      <c r="AA57" s="50">
        <v>15</v>
      </c>
      <c r="AB57" s="50">
        <v>15</v>
      </c>
      <c r="AC57" s="50">
        <v>15</v>
      </c>
      <c r="AD57" s="50">
        <v>15</v>
      </c>
      <c r="AE57" s="50">
        <v>15</v>
      </c>
      <c r="AF57" s="72">
        <v>15</v>
      </c>
      <c r="AG57" s="61">
        <v>30</v>
      </c>
      <c r="AH57" s="52">
        <f t="shared" si="2"/>
        <v>25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72">
        <v>8</v>
      </c>
      <c r="N58" s="72">
        <v>13.4</v>
      </c>
      <c r="O58" s="72">
        <v>17.3</v>
      </c>
      <c r="P58" s="72">
        <v>19.2</v>
      </c>
      <c r="Q58" s="72">
        <v>19.899999999999999</v>
      </c>
      <c r="R58" s="72">
        <v>19.100000000000001</v>
      </c>
      <c r="S58" s="72">
        <v>19.100000000000001</v>
      </c>
      <c r="T58" s="72">
        <v>19.100000000000001</v>
      </c>
      <c r="U58" s="72">
        <v>19.100000000000001</v>
      </c>
      <c r="V58" s="50">
        <v>1.1000000000000001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19.899999999999999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14</v>
      </c>
      <c r="C59" s="72">
        <v>14</v>
      </c>
      <c r="D59" s="72">
        <v>14</v>
      </c>
      <c r="E59" s="72">
        <v>13</v>
      </c>
      <c r="F59" s="72">
        <v>13</v>
      </c>
      <c r="G59" s="72">
        <v>13</v>
      </c>
      <c r="H59" s="72">
        <v>13</v>
      </c>
      <c r="I59" s="72">
        <v>13</v>
      </c>
      <c r="J59" s="72">
        <v>13</v>
      </c>
      <c r="K59" s="72">
        <v>13</v>
      </c>
      <c r="L59" s="72">
        <v>13</v>
      </c>
      <c r="M59" s="72">
        <v>13</v>
      </c>
      <c r="N59" s="72">
        <v>13</v>
      </c>
      <c r="O59" s="72">
        <v>13</v>
      </c>
      <c r="P59" s="72">
        <v>13</v>
      </c>
      <c r="Q59" s="72">
        <v>13</v>
      </c>
      <c r="R59" s="72">
        <v>13</v>
      </c>
      <c r="S59" s="72">
        <v>13</v>
      </c>
      <c r="T59" s="72">
        <v>13</v>
      </c>
      <c r="U59" s="72">
        <v>13</v>
      </c>
      <c r="V59" s="72">
        <v>13</v>
      </c>
      <c r="W59" s="72">
        <v>13</v>
      </c>
      <c r="X59" s="72">
        <v>13</v>
      </c>
      <c r="Y59" s="72">
        <v>13</v>
      </c>
      <c r="Z59" s="72">
        <v>13</v>
      </c>
      <c r="AA59" s="72">
        <v>13</v>
      </c>
      <c r="AB59" s="72">
        <v>13</v>
      </c>
      <c r="AC59" s="72">
        <v>13</v>
      </c>
      <c r="AD59" s="72">
        <v>13</v>
      </c>
      <c r="AE59" s="72">
        <v>13</v>
      </c>
      <c r="AF59" s="72">
        <v>13</v>
      </c>
      <c r="AG59" s="61">
        <v>24</v>
      </c>
      <c r="AH59" s="52">
        <f t="shared" si="2"/>
        <v>14</v>
      </c>
      <c r="AI59" s="53">
        <f t="shared" si="3"/>
        <v>13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12.2</v>
      </c>
      <c r="C61" s="72">
        <v>12.2</v>
      </c>
      <c r="D61" s="72">
        <v>12.2</v>
      </c>
      <c r="E61" s="72">
        <v>10.1</v>
      </c>
      <c r="F61" s="72">
        <v>10.1</v>
      </c>
      <c r="G61" s="72">
        <v>10.1</v>
      </c>
      <c r="H61" s="72">
        <v>10.999000000000001</v>
      </c>
      <c r="I61" s="72">
        <v>11.3</v>
      </c>
      <c r="J61" s="72">
        <v>11.3</v>
      </c>
      <c r="K61" s="72">
        <v>11.3</v>
      </c>
      <c r="L61" s="72">
        <v>11.3</v>
      </c>
      <c r="M61" s="72">
        <v>10.6</v>
      </c>
      <c r="N61" s="72">
        <v>10.6</v>
      </c>
      <c r="O61" s="72">
        <v>10.6</v>
      </c>
      <c r="P61" s="72">
        <v>10.6</v>
      </c>
      <c r="Q61" s="72">
        <v>10.8</v>
      </c>
      <c r="R61" s="72">
        <v>10.8</v>
      </c>
      <c r="S61" s="72">
        <v>10.8</v>
      </c>
      <c r="T61" s="72">
        <v>10.8</v>
      </c>
      <c r="U61" s="72">
        <v>10.8</v>
      </c>
      <c r="V61" s="72">
        <v>10.8</v>
      </c>
      <c r="W61" s="72">
        <v>10.8</v>
      </c>
      <c r="X61" s="72">
        <v>10.8</v>
      </c>
      <c r="Y61" s="72">
        <v>10.8</v>
      </c>
      <c r="Z61" s="72">
        <v>10.8</v>
      </c>
      <c r="AA61" s="72">
        <v>10.8</v>
      </c>
      <c r="AB61" s="72">
        <v>10.8</v>
      </c>
      <c r="AC61" s="72">
        <v>10.8</v>
      </c>
      <c r="AD61" s="72">
        <v>10.8</v>
      </c>
      <c r="AE61" s="72">
        <v>10.8</v>
      </c>
      <c r="AF61" s="72">
        <v>10.8</v>
      </c>
      <c r="AG61" s="61">
        <v>14.1</v>
      </c>
      <c r="AH61" s="52">
        <f t="shared" si="2"/>
        <v>12.2</v>
      </c>
      <c r="AI61" s="53">
        <f t="shared" si="3"/>
        <v>10.1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5.3</v>
      </c>
      <c r="C62" s="72">
        <v>5.3</v>
      </c>
      <c r="D62" s="72">
        <v>5.3</v>
      </c>
      <c r="E62" s="72">
        <v>5.3</v>
      </c>
      <c r="F62" s="72">
        <v>5.3</v>
      </c>
      <c r="G62" s="72">
        <v>5.3</v>
      </c>
      <c r="H62" s="72">
        <v>5.3</v>
      </c>
      <c r="I62" s="72">
        <v>5.3</v>
      </c>
      <c r="J62" s="72">
        <v>5.3</v>
      </c>
      <c r="K62" s="72">
        <v>5.3</v>
      </c>
      <c r="L62" s="72">
        <v>5.3</v>
      </c>
      <c r="M62" s="72">
        <v>4</v>
      </c>
      <c r="N62" s="72">
        <v>4</v>
      </c>
      <c r="O62" s="72">
        <v>4</v>
      </c>
      <c r="P62" s="72">
        <v>4</v>
      </c>
      <c r="Q62" s="72">
        <v>4</v>
      </c>
      <c r="R62" s="72">
        <v>4</v>
      </c>
      <c r="S62" s="72">
        <v>4</v>
      </c>
      <c r="T62" s="72">
        <v>4</v>
      </c>
      <c r="U62" s="72">
        <v>4</v>
      </c>
      <c r="V62" s="72">
        <v>4</v>
      </c>
      <c r="W62" s="72">
        <v>4</v>
      </c>
      <c r="X62" s="72">
        <v>4</v>
      </c>
      <c r="Y62" s="72">
        <v>4</v>
      </c>
      <c r="Z62" s="72">
        <v>4</v>
      </c>
      <c r="AA62" s="72">
        <v>4</v>
      </c>
      <c r="AB62" s="72">
        <v>4</v>
      </c>
      <c r="AC62" s="72">
        <v>4</v>
      </c>
      <c r="AD62" s="72">
        <v>4</v>
      </c>
      <c r="AE62" s="72">
        <v>4</v>
      </c>
      <c r="AF62" s="72">
        <v>4</v>
      </c>
      <c r="AG62" s="61">
        <v>14</v>
      </c>
      <c r="AH62" s="52">
        <f t="shared" si="2"/>
        <v>5.3</v>
      </c>
      <c r="AI62" s="53">
        <f t="shared" si="3"/>
        <v>4</v>
      </c>
      <c r="AK62" s="54"/>
    </row>
    <row r="63" spans="1:41" x14ac:dyDescent="0.25">
      <c r="A63" s="60" t="s">
        <v>67</v>
      </c>
      <c r="B63" s="72">
        <v>5.2</v>
      </c>
      <c r="C63" s="72">
        <v>5.2</v>
      </c>
      <c r="D63" s="72">
        <v>5.2</v>
      </c>
      <c r="E63" s="72">
        <v>5.2</v>
      </c>
      <c r="F63" s="72">
        <v>5.2</v>
      </c>
      <c r="G63" s="72">
        <v>5.2</v>
      </c>
      <c r="H63" s="72">
        <v>5.2</v>
      </c>
      <c r="I63" s="72">
        <v>5</v>
      </c>
      <c r="J63" s="72">
        <v>5</v>
      </c>
      <c r="K63" s="72">
        <v>5</v>
      </c>
      <c r="L63" s="72">
        <v>5</v>
      </c>
      <c r="M63" s="72">
        <v>4.5</v>
      </c>
      <c r="N63" s="72">
        <v>4.5</v>
      </c>
      <c r="O63" s="72">
        <v>4.5</v>
      </c>
      <c r="P63" s="72">
        <v>4.5</v>
      </c>
      <c r="Q63" s="72">
        <v>5.2</v>
      </c>
      <c r="R63" s="72">
        <v>5.2</v>
      </c>
      <c r="S63" s="72">
        <v>5.2</v>
      </c>
      <c r="T63" s="72">
        <v>5.2</v>
      </c>
      <c r="U63" s="72">
        <v>5.2</v>
      </c>
      <c r="V63" s="72">
        <v>5.2</v>
      </c>
      <c r="W63" s="72">
        <v>5.2</v>
      </c>
      <c r="X63" s="72">
        <v>5.2</v>
      </c>
      <c r="Y63" s="72">
        <v>5.2</v>
      </c>
      <c r="Z63" s="72">
        <v>5.2</v>
      </c>
      <c r="AA63" s="72">
        <v>5.2</v>
      </c>
      <c r="AB63" s="72">
        <v>5.2</v>
      </c>
      <c r="AC63" s="72">
        <v>5.2</v>
      </c>
      <c r="AD63" s="72">
        <v>5.2</v>
      </c>
      <c r="AE63" s="72">
        <v>5.2</v>
      </c>
      <c r="AF63" s="72">
        <v>5.2</v>
      </c>
      <c r="AG63" s="61">
        <v>10.050000000000001</v>
      </c>
      <c r="AH63" s="52">
        <f t="shared" si="2"/>
        <v>5.2</v>
      </c>
      <c r="AI63" s="53">
        <f t="shared" si="3"/>
        <v>4.5</v>
      </c>
      <c r="AK63" s="54"/>
    </row>
    <row r="64" spans="1:41" x14ac:dyDescent="0.25">
      <c r="A64" s="60" t="s">
        <v>68</v>
      </c>
      <c r="B64" s="72">
        <v>2.4</v>
      </c>
      <c r="C64" s="72">
        <v>2.4</v>
      </c>
      <c r="D64" s="72">
        <v>2.4</v>
      </c>
      <c r="E64" s="72">
        <v>2.4</v>
      </c>
      <c r="F64" s="72">
        <v>2.4</v>
      </c>
      <c r="G64" s="72">
        <v>2.4</v>
      </c>
      <c r="H64" s="72">
        <v>2.4</v>
      </c>
      <c r="I64" s="72">
        <v>2.4</v>
      </c>
      <c r="J64" s="72">
        <v>2.4</v>
      </c>
      <c r="K64" s="72">
        <v>2.4</v>
      </c>
      <c r="L64" s="72">
        <v>2.4</v>
      </c>
      <c r="M64" s="72">
        <v>2.4</v>
      </c>
      <c r="N64" s="72">
        <v>2.4</v>
      </c>
      <c r="O64" s="72">
        <v>2.4</v>
      </c>
      <c r="P64" s="72">
        <v>2.4</v>
      </c>
      <c r="Q64" s="72">
        <v>2.4</v>
      </c>
      <c r="R64" s="72">
        <v>2.4</v>
      </c>
      <c r="S64" s="72">
        <v>2.4</v>
      </c>
      <c r="T64" s="72">
        <v>2.4</v>
      </c>
      <c r="U64" s="72">
        <v>2.4</v>
      </c>
      <c r="V64" s="72">
        <v>2.4</v>
      </c>
      <c r="W64" s="72">
        <v>2.4</v>
      </c>
      <c r="X64" s="72">
        <v>2.4</v>
      </c>
      <c r="Y64" s="72">
        <v>2.4</v>
      </c>
      <c r="Z64" s="72">
        <v>2.4</v>
      </c>
      <c r="AA64" s="72">
        <v>2.4</v>
      </c>
      <c r="AB64" s="72">
        <v>2.4</v>
      </c>
      <c r="AC64" s="72">
        <v>2.4</v>
      </c>
      <c r="AD64" s="72">
        <v>2.4</v>
      </c>
      <c r="AE64" s="72">
        <v>2.4</v>
      </c>
      <c r="AF64" s="72">
        <v>2.4</v>
      </c>
      <c r="AG64" s="61">
        <v>6.2</v>
      </c>
      <c r="AH64" s="52">
        <f t="shared" si="2"/>
        <v>2.4</v>
      </c>
      <c r="AI64" s="53">
        <f t="shared" si="3"/>
        <v>2.4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0">SUM(B53:B65)</f>
        <v>103.44000000000001</v>
      </c>
      <c r="C66" s="67">
        <f t="shared" si="10"/>
        <v>103.44000000000001</v>
      </c>
      <c r="D66" s="67">
        <f t="shared" si="10"/>
        <v>103.44000000000001</v>
      </c>
      <c r="E66" s="67">
        <f t="shared" si="10"/>
        <v>79.840000000000018</v>
      </c>
      <c r="F66" s="67">
        <f t="shared" si="10"/>
        <v>79.840000000000018</v>
      </c>
      <c r="G66" s="67">
        <f t="shared" si="10"/>
        <v>89.84</v>
      </c>
      <c r="H66" s="67">
        <f t="shared" si="10"/>
        <v>150.93899999999999</v>
      </c>
      <c r="I66" s="67">
        <f t="shared" si="10"/>
        <v>193.84000000000003</v>
      </c>
      <c r="J66" s="67">
        <f t="shared" si="10"/>
        <v>240.54000000000002</v>
      </c>
      <c r="K66" s="67">
        <f t="shared" si="10"/>
        <v>264.84000000000003</v>
      </c>
      <c r="L66" s="67">
        <f t="shared" si="10"/>
        <v>237.74</v>
      </c>
      <c r="M66" s="67">
        <f t="shared" si="10"/>
        <v>220.84</v>
      </c>
      <c r="N66" s="67">
        <f t="shared" si="10"/>
        <v>237.43999999999997</v>
      </c>
      <c r="O66" s="67">
        <f t="shared" si="10"/>
        <v>241.33999999999997</v>
      </c>
      <c r="P66" s="67">
        <f t="shared" si="10"/>
        <v>285.54000000000002</v>
      </c>
      <c r="Q66" s="67">
        <f t="shared" si="10"/>
        <v>268.24</v>
      </c>
      <c r="R66" s="67">
        <f t="shared" si="10"/>
        <v>254.94000000000003</v>
      </c>
      <c r="S66" s="67">
        <f t="shared" si="10"/>
        <v>262.84000000000003</v>
      </c>
      <c r="T66" s="67">
        <f t="shared" si="10"/>
        <v>289.04000000000002</v>
      </c>
      <c r="U66" s="67">
        <f t="shared" si="10"/>
        <v>289.04000000000002</v>
      </c>
      <c r="V66" s="67">
        <f t="shared" si="10"/>
        <v>241.04</v>
      </c>
      <c r="W66" s="67">
        <f t="shared" si="10"/>
        <v>239.94</v>
      </c>
      <c r="X66" s="67">
        <f t="shared" si="10"/>
        <v>233.94</v>
      </c>
      <c r="Y66" s="67">
        <f t="shared" si="10"/>
        <v>230.94</v>
      </c>
      <c r="Z66" s="67">
        <f t="shared" ref="Z66" si="11">SUM(Z53:Z65)</f>
        <v>290.94</v>
      </c>
      <c r="AA66" s="67">
        <f t="shared" si="10"/>
        <v>280.94</v>
      </c>
      <c r="AB66" s="67">
        <f t="shared" si="10"/>
        <v>280.94</v>
      </c>
      <c r="AC66" s="67">
        <f t="shared" si="10"/>
        <v>253.94</v>
      </c>
      <c r="AD66" s="67">
        <f t="shared" si="10"/>
        <v>211.94</v>
      </c>
      <c r="AE66" s="67">
        <f t="shared" si="10"/>
        <v>198.94</v>
      </c>
      <c r="AF66" s="67">
        <f t="shared" si="10"/>
        <v>148.94</v>
      </c>
      <c r="AG66" s="68">
        <f t="shared" si="10"/>
        <v>489.91</v>
      </c>
      <c r="AH66" s="52">
        <f t="shared" si="2"/>
        <v>290.94</v>
      </c>
      <c r="AI66" s="53">
        <f t="shared" si="3"/>
        <v>79.840000000000018</v>
      </c>
      <c r="AK66" s="54"/>
    </row>
    <row r="67" spans="1:40" x14ac:dyDescent="0.25">
      <c r="A67" s="49" t="s">
        <v>71</v>
      </c>
      <c r="B67" s="50">
        <v>30</v>
      </c>
      <c r="C67" s="50">
        <v>30</v>
      </c>
      <c r="D67" s="50">
        <v>30</v>
      </c>
      <c r="E67" s="50">
        <v>25</v>
      </c>
      <c r="F67" s="50">
        <v>25</v>
      </c>
      <c r="G67" s="50">
        <v>30</v>
      </c>
      <c r="H67" s="50">
        <v>30</v>
      </c>
      <c r="I67" s="50">
        <v>30</v>
      </c>
      <c r="J67" s="50">
        <v>30</v>
      </c>
      <c r="K67" s="50">
        <v>30</v>
      </c>
      <c r="L67" s="50">
        <v>14</v>
      </c>
      <c r="M67" s="50">
        <v>0</v>
      </c>
      <c r="N67" s="50">
        <v>0</v>
      </c>
      <c r="O67" s="50">
        <v>0</v>
      </c>
      <c r="P67" s="50">
        <v>0</v>
      </c>
      <c r="Q67" s="50">
        <v>30</v>
      </c>
      <c r="R67" s="50">
        <v>30</v>
      </c>
      <c r="S67" s="50">
        <v>30</v>
      </c>
      <c r="T67" s="50">
        <v>30</v>
      </c>
      <c r="U67" s="50">
        <v>50</v>
      </c>
      <c r="V67" s="50">
        <v>34</v>
      </c>
      <c r="W67" s="50">
        <v>14</v>
      </c>
      <c r="X67" s="50">
        <v>14</v>
      </c>
      <c r="Y67" s="50">
        <v>40</v>
      </c>
      <c r="Z67" s="50">
        <v>40</v>
      </c>
      <c r="AA67" s="50">
        <v>34</v>
      </c>
      <c r="AB67" s="50">
        <v>20</v>
      </c>
      <c r="AC67" s="50">
        <v>14</v>
      </c>
      <c r="AD67" s="50">
        <v>14</v>
      </c>
      <c r="AE67" s="50">
        <v>14</v>
      </c>
      <c r="AF67" s="50">
        <v>20</v>
      </c>
      <c r="AG67" s="56">
        <v>60</v>
      </c>
      <c r="AH67" s="52">
        <f t="shared" si="2"/>
        <v>50</v>
      </c>
      <c r="AI67" s="53">
        <f t="shared" si="3"/>
        <v>0</v>
      </c>
      <c r="AK67" s="54"/>
    </row>
    <row r="68" spans="1:40" x14ac:dyDescent="0.25">
      <c r="A68" s="60" t="s">
        <v>72</v>
      </c>
      <c r="B68" s="72">
        <v>14.3</v>
      </c>
      <c r="C68" s="72">
        <v>14.3</v>
      </c>
      <c r="D68" s="72">
        <v>14.3</v>
      </c>
      <c r="E68" s="72">
        <v>13.3</v>
      </c>
      <c r="F68" s="72">
        <v>13.3</v>
      </c>
      <c r="G68" s="72">
        <v>13.8</v>
      </c>
      <c r="H68" s="72">
        <v>13.8</v>
      </c>
      <c r="I68" s="72">
        <v>13.8</v>
      </c>
      <c r="J68" s="72">
        <v>14.5</v>
      </c>
      <c r="K68" s="72">
        <v>14.5</v>
      </c>
      <c r="L68" s="72">
        <v>7.2</v>
      </c>
      <c r="M68" s="72">
        <v>0</v>
      </c>
      <c r="N68" s="72">
        <v>0</v>
      </c>
      <c r="O68" s="72">
        <v>0</v>
      </c>
      <c r="P68" s="72">
        <v>0</v>
      </c>
      <c r="Q68" s="50">
        <v>14.1</v>
      </c>
      <c r="R68" s="50">
        <v>9</v>
      </c>
      <c r="S68" s="72">
        <v>14.5</v>
      </c>
      <c r="T68" s="72">
        <v>13</v>
      </c>
      <c r="U68" s="72">
        <v>25</v>
      </c>
      <c r="V68" s="72">
        <v>15</v>
      </c>
      <c r="W68" s="72">
        <v>10</v>
      </c>
      <c r="X68" s="72">
        <v>10</v>
      </c>
      <c r="Y68" s="72">
        <v>15.5</v>
      </c>
      <c r="Z68" s="72">
        <v>15.5</v>
      </c>
      <c r="AA68" s="72">
        <v>16</v>
      </c>
      <c r="AB68" s="72">
        <v>8</v>
      </c>
      <c r="AC68" s="72">
        <v>6</v>
      </c>
      <c r="AD68" s="72">
        <v>6</v>
      </c>
      <c r="AE68" s="72">
        <v>6</v>
      </c>
      <c r="AF68" s="50">
        <v>9</v>
      </c>
      <c r="AG68" s="61">
        <v>32</v>
      </c>
      <c r="AH68" s="52">
        <f t="shared" si="2"/>
        <v>25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>
        <v>5.2</v>
      </c>
      <c r="C69" s="74">
        <v>5.2</v>
      </c>
      <c r="D69" s="74">
        <v>5.2</v>
      </c>
      <c r="E69" s="74">
        <v>4.9000000000000004</v>
      </c>
      <c r="F69" s="74">
        <v>4.9000000000000004</v>
      </c>
      <c r="G69" s="74">
        <v>4.9989999999999997</v>
      </c>
      <c r="H69" s="74">
        <v>4.9989999999999997</v>
      </c>
      <c r="I69" s="74">
        <v>4.9989999999999997</v>
      </c>
      <c r="J69" s="74">
        <v>5.3</v>
      </c>
      <c r="K69" s="74">
        <v>5.3</v>
      </c>
      <c r="L69" s="74">
        <v>2.6</v>
      </c>
      <c r="M69" s="74">
        <v>0</v>
      </c>
      <c r="N69" s="74">
        <v>0</v>
      </c>
      <c r="O69" s="74">
        <v>0</v>
      </c>
      <c r="P69" s="74">
        <v>0</v>
      </c>
      <c r="Q69" s="50">
        <v>5.2</v>
      </c>
      <c r="R69" s="50">
        <v>3.3</v>
      </c>
      <c r="S69" s="74">
        <v>5.3</v>
      </c>
      <c r="T69" s="74">
        <v>5</v>
      </c>
      <c r="U69" s="74">
        <v>5</v>
      </c>
      <c r="V69" s="74">
        <v>5</v>
      </c>
      <c r="W69" s="74">
        <v>4</v>
      </c>
      <c r="X69" s="74">
        <v>1.3</v>
      </c>
      <c r="Y69" s="74">
        <v>5.7</v>
      </c>
      <c r="Z69" s="74">
        <v>5.7</v>
      </c>
      <c r="AA69" s="74">
        <v>6</v>
      </c>
      <c r="AB69" s="74">
        <v>3</v>
      </c>
      <c r="AC69" s="74">
        <v>2</v>
      </c>
      <c r="AD69" s="74">
        <v>2</v>
      </c>
      <c r="AE69" s="74">
        <v>2</v>
      </c>
      <c r="AF69" s="50">
        <v>3</v>
      </c>
      <c r="AG69" s="75">
        <v>14</v>
      </c>
      <c r="AH69" s="52">
        <f t="shared" si="2"/>
        <v>6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12">B67+B68+B69</f>
        <v>49.5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23.8</v>
      </c>
      <c r="M70" s="67">
        <f t="shared" ref="M70:AF70" si="13">M67+M68+M69</f>
        <v>0</v>
      </c>
      <c r="N70" s="67">
        <f t="shared" si="13"/>
        <v>0</v>
      </c>
      <c r="O70" s="67">
        <f t="shared" si="13"/>
        <v>0</v>
      </c>
      <c r="P70" s="67">
        <f t="shared" si="13"/>
        <v>0</v>
      </c>
      <c r="Q70" s="67">
        <f t="shared" si="13"/>
        <v>49.300000000000004</v>
      </c>
      <c r="R70" s="67">
        <f t="shared" si="13"/>
        <v>42.3</v>
      </c>
      <c r="S70" s="67">
        <f t="shared" si="13"/>
        <v>49.8</v>
      </c>
      <c r="T70" s="67">
        <f t="shared" si="13"/>
        <v>48</v>
      </c>
      <c r="U70" s="67">
        <f t="shared" si="13"/>
        <v>80</v>
      </c>
      <c r="V70" s="67">
        <f t="shared" si="13"/>
        <v>54</v>
      </c>
      <c r="W70" s="67">
        <f t="shared" si="13"/>
        <v>28</v>
      </c>
      <c r="X70" s="67">
        <f t="shared" si="13"/>
        <v>25.3</v>
      </c>
      <c r="Y70" s="67">
        <f t="shared" si="13"/>
        <v>61.2</v>
      </c>
      <c r="Z70" s="67">
        <f t="shared" ref="Z70" si="14">Z67+Z68+Z69</f>
        <v>61.2</v>
      </c>
      <c r="AA70" s="67">
        <f t="shared" si="13"/>
        <v>56</v>
      </c>
      <c r="AB70" s="67">
        <f t="shared" si="13"/>
        <v>31</v>
      </c>
      <c r="AC70" s="67">
        <f t="shared" si="13"/>
        <v>22</v>
      </c>
      <c r="AD70" s="67">
        <f t="shared" si="13"/>
        <v>22</v>
      </c>
      <c r="AE70" s="67">
        <f t="shared" si="13"/>
        <v>22</v>
      </c>
      <c r="AF70" s="67">
        <f t="shared" si="13"/>
        <v>32</v>
      </c>
      <c r="AG70" s="68">
        <f>SUM(AG67:AG69)</f>
        <v>106</v>
      </c>
      <c r="AH70" s="52">
        <f t="shared" si="2"/>
        <v>80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46.1</v>
      </c>
      <c r="C71" s="50">
        <v>51.8</v>
      </c>
      <c r="D71" s="50">
        <v>58</v>
      </c>
      <c r="E71" s="50">
        <v>49</v>
      </c>
      <c r="F71" s="50">
        <v>41.6</v>
      </c>
      <c r="G71" s="50">
        <v>42</v>
      </c>
      <c r="H71" s="50">
        <v>51.8</v>
      </c>
      <c r="I71" s="50">
        <v>50.9</v>
      </c>
      <c r="J71" s="50">
        <v>52.7</v>
      </c>
      <c r="K71" s="50">
        <v>51</v>
      </c>
      <c r="L71" s="50">
        <v>49</v>
      </c>
      <c r="M71" s="50">
        <v>47.2</v>
      </c>
      <c r="N71" s="50">
        <v>51.4</v>
      </c>
      <c r="O71" s="50">
        <v>57.8</v>
      </c>
      <c r="P71" s="50">
        <v>63</v>
      </c>
      <c r="Q71" s="50">
        <v>49.3</v>
      </c>
      <c r="R71" s="50">
        <v>39.5</v>
      </c>
      <c r="S71" s="50">
        <v>53.4</v>
      </c>
      <c r="T71" s="50">
        <v>56</v>
      </c>
      <c r="U71" s="50">
        <v>56</v>
      </c>
      <c r="V71" s="50">
        <v>58</v>
      </c>
      <c r="W71" s="50">
        <v>47</v>
      </c>
      <c r="X71" s="50">
        <v>45</v>
      </c>
      <c r="Y71" s="50">
        <v>46</v>
      </c>
      <c r="Z71" s="50">
        <v>46</v>
      </c>
      <c r="AA71" s="50">
        <v>47</v>
      </c>
      <c r="AB71" s="50">
        <v>42</v>
      </c>
      <c r="AC71" s="50">
        <v>45</v>
      </c>
      <c r="AD71" s="50">
        <v>50</v>
      </c>
      <c r="AE71" s="50">
        <v>44</v>
      </c>
      <c r="AF71" s="50">
        <v>47</v>
      </c>
      <c r="AG71" s="56"/>
      <c r="AH71" s="52">
        <f t="shared" si="2"/>
        <v>63</v>
      </c>
      <c r="AI71" s="53">
        <f t="shared" si="3"/>
        <v>39.5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307</v>
      </c>
      <c r="C73" s="72">
        <v>269</v>
      </c>
      <c r="D73" s="72">
        <v>255</v>
      </c>
      <c r="E73" s="72">
        <v>260</v>
      </c>
      <c r="F73" s="72">
        <v>256</v>
      </c>
      <c r="G73" s="72">
        <v>261</v>
      </c>
      <c r="H73" s="72">
        <v>242</v>
      </c>
      <c r="I73" s="72">
        <v>220</v>
      </c>
      <c r="J73" s="72">
        <v>251</v>
      </c>
      <c r="K73" s="72">
        <v>221</v>
      </c>
      <c r="L73" s="72">
        <v>269</v>
      </c>
      <c r="M73" s="72">
        <v>274</v>
      </c>
      <c r="N73" s="72">
        <v>286</v>
      </c>
      <c r="O73" s="72">
        <v>294</v>
      </c>
      <c r="P73" s="72">
        <v>324</v>
      </c>
      <c r="Q73" s="72">
        <v>310</v>
      </c>
      <c r="R73" s="72">
        <v>301.7</v>
      </c>
      <c r="S73" s="72">
        <v>317</v>
      </c>
      <c r="T73" s="72">
        <v>308</v>
      </c>
      <c r="U73" s="72">
        <v>287</v>
      </c>
      <c r="V73" s="72">
        <v>278</v>
      </c>
      <c r="W73" s="72">
        <v>298</v>
      </c>
      <c r="X73" s="72">
        <v>301</v>
      </c>
      <c r="Y73" s="72">
        <v>288</v>
      </c>
      <c r="Z73" s="72">
        <v>288</v>
      </c>
      <c r="AA73" s="72">
        <v>278</v>
      </c>
      <c r="AB73" s="72">
        <v>290</v>
      </c>
      <c r="AC73" s="72">
        <v>288</v>
      </c>
      <c r="AD73" s="72">
        <v>297</v>
      </c>
      <c r="AE73" s="72">
        <v>290</v>
      </c>
      <c r="AF73" s="72">
        <v>272</v>
      </c>
      <c r="AG73" s="82"/>
      <c r="AH73" s="52">
        <f t="shared" si="2"/>
        <v>324</v>
      </c>
      <c r="AI73" s="53">
        <f t="shared" si="3"/>
        <v>220</v>
      </c>
      <c r="AK73" s="54"/>
    </row>
    <row r="74" spans="1:40" x14ac:dyDescent="0.25">
      <c r="A74" s="60" t="s">
        <v>78</v>
      </c>
      <c r="B74" s="72">
        <v>50</v>
      </c>
      <c r="C74" s="72">
        <v>50</v>
      </c>
      <c r="D74" s="72">
        <v>50</v>
      </c>
      <c r="E74" s="83">
        <v>50.4</v>
      </c>
      <c r="F74" s="83">
        <v>49.9</v>
      </c>
      <c r="G74" s="83">
        <v>49.9</v>
      </c>
      <c r="H74" s="83">
        <v>51.1</v>
      </c>
      <c r="I74" s="83">
        <v>55</v>
      </c>
      <c r="J74" s="83">
        <v>57.33</v>
      </c>
      <c r="K74" s="83">
        <v>58.2</v>
      </c>
      <c r="L74" s="83">
        <v>57.3</v>
      </c>
      <c r="M74" s="83">
        <v>56.6</v>
      </c>
      <c r="N74" s="83">
        <v>58.8</v>
      </c>
      <c r="O74" s="83">
        <v>50</v>
      </c>
      <c r="P74" s="83">
        <v>58</v>
      </c>
      <c r="Q74" s="83">
        <v>58.7</v>
      </c>
      <c r="R74" s="83">
        <v>56.8</v>
      </c>
      <c r="S74" s="83">
        <v>53.3</v>
      </c>
      <c r="T74" s="83">
        <v>56</v>
      </c>
      <c r="U74" s="83">
        <v>56</v>
      </c>
      <c r="V74" s="83">
        <v>54</v>
      </c>
      <c r="W74" s="83">
        <v>54</v>
      </c>
      <c r="X74" s="83">
        <v>54</v>
      </c>
      <c r="Y74" s="72">
        <v>56</v>
      </c>
      <c r="Z74" s="72">
        <v>56</v>
      </c>
      <c r="AA74" s="72">
        <v>57</v>
      </c>
      <c r="AB74" s="72">
        <v>58</v>
      </c>
      <c r="AC74" s="72">
        <v>57</v>
      </c>
      <c r="AD74" s="72">
        <v>57</v>
      </c>
      <c r="AE74" s="72">
        <v>51</v>
      </c>
      <c r="AF74" s="72">
        <v>53</v>
      </c>
      <c r="AG74" s="82"/>
      <c r="AH74" s="52">
        <f t="shared" si="2"/>
        <v>58.8</v>
      </c>
      <c r="AI74" s="53">
        <f t="shared" si="3"/>
        <v>49.9</v>
      </c>
      <c r="AK74" s="54"/>
    </row>
    <row r="75" spans="1:40" x14ac:dyDescent="0.25">
      <c r="A75" s="60" t="s">
        <v>79</v>
      </c>
      <c r="B75" s="50">
        <v>29.3</v>
      </c>
      <c r="C75" s="50">
        <v>29.3</v>
      </c>
      <c r="D75" s="50">
        <v>26.7</v>
      </c>
      <c r="E75" s="50">
        <v>24.4</v>
      </c>
      <c r="F75" s="50">
        <v>26</v>
      </c>
      <c r="G75" s="50">
        <v>25.4</v>
      </c>
      <c r="H75" s="50">
        <v>26.1</v>
      </c>
      <c r="I75" s="50">
        <v>23.3</v>
      </c>
      <c r="J75" s="50">
        <v>24.2</v>
      </c>
      <c r="K75" s="50">
        <v>26.1</v>
      </c>
      <c r="L75" s="50">
        <v>33</v>
      </c>
      <c r="M75" s="50">
        <v>32.799999999999997</v>
      </c>
      <c r="N75" s="50">
        <v>35.4</v>
      </c>
      <c r="O75" s="50">
        <v>33.200000000000003</v>
      </c>
      <c r="P75" s="50">
        <v>33.6</v>
      </c>
      <c r="Q75" s="50">
        <v>36.299999999999997</v>
      </c>
      <c r="R75" s="50">
        <v>34.4</v>
      </c>
      <c r="S75" s="50">
        <v>35.4</v>
      </c>
      <c r="T75" s="50">
        <v>35.4</v>
      </c>
      <c r="U75" s="50">
        <v>35.4</v>
      </c>
      <c r="V75" s="50">
        <v>27</v>
      </c>
      <c r="W75" s="50">
        <v>27</v>
      </c>
      <c r="X75" s="50">
        <v>27</v>
      </c>
      <c r="Y75" s="50">
        <v>25</v>
      </c>
      <c r="Z75" s="50">
        <v>25</v>
      </c>
      <c r="AA75" s="50">
        <v>24</v>
      </c>
      <c r="AB75" s="50">
        <v>25</v>
      </c>
      <c r="AC75" s="50">
        <v>25</v>
      </c>
      <c r="AD75" s="50">
        <v>25</v>
      </c>
      <c r="AE75" s="50">
        <v>25</v>
      </c>
      <c r="AF75" s="50">
        <v>28</v>
      </c>
      <c r="AG75" s="82"/>
      <c r="AH75" s="52">
        <f t="shared" ref="AH75:AH117" si="15">MAX(B75:AF75)</f>
        <v>36.299999999999997</v>
      </c>
      <c r="AI75" s="53">
        <f t="shared" ref="AI75:AI117" si="16">MIN(B75:AF75)</f>
        <v>23.3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5"/>
        <v>0</v>
      </c>
      <c r="AI76" s="53">
        <f t="shared" si="16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5"/>
        <v>0</v>
      </c>
      <c r="AI77" s="53">
        <f t="shared" si="16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5"/>
        <v>0</v>
      </c>
      <c r="AI78" s="53">
        <f t="shared" si="16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5"/>
        <v>0</v>
      </c>
      <c r="AI79" s="53">
        <f t="shared" si="16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5"/>
        <v>0</v>
      </c>
      <c r="AI80" s="53">
        <f t="shared" si="16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5"/>
        <v>0</v>
      </c>
      <c r="AI81" s="53">
        <f t="shared" si="16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7">SUMIF(B71:B81,"&gt;0")</f>
        <v>432.40000000000003</v>
      </c>
      <c r="C82" s="67">
        <f t="shared" si="17"/>
        <v>400.1</v>
      </c>
      <c r="D82" s="67">
        <f t="shared" si="17"/>
        <v>389.7</v>
      </c>
      <c r="E82" s="67">
        <f t="shared" si="17"/>
        <v>383.79999999999995</v>
      </c>
      <c r="F82" s="67">
        <f t="shared" si="17"/>
        <v>373.5</v>
      </c>
      <c r="G82" s="67">
        <f t="shared" si="17"/>
        <v>378.29999999999995</v>
      </c>
      <c r="H82" s="67">
        <f t="shared" si="17"/>
        <v>371.00000000000006</v>
      </c>
      <c r="I82" s="67">
        <f t="shared" si="17"/>
        <v>349.2</v>
      </c>
      <c r="J82" s="67">
        <f t="shared" si="17"/>
        <v>385.22999999999996</v>
      </c>
      <c r="K82" s="67">
        <f t="shared" si="17"/>
        <v>356.3</v>
      </c>
      <c r="L82" s="67">
        <f t="shared" si="17"/>
        <v>408.3</v>
      </c>
      <c r="M82" s="67">
        <f t="shared" si="17"/>
        <v>410.6</v>
      </c>
      <c r="N82" s="67">
        <f t="shared" si="17"/>
        <v>431.59999999999997</v>
      </c>
      <c r="O82" s="67">
        <f t="shared" si="17"/>
        <v>435</v>
      </c>
      <c r="P82" s="67">
        <f t="shared" si="17"/>
        <v>478.6</v>
      </c>
      <c r="Q82" s="67">
        <f t="shared" si="17"/>
        <v>454.3</v>
      </c>
      <c r="R82" s="67">
        <f t="shared" si="17"/>
        <v>432.4</v>
      </c>
      <c r="S82" s="67">
        <f t="shared" si="17"/>
        <v>459.09999999999997</v>
      </c>
      <c r="T82" s="67">
        <f t="shared" si="17"/>
        <v>455.4</v>
      </c>
      <c r="U82" s="67">
        <f t="shared" si="17"/>
        <v>434.4</v>
      </c>
      <c r="V82" s="67">
        <f t="shared" si="17"/>
        <v>417</v>
      </c>
      <c r="W82" s="67">
        <f t="shared" si="17"/>
        <v>426</v>
      </c>
      <c r="X82" s="67">
        <f t="shared" si="17"/>
        <v>427</v>
      </c>
      <c r="Y82" s="67">
        <f t="shared" si="17"/>
        <v>415</v>
      </c>
      <c r="Z82" s="67">
        <f t="shared" si="17"/>
        <v>415</v>
      </c>
      <c r="AA82" s="67">
        <f t="shared" si="17"/>
        <v>406</v>
      </c>
      <c r="AB82" s="67">
        <f t="shared" si="17"/>
        <v>415</v>
      </c>
      <c r="AC82" s="67">
        <f t="shared" si="17"/>
        <v>415</v>
      </c>
      <c r="AD82" s="67">
        <f t="shared" si="17"/>
        <v>429</v>
      </c>
      <c r="AE82" s="67">
        <f t="shared" si="17"/>
        <v>410</v>
      </c>
      <c r="AF82" s="67">
        <f t="shared" si="17"/>
        <v>400</v>
      </c>
      <c r="AG82" s="95">
        <f>SUM(AG71:AG81)</f>
        <v>0</v>
      </c>
      <c r="AH82" s="52">
        <f t="shared" si="15"/>
        <v>478.6</v>
      </c>
      <c r="AI82" s="53">
        <f t="shared" si="16"/>
        <v>349.2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5"/>
        <v>0</v>
      </c>
      <c r="AI83" s="53">
        <f t="shared" si="16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5"/>
        <v>0</v>
      </c>
      <c r="AI84" s="53">
        <f t="shared" si="16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5"/>
        <v>0</v>
      </c>
      <c r="AI85" s="53">
        <f t="shared" si="16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5"/>
        <v>0</v>
      </c>
      <c r="AI86" s="53">
        <f t="shared" si="16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8">B48+B52+B70+B66+B82+B86</f>
        <v>1053.8400000000001</v>
      </c>
      <c r="C87" s="102">
        <f t="shared" si="18"/>
        <v>1002.0400000000001</v>
      </c>
      <c r="D87" s="102">
        <f t="shared" si="18"/>
        <v>961.6400000000001</v>
      </c>
      <c r="E87" s="102">
        <f t="shared" si="18"/>
        <v>948.04</v>
      </c>
      <c r="F87" s="102">
        <f t="shared" si="18"/>
        <v>937.74</v>
      </c>
      <c r="G87" s="102">
        <f t="shared" si="18"/>
        <v>963.13999999999987</v>
      </c>
      <c r="H87" s="102">
        <f t="shared" si="18"/>
        <v>1016.9390000000001</v>
      </c>
      <c r="I87" s="102">
        <f t="shared" si="18"/>
        <v>1086.3399999999999</v>
      </c>
      <c r="J87" s="102">
        <f t="shared" si="18"/>
        <v>1159.57</v>
      </c>
      <c r="K87" s="102">
        <f t="shared" si="18"/>
        <v>1154.8400000000001</v>
      </c>
      <c r="L87" s="102">
        <f t="shared" si="18"/>
        <v>1193.54</v>
      </c>
      <c r="M87" s="102">
        <f t="shared" si="18"/>
        <v>1135.1400000000001</v>
      </c>
      <c r="N87" s="102">
        <f t="shared" si="18"/>
        <v>1142.74</v>
      </c>
      <c r="O87" s="102">
        <f t="shared" si="18"/>
        <v>1136.24</v>
      </c>
      <c r="P87" s="102">
        <f t="shared" si="18"/>
        <v>1240.44</v>
      </c>
      <c r="Q87" s="102">
        <f t="shared" si="18"/>
        <v>1268.8399999999999</v>
      </c>
      <c r="R87" s="102">
        <f t="shared" si="18"/>
        <v>1216.94</v>
      </c>
      <c r="S87" s="102">
        <f t="shared" si="18"/>
        <v>1259.04</v>
      </c>
      <c r="T87" s="102">
        <f t="shared" si="18"/>
        <v>1284.44</v>
      </c>
      <c r="U87" s="102">
        <f t="shared" si="18"/>
        <v>1300.1399999999999</v>
      </c>
      <c r="V87" s="102">
        <f t="shared" si="18"/>
        <v>1208.54</v>
      </c>
      <c r="W87" s="102">
        <f t="shared" si="18"/>
        <v>1190.44</v>
      </c>
      <c r="X87" s="102">
        <f t="shared" si="18"/>
        <v>1182.74</v>
      </c>
      <c r="Y87" s="102">
        <f t="shared" si="18"/>
        <v>1224.54</v>
      </c>
      <c r="Z87" s="102">
        <f t="shared" si="18"/>
        <v>1284.54</v>
      </c>
      <c r="AA87" s="102">
        <f t="shared" si="18"/>
        <v>1303.24</v>
      </c>
      <c r="AB87" s="102">
        <f t="shared" si="18"/>
        <v>1267.24</v>
      </c>
      <c r="AC87" s="102">
        <f t="shared" si="18"/>
        <v>1238.3399999999999</v>
      </c>
      <c r="AD87" s="102">
        <f t="shared" si="18"/>
        <v>1190.3399999999999</v>
      </c>
      <c r="AE87" s="102">
        <f t="shared" si="18"/>
        <v>1138.3399999999999</v>
      </c>
      <c r="AF87" s="102">
        <f t="shared" si="18"/>
        <v>1048.3399999999999</v>
      </c>
      <c r="AG87" s="68">
        <f t="shared" si="18"/>
        <v>2065.09</v>
      </c>
      <c r="AH87" s="52">
        <f>MAX(B87:AF87)</f>
        <v>1303.24</v>
      </c>
      <c r="AI87" s="53">
        <f>MIN(B87:AF87)</f>
        <v>937.74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100</v>
      </c>
      <c r="L88" s="104">
        <v>200</v>
      </c>
      <c r="M88" s="104">
        <v>200</v>
      </c>
      <c r="N88" s="104">
        <v>180</v>
      </c>
      <c r="O88" s="104"/>
      <c r="P88" s="104"/>
      <c r="Q88" s="104"/>
      <c r="R88" s="104"/>
      <c r="S88" s="104"/>
      <c r="T88" s="104"/>
      <c r="U88" s="104"/>
      <c r="V88" s="104"/>
      <c r="W88" s="104"/>
      <c r="X88" s="104">
        <v>150</v>
      </c>
      <c r="Y88" s="104">
        <v>150</v>
      </c>
      <c r="Z88" s="104">
        <v>150</v>
      </c>
      <c r="AA88" s="104">
        <v>150</v>
      </c>
      <c r="AB88" s="104">
        <v>150</v>
      </c>
      <c r="AC88" s="104">
        <v>100</v>
      </c>
      <c r="AD88" s="104">
        <v>100</v>
      </c>
      <c r="AE88" s="104">
        <v>0</v>
      </c>
      <c r="AF88" s="104">
        <v>0</v>
      </c>
      <c r="AG88" s="95"/>
      <c r="AH88" s="52">
        <f t="shared" si="15"/>
        <v>200</v>
      </c>
      <c r="AI88" s="53">
        <f t="shared" si="16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9">B87+B88</f>
        <v>1053.8400000000001</v>
      </c>
      <c r="C89" s="102">
        <f t="shared" si="19"/>
        <v>1002.0400000000001</v>
      </c>
      <c r="D89" s="102">
        <f t="shared" si="19"/>
        <v>961.6400000000001</v>
      </c>
      <c r="E89" s="102">
        <f t="shared" si="19"/>
        <v>948.04</v>
      </c>
      <c r="F89" s="102">
        <f t="shared" si="19"/>
        <v>937.74</v>
      </c>
      <c r="G89" s="102">
        <f t="shared" si="19"/>
        <v>963.13999999999987</v>
      </c>
      <c r="H89" s="102">
        <f t="shared" si="19"/>
        <v>1016.9390000000001</v>
      </c>
      <c r="I89" s="102">
        <f t="shared" si="19"/>
        <v>1086.3399999999999</v>
      </c>
      <c r="J89" s="102">
        <f t="shared" si="19"/>
        <v>1159.57</v>
      </c>
      <c r="K89" s="102">
        <f t="shared" si="19"/>
        <v>1254.8400000000001</v>
      </c>
      <c r="L89" s="102">
        <f t="shared" si="19"/>
        <v>1393.54</v>
      </c>
      <c r="M89" s="102">
        <f t="shared" si="19"/>
        <v>1335.14</v>
      </c>
      <c r="N89" s="102">
        <f t="shared" si="19"/>
        <v>1322.74</v>
      </c>
      <c r="O89" s="102">
        <f t="shared" si="19"/>
        <v>1136.24</v>
      </c>
      <c r="P89" s="102">
        <f t="shared" si="19"/>
        <v>1240.44</v>
      </c>
      <c r="Q89" s="102">
        <f t="shared" si="19"/>
        <v>1268.8399999999999</v>
      </c>
      <c r="R89" s="102">
        <f t="shared" si="19"/>
        <v>1216.94</v>
      </c>
      <c r="S89" s="102">
        <f t="shared" si="19"/>
        <v>1259.04</v>
      </c>
      <c r="T89" s="102">
        <f t="shared" si="19"/>
        <v>1284.44</v>
      </c>
      <c r="U89" s="102">
        <f t="shared" si="19"/>
        <v>1300.1399999999999</v>
      </c>
      <c r="V89" s="102">
        <f t="shared" si="19"/>
        <v>1208.54</v>
      </c>
      <c r="W89" s="102">
        <f t="shared" si="19"/>
        <v>1190.44</v>
      </c>
      <c r="X89" s="102">
        <f t="shared" si="19"/>
        <v>1332.74</v>
      </c>
      <c r="Y89" s="102">
        <f t="shared" si="19"/>
        <v>1374.54</v>
      </c>
      <c r="Z89" s="102">
        <f t="shared" si="19"/>
        <v>1434.54</v>
      </c>
      <c r="AA89" s="102">
        <f t="shared" si="19"/>
        <v>1453.24</v>
      </c>
      <c r="AB89" s="102">
        <f t="shared" si="19"/>
        <v>1417.24</v>
      </c>
      <c r="AC89" s="102">
        <f t="shared" si="19"/>
        <v>1338.34</v>
      </c>
      <c r="AD89" s="102">
        <f t="shared" si="19"/>
        <v>1290.3399999999999</v>
      </c>
      <c r="AE89" s="102">
        <f t="shared" si="19"/>
        <v>1138.3399999999999</v>
      </c>
      <c r="AF89" s="102">
        <f t="shared" si="19"/>
        <v>1048.3399999999999</v>
      </c>
      <c r="AG89" s="95">
        <f>AG86+AG82+AG70+AG66+AG48+AG88</f>
        <v>1526.99</v>
      </c>
      <c r="AH89" s="52">
        <f t="shared" si="15"/>
        <v>1453.24</v>
      </c>
      <c r="AI89" s="53">
        <f t="shared" si="16"/>
        <v>937.74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20">B89-B97</f>
        <v>1053.8400000000001</v>
      </c>
      <c r="C90" s="102">
        <f t="shared" si="20"/>
        <v>1002.0400000000001</v>
      </c>
      <c r="D90" s="102">
        <f t="shared" si="20"/>
        <v>961.6400000000001</v>
      </c>
      <c r="E90" s="102">
        <f t="shared" si="20"/>
        <v>948.04</v>
      </c>
      <c r="F90" s="102">
        <f t="shared" si="20"/>
        <v>937.74</v>
      </c>
      <c r="G90" s="102">
        <f t="shared" si="20"/>
        <v>963.13999999999987</v>
      </c>
      <c r="H90" s="102">
        <f t="shared" si="20"/>
        <v>1016.9390000000001</v>
      </c>
      <c r="I90" s="102">
        <f t="shared" si="20"/>
        <v>1086.3399999999999</v>
      </c>
      <c r="J90" s="102">
        <f t="shared" si="20"/>
        <v>1159.57</v>
      </c>
      <c r="K90" s="102">
        <f t="shared" si="20"/>
        <v>1254.8400000000001</v>
      </c>
      <c r="L90" s="102">
        <f t="shared" si="20"/>
        <v>1393.54</v>
      </c>
      <c r="M90" s="102">
        <f t="shared" si="20"/>
        <v>1335.14</v>
      </c>
      <c r="N90" s="102">
        <f t="shared" si="20"/>
        <v>1322.74</v>
      </c>
      <c r="O90" s="102">
        <f t="shared" si="20"/>
        <v>1136.24</v>
      </c>
      <c r="P90" s="102">
        <f t="shared" si="20"/>
        <v>1240.44</v>
      </c>
      <c r="Q90" s="102">
        <f t="shared" si="20"/>
        <v>1268.8399999999999</v>
      </c>
      <c r="R90" s="102">
        <f t="shared" si="20"/>
        <v>1216.94</v>
      </c>
      <c r="S90" s="102">
        <f t="shared" si="20"/>
        <v>1259.04</v>
      </c>
      <c r="T90" s="102">
        <f t="shared" si="20"/>
        <v>1284.44</v>
      </c>
      <c r="U90" s="102">
        <f t="shared" si="20"/>
        <v>1300.1399999999999</v>
      </c>
      <c r="V90" s="102">
        <f t="shared" si="20"/>
        <v>1208.54</v>
      </c>
      <c r="W90" s="102">
        <f t="shared" si="20"/>
        <v>1190.44</v>
      </c>
      <c r="X90" s="102">
        <f t="shared" si="20"/>
        <v>1332.74</v>
      </c>
      <c r="Y90" s="102">
        <f t="shared" si="20"/>
        <v>1374.54</v>
      </c>
      <c r="Z90" s="102">
        <f t="shared" si="20"/>
        <v>1434.54</v>
      </c>
      <c r="AA90" s="102">
        <f t="shared" si="20"/>
        <v>1453.24</v>
      </c>
      <c r="AB90" s="102">
        <f t="shared" si="20"/>
        <v>1417.24</v>
      </c>
      <c r="AC90" s="102">
        <f t="shared" si="20"/>
        <v>1338.34</v>
      </c>
      <c r="AD90" s="102">
        <f t="shared" si="20"/>
        <v>1290.3399999999999</v>
      </c>
      <c r="AE90" s="102">
        <f t="shared" si="20"/>
        <v>1138.3399999999999</v>
      </c>
      <c r="AF90" s="102">
        <f t="shared" si="20"/>
        <v>1048.3399999999999</v>
      </c>
      <c r="AG90" s="95"/>
      <c r="AH90" s="52">
        <f t="shared" si="15"/>
        <v>1453.24</v>
      </c>
      <c r="AI90" s="53">
        <f t="shared" si="16"/>
        <v>937.74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5"/>
        <v>0</v>
      </c>
      <c r="AI91" s="53">
        <f t="shared" si="16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5"/>
        <v>0</v>
      </c>
      <c r="AI92" s="53">
        <f t="shared" si="16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5"/>
        <v>0</v>
      </c>
      <c r="AI93" s="53">
        <f t="shared" si="16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5"/>
        <v>0</v>
      </c>
      <c r="AI94" s="53">
        <f t="shared" si="16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5"/>
        <v>0</v>
      </c>
      <c r="AI95" s="53">
        <f t="shared" si="16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5"/>
        <v>0</v>
      </c>
      <c r="AI96" s="53">
        <f t="shared" si="16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5"/>
        <v>0</v>
      </c>
      <c r="AI97" s="53">
        <f t="shared" si="16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1">B82-B97</f>
        <v>432.40000000000003</v>
      </c>
      <c r="C98" s="67">
        <f t="shared" si="21"/>
        <v>400.1</v>
      </c>
      <c r="D98" s="67">
        <f t="shared" si="21"/>
        <v>389.7</v>
      </c>
      <c r="E98" s="67">
        <f t="shared" si="21"/>
        <v>383.79999999999995</v>
      </c>
      <c r="F98" s="67">
        <f t="shared" si="21"/>
        <v>373.5</v>
      </c>
      <c r="G98" s="67">
        <f t="shared" si="21"/>
        <v>378.29999999999995</v>
      </c>
      <c r="H98" s="67">
        <f t="shared" si="21"/>
        <v>371.00000000000006</v>
      </c>
      <c r="I98" s="67">
        <f t="shared" si="21"/>
        <v>349.2</v>
      </c>
      <c r="J98" s="67">
        <f t="shared" si="21"/>
        <v>385.22999999999996</v>
      </c>
      <c r="K98" s="67">
        <f t="shared" si="21"/>
        <v>356.3</v>
      </c>
      <c r="L98" s="67">
        <f t="shared" si="21"/>
        <v>408.3</v>
      </c>
      <c r="M98" s="67">
        <f t="shared" si="21"/>
        <v>410.6</v>
      </c>
      <c r="N98" s="67">
        <f t="shared" si="21"/>
        <v>431.59999999999997</v>
      </c>
      <c r="O98" s="67">
        <f t="shared" si="21"/>
        <v>435</v>
      </c>
      <c r="P98" s="67">
        <f t="shared" si="21"/>
        <v>478.6</v>
      </c>
      <c r="Q98" s="67">
        <f t="shared" si="21"/>
        <v>454.3</v>
      </c>
      <c r="R98" s="67">
        <f t="shared" si="21"/>
        <v>432.4</v>
      </c>
      <c r="S98" s="67">
        <f t="shared" si="21"/>
        <v>459.09999999999997</v>
      </c>
      <c r="T98" s="67">
        <f t="shared" si="21"/>
        <v>455.4</v>
      </c>
      <c r="U98" s="67">
        <f t="shared" si="21"/>
        <v>434.4</v>
      </c>
      <c r="V98" s="67">
        <f t="shared" si="21"/>
        <v>417</v>
      </c>
      <c r="W98" s="67">
        <f t="shared" si="21"/>
        <v>426</v>
      </c>
      <c r="X98" s="67">
        <f t="shared" si="21"/>
        <v>427</v>
      </c>
      <c r="Y98" s="67">
        <f t="shared" si="21"/>
        <v>415</v>
      </c>
      <c r="Z98" s="67">
        <f t="shared" si="21"/>
        <v>415</v>
      </c>
      <c r="AA98" s="67">
        <f t="shared" si="21"/>
        <v>406</v>
      </c>
      <c r="AB98" s="67">
        <f t="shared" si="21"/>
        <v>415</v>
      </c>
      <c r="AC98" s="67">
        <f t="shared" si="21"/>
        <v>415</v>
      </c>
      <c r="AD98" s="67">
        <f t="shared" si="21"/>
        <v>429</v>
      </c>
      <c r="AE98" s="67">
        <f t="shared" si="21"/>
        <v>410</v>
      </c>
      <c r="AF98" s="67">
        <f t="shared" si="21"/>
        <v>400</v>
      </c>
      <c r="AG98" s="95"/>
      <c r="AH98" s="52">
        <f t="shared" si="15"/>
        <v>478.6</v>
      </c>
      <c r="AI98" s="53">
        <f t="shared" si="16"/>
        <v>349.2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49.828000000000003</v>
      </c>
      <c r="C99" s="108">
        <v>49.975999999999999</v>
      </c>
      <c r="D99" s="108">
        <v>49.935000000000002</v>
      </c>
      <c r="E99" s="108">
        <v>49.997999999999998</v>
      </c>
      <c r="F99" s="108">
        <v>50.067</v>
      </c>
      <c r="G99" s="108">
        <v>49.994999999999997</v>
      </c>
      <c r="H99" s="108">
        <v>50.015000000000001</v>
      </c>
      <c r="I99" s="108">
        <v>49.966999999999999</v>
      </c>
      <c r="J99" s="108">
        <v>49.837000000000003</v>
      </c>
      <c r="K99" s="108">
        <v>50.045000000000002</v>
      </c>
      <c r="L99" s="108">
        <v>50.036999999999999</v>
      </c>
      <c r="M99" s="108">
        <v>49.908000000000001</v>
      </c>
      <c r="N99" s="108">
        <v>49.999000000000002</v>
      </c>
      <c r="O99" s="108">
        <v>50.003999999999998</v>
      </c>
      <c r="P99" s="108">
        <v>49.988999999999997</v>
      </c>
      <c r="Q99" s="108">
        <v>50.03</v>
      </c>
      <c r="R99" s="108">
        <v>50.005000000000003</v>
      </c>
      <c r="S99" s="108">
        <v>50.067999999999998</v>
      </c>
      <c r="T99" s="108">
        <v>49.980800000000002</v>
      </c>
      <c r="U99" s="108">
        <v>49.980800000000002</v>
      </c>
      <c r="V99" s="108">
        <v>50.008000000000003</v>
      </c>
      <c r="W99" s="108">
        <v>50.008000000000003</v>
      </c>
      <c r="X99" s="108">
        <v>49.942</v>
      </c>
      <c r="Y99" s="108">
        <v>50.113</v>
      </c>
      <c r="Z99" s="108">
        <v>50.1</v>
      </c>
      <c r="AA99" s="108">
        <v>49.976999999999997</v>
      </c>
      <c r="AB99" s="108">
        <v>50.01</v>
      </c>
      <c r="AC99" s="108">
        <v>49.9</v>
      </c>
      <c r="AD99" s="108">
        <v>49.95</v>
      </c>
      <c r="AE99" s="108">
        <v>50.04</v>
      </c>
      <c r="AF99" s="108">
        <v>49.96</v>
      </c>
      <c r="AG99" s="109"/>
      <c r="AH99" s="52">
        <f t="shared" si="15"/>
        <v>50.113</v>
      </c>
      <c r="AI99" s="53">
        <f t="shared" si="16"/>
        <v>49.828000000000003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125.2</v>
      </c>
      <c r="C100" s="72">
        <v>127.1</v>
      </c>
      <c r="D100" s="72">
        <v>127.9</v>
      </c>
      <c r="E100" s="72">
        <v>125.9</v>
      </c>
      <c r="F100" s="72">
        <v>127.8</v>
      </c>
      <c r="G100" s="72">
        <v>127.3</v>
      </c>
      <c r="H100" s="72">
        <v>127.8</v>
      </c>
      <c r="I100" s="72">
        <v>126.4</v>
      </c>
      <c r="J100" s="72">
        <v>125</v>
      </c>
      <c r="K100" s="72">
        <v>127.7</v>
      </c>
      <c r="L100" s="72">
        <v>124.6</v>
      </c>
      <c r="M100" s="72">
        <v>125.8</v>
      </c>
      <c r="N100" s="72">
        <v>126</v>
      </c>
      <c r="O100" s="72">
        <v>125.8</v>
      </c>
      <c r="P100" s="72">
        <v>123.1</v>
      </c>
      <c r="Q100" s="72">
        <v>127.4</v>
      </c>
      <c r="R100" s="72">
        <v>125.8</v>
      </c>
      <c r="S100" s="72">
        <v>125.5</v>
      </c>
      <c r="T100" s="72">
        <v>128</v>
      </c>
      <c r="U100" s="72">
        <v>128</v>
      </c>
      <c r="V100" s="72">
        <v>125</v>
      </c>
      <c r="W100" s="72">
        <v>125</v>
      </c>
      <c r="X100" s="72">
        <v>125</v>
      </c>
      <c r="Y100" s="72">
        <v>128</v>
      </c>
      <c r="Z100" s="72">
        <v>127</v>
      </c>
      <c r="AA100" s="72">
        <v>127</v>
      </c>
      <c r="AB100" s="72">
        <v>128.6</v>
      </c>
      <c r="AC100" s="72">
        <v>128.6</v>
      </c>
      <c r="AD100" s="72">
        <v>128.6</v>
      </c>
      <c r="AE100" s="72">
        <v>127</v>
      </c>
      <c r="AF100" s="72">
        <v>127.5</v>
      </c>
      <c r="AG100" s="111"/>
      <c r="AH100" s="52">
        <f t="shared" si="15"/>
        <v>128.6</v>
      </c>
      <c r="AI100" s="53">
        <f t="shared" si="16"/>
        <v>123.1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129.69999999999999</v>
      </c>
      <c r="C101" s="72">
        <v>131.5</v>
      </c>
      <c r="D101" s="72">
        <v>132.1</v>
      </c>
      <c r="E101" s="72">
        <v>130.4</v>
      </c>
      <c r="F101" s="72">
        <v>132</v>
      </c>
      <c r="G101" s="72">
        <v>131.1</v>
      </c>
      <c r="H101" s="72">
        <v>131.4</v>
      </c>
      <c r="I101" s="72">
        <v>130</v>
      </c>
      <c r="J101" s="72">
        <v>128.5</v>
      </c>
      <c r="K101" s="72">
        <v>129</v>
      </c>
      <c r="L101" s="72">
        <v>126.2</v>
      </c>
      <c r="M101" s="72">
        <v>127.3</v>
      </c>
      <c r="N101" s="72">
        <v>127.9</v>
      </c>
      <c r="O101" s="72">
        <v>127.9</v>
      </c>
      <c r="P101" s="72">
        <v>127</v>
      </c>
      <c r="Q101" s="72">
        <v>130.4</v>
      </c>
      <c r="R101" s="72">
        <v>128.9</v>
      </c>
      <c r="S101" s="72">
        <v>128.69999999999999</v>
      </c>
      <c r="T101" s="72">
        <v>130</v>
      </c>
      <c r="U101" s="72">
        <v>130</v>
      </c>
      <c r="V101" s="72">
        <v>129</v>
      </c>
      <c r="W101" s="72">
        <v>129</v>
      </c>
      <c r="X101" s="72">
        <v>129</v>
      </c>
      <c r="Y101" s="72">
        <v>123</v>
      </c>
      <c r="Z101" s="72">
        <v>130</v>
      </c>
      <c r="AA101" s="72">
        <v>130</v>
      </c>
      <c r="AB101" s="72">
        <v>131</v>
      </c>
      <c r="AC101" s="72">
        <v>131</v>
      </c>
      <c r="AD101" s="72">
        <v>131</v>
      </c>
      <c r="AE101" s="72">
        <v>131</v>
      </c>
      <c r="AF101" s="72">
        <v>132</v>
      </c>
      <c r="AG101" s="111"/>
      <c r="AH101" s="52">
        <f t="shared" si="15"/>
        <v>132.1</v>
      </c>
      <c r="AI101" s="53">
        <f t="shared" si="16"/>
        <v>123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131.4</v>
      </c>
      <c r="C102" s="72">
        <v>132.69999999999999</v>
      </c>
      <c r="D102" s="72">
        <v>131.9</v>
      </c>
      <c r="E102" s="72">
        <v>131.19999999999999</v>
      </c>
      <c r="F102" s="72">
        <v>132</v>
      </c>
      <c r="G102" s="72">
        <v>131.4</v>
      </c>
      <c r="H102" s="72">
        <v>129.30000000000001</v>
      </c>
      <c r="I102" s="72">
        <v>129.30000000000001</v>
      </c>
      <c r="J102" s="72">
        <v>128.69999999999999</v>
      </c>
      <c r="K102" s="72">
        <v>127.7</v>
      </c>
      <c r="L102" s="72">
        <v>130.9</v>
      </c>
      <c r="M102" s="72">
        <v>129.30000000000001</v>
      </c>
      <c r="N102" s="72">
        <v>128.5</v>
      </c>
      <c r="O102" s="72">
        <v>128.30000000000001</v>
      </c>
      <c r="P102" s="72">
        <v>128.80000000000001</v>
      </c>
      <c r="Q102" s="72">
        <v>132.6</v>
      </c>
      <c r="R102" s="72">
        <v>131.4</v>
      </c>
      <c r="S102" s="72">
        <v>129.9</v>
      </c>
      <c r="T102" s="72">
        <v>128</v>
      </c>
      <c r="U102" s="72">
        <v>128</v>
      </c>
      <c r="V102" s="72">
        <v>131</v>
      </c>
      <c r="W102" s="72">
        <v>131</v>
      </c>
      <c r="X102" s="72">
        <v>131</v>
      </c>
      <c r="Y102" s="72">
        <v>131</v>
      </c>
      <c r="Z102" s="72">
        <v>130</v>
      </c>
      <c r="AA102" s="72">
        <v>130</v>
      </c>
      <c r="AB102" s="72">
        <v>130.6</v>
      </c>
      <c r="AC102" s="72">
        <v>130.6</v>
      </c>
      <c r="AD102" s="72">
        <v>130.6</v>
      </c>
      <c r="AE102" s="72">
        <v>129</v>
      </c>
      <c r="AF102" s="72">
        <v>131</v>
      </c>
      <c r="AG102" s="111"/>
      <c r="AH102" s="52">
        <f t="shared" si="15"/>
        <v>132.69999999999999</v>
      </c>
      <c r="AI102" s="53">
        <f t="shared" si="16"/>
        <v>127.7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5"/>
        <v>0</v>
      </c>
      <c r="AI103" s="53">
        <f t="shared" si="16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130.6</v>
      </c>
      <c r="C104" s="113">
        <v>134.1</v>
      </c>
      <c r="D104" s="113">
        <v>133.80000000000001</v>
      </c>
      <c r="E104" s="113">
        <v>129.9</v>
      </c>
      <c r="F104" s="113">
        <v>132.69999999999999</v>
      </c>
      <c r="G104" s="113">
        <v>131.69999999999999</v>
      </c>
      <c r="H104" s="113">
        <v>134.5</v>
      </c>
      <c r="I104" s="113">
        <v>130.9</v>
      </c>
      <c r="J104" s="113">
        <v>132.4</v>
      </c>
      <c r="K104" s="113">
        <v>135.30000000000001</v>
      </c>
      <c r="L104" s="113">
        <v>130</v>
      </c>
      <c r="M104" s="113">
        <v>133.69999999999999</v>
      </c>
      <c r="N104" s="113">
        <v>132.9</v>
      </c>
      <c r="O104" s="113">
        <v>132.4</v>
      </c>
      <c r="P104" s="113">
        <v>133.5</v>
      </c>
      <c r="Q104" s="113">
        <v>136.19999999999999</v>
      </c>
      <c r="R104" s="113">
        <v>132.9</v>
      </c>
      <c r="S104" s="113">
        <v>133.69999999999999</v>
      </c>
      <c r="T104" s="113">
        <v>1345</v>
      </c>
      <c r="U104" s="113">
        <v>1345</v>
      </c>
      <c r="V104" s="113">
        <v>134</v>
      </c>
      <c r="W104" s="113">
        <v>134</v>
      </c>
      <c r="X104" s="113">
        <v>134</v>
      </c>
      <c r="Y104" s="113">
        <v>136</v>
      </c>
      <c r="Z104" s="113">
        <v>132</v>
      </c>
      <c r="AA104" s="113">
        <v>132</v>
      </c>
      <c r="AB104" s="113">
        <v>135</v>
      </c>
      <c r="AC104" s="113">
        <v>135</v>
      </c>
      <c r="AD104" s="113">
        <v>135</v>
      </c>
      <c r="AE104" s="113">
        <v>134</v>
      </c>
      <c r="AF104" s="113">
        <v>133</v>
      </c>
      <c r="AG104" s="114"/>
      <c r="AH104" s="52">
        <f t="shared" si="15"/>
        <v>1345</v>
      </c>
      <c r="AI104" s="53">
        <f t="shared" si="16"/>
        <v>129.9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128</v>
      </c>
      <c r="C105" s="72">
        <v>129.19999999999999</v>
      </c>
      <c r="D105" s="72">
        <v>129</v>
      </c>
      <c r="E105" s="72">
        <v>134.5</v>
      </c>
      <c r="F105" s="72">
        <v>132.1</v>
      </c>
      <c r="G105" s="72">
        <v>128.30000000000001</v>
      </c>
      <c r="H105" s="72">
        <v>132.1</v>
      </c>
      <c r="I105" s="72">
        <v>132.6</v>
      </c>
      <c r="J105" s="72">
        <v>129.6</v>
      </c>
      <c r="K105" s="72">
        <v>126.7</v>
      </c>
      <c r="L105" s="72">
        <v>133.6</v>
      </c>
      <c r="M105" s="72">
        <v>131.5</v>
      </c>
      <c r="N105" s="72">
        <v>129.30000000000001</v>
      </c>
      <c r="O105" s="72">
        <v>125.4</v>
      </c>
      <c r="P105" s="72">
        <v>134.4</v>
      </c>
      <c r="Q105" s="72">
        <v>124.1</v>
      </c>
      <c r="R105" s="72">
        <v>130.19999999999999</v>
      </c>
      <c r="S105" s="72">
        <v>130.4</v>
      </c>
      <c r="T105" s="72">
        <v>126</v>
      </c>
      <c r="U105" s="72">
        <v>126</v>
      </c>
      <c r="V105" s="72">
        <v>129</v>
      </c>
      <c r="W105" s="72">
        <v>129</v>
      </c>
      <c r="X105" s="72">
        <v>129</v>
      </c>
      <c r="Y105" s="72">
        <v>132</v>
      </c>
      <c r="Z105" s="72">
        <v>129</v>
      </c>
      <c r="AA105" s="72">
        <v>129</v>
      </c>
      <c r="AB105" s="72">
        <v>133</v>
      </c>
      <c r="AC105" s="72">
        <v>133</v>
      </c>
      <c r="AD105" s="72">
        <v>133</v>
      </c>
      <c r="AE105" s="72">
        <v>134</v>
      </c>
      <c r="AF105" s="72">
        <v>131</v>
      </c>
      <c r="AG105" s="111"/>
      <c r="AH105" s="52">
        <f t="shared" si="15"/>
        <v>134.5</v>
      </c>
      <c r="AI105" s="53">
        <f t="shared" si="16"/>
        <v>124.1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65.2</v>
      </c>
      <c r="C106" s="99">
        <v>66.099999999999994</v>
      </c>
      <c r="D106" s="99">
        <v>66.2</v>
      </c>
      <c r="E106" s="99">
        <v>65.599999999999994</v>
      </c>
      <c r="F106" s="99">
        <v>66.2</v>
      </c>
      <c r="G106" s="99">
        <v>65.599999999999994</v>
      </c>
      <c r="H106" s="99">
        <v>66</v>
      </c>
      <c r="I106" s="99">
        <v>64.900000000000006</v>
      </c>
      <c r="J106" s="99">
        <v>64.2</v>
      </c>
      <c r="K106" s="99">
        <v>65</v>
      </c>
      <c r="L106" s="99">
        <v>62.8</v>
      </c>
      <c r="M106" s="99">
        <v>63.8</v>
      </c>
      <c r="N106" s="99">
        <v>64.099999999999994</v>
      </c>
      <c r="O106" s="99">
        <v>64.400000000000006</v>
      </c>
      <c r="P106" s="99">
        <v>63.8</v>
      </c>
      <c r="Q106" s="99">
        <v>65</v>
      </c>
      <c r="R106" s="99">
        <v>64.900000000000006</v>
      </c>
      <c r="S106" s="99">
        <v>64.3</v>
      </c>
      <c r="T106" s="99">
        <v>65</v>
      </c>
      <c r="U106" s="99">
        <v>65</v>
      </c>
      <c r="V106" s="99">
        <v>64</v>
      </c>
      <c r="W106" s="99">
        <v>64</v>
      </c>
      <c r="X106" s="99">
        <v>64</v>
      </c>
      <c r="Y106" s="99">
        <v>66</v>
      </c>
      <c r="Z106" s="99">
        <v>65</v>
      </c>
      <c r="AA106" s="99">
        <v>65</v>
      </c>
      <c r="AB106" s="99">
        <v>65.8</v>
      </c>
      <c r="AC106" s="99">
        <v>65.8</v>
      </c>
      <c r="AD106" s="99">
        <v>65.8</v>
      </c>
      <c r="AE106" s="99">
        <v>65.8</v>
      </c>
      <c r="AF106" s="99">
        <v>66.099999999999994</v>
      </c>
      <c r="AG106" s="115"/>
      <c r="AH106" s="52">
        <f t="shared" si="15"/>
        <v>66.2</v>
      </c>
      <c r="AI106" s="53">
        <f t="shared" si="16"/>
        <v>62.8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5"/>
        <v>0</v>
      </c>
      <c r="AI107" s="53">
        <f t="shared" si="16"/>
        <v>0</v>
      </c>
    </row>
    <row r="108" spans="1:88" ht="15.75" thickBot="1" x14ac:dyDescent="0.3">
      <c r="A108" s="117" t="s">
        <v>112</v>
      </c>
      <c r="B108" s="118">
        <f t="shared" ref="B108:AF108" si="22">SUM(B18,B24,B27:B28,B56,B58:B59,B61,B63,B109:B113,B135,B141,B147,B156,B158,B170,B177,B180:B181,B188,B190,B192,B196:B198,B200:B202,B207,B213:B214,B216:B218,B226,B231)</f>
        <v>109.2</v>
      </c>
      <c r="C108" s="118">
        <f t="shared" si="22"/>
        <v>102.24000000000001</v>
      </c>
      <c r="D108" s="118">
        <f t="shared" si="22"/>
        <v>75.040000000000006</v>
      </c>
      <c r="E108" s="118">
        <f t="shared" si="22"/>
        <v>78.239999999999981</v>
      </c>
      <c r="F108" s="118">
        <f t="shared" si="22"/>
        <v>84.240000000000009</v>
      </c>
      <c r="G108" s="118">
        <f t="shared" si="22"/>
        <v>101.23999999999998</v>
      </c>
      <c r="H108" s="118">
        <f t="shared" si="22"/>
        <v>129.13900000000001</v>
      </c>
      <c r="I108" s="118">
        <f t="shared" si="22"/>
        <v>180.54000000000002</v>
      </c>
      <c r="J108" s="118">
        <f t="shared" si="22"/>
        <v>206.94</v>
      </c>
      <c r="K108" s="118">
        <f t="shared" si="22"/>
        <v>244.54</v>
      </c>
      <c r="L108" s="118">
        <f t="shared" si="22"/>
        <v>269.54000000000002</v>
      </c>
      <c r="M108" s="118">
        <f t="shared" si="22"/>
        <v>300.54000000000002</v>
      </c>
      <c r="N108" s="118">
        <f t="shared" si="22"/>
        <v>280.14</v>
      </c>
      <c r="O108" s="118">
        <f t="shared" si="22"/>
        <v>282.54000000000002</v>
      </c>
      <c r="P108" s="118">
        <v>42</v>
      </c>
      <c r="Q108" s="118">
        <f t="shared" si="22"/>
        <v>259.79999999999995</v>
      </c>
      <c r="R108" s="118">
        <f t="shared" si="22"/>
        <v>235.60000000000002</v>
      </c>
      <c r="S108" s="118">
        <f t="shared" si="22"/>
        <v>260.5</v>
      </c>
      <c r="T108" s="118">
        <f t="shared" si="22"/>
        <v>278.60000000000002</v>
      </c>
      <c r="U108" s="118">
        <f t="shared" si="22"/>
        <v>270.10000000000002</v>
      </c>
      <c r="V108" s="118">
        <f t="shared" si="22"/>
        <v>259.89999999999998</v>
      </c>
      <c r="W108" s="118">
        <f t="shared" si="22"/>
        <v>247.8</v>
      </c>
      <c r="X108" s="118">
        <f t="shared" si="22"/>
        <v>275.8</v>
      </c>
      <c r="Y108" s="118">
        <f t="shared" si="22"/>
        <v>286.8</v>
      </c>
      <c r="Z108" s="118">
        <f t="shared" si="22"/>
        <v>357.8</v>
      </c>
      <c r="AA108" s="118">
        <f t="shared" si="22"/>
        <v>326</v>
      </c>
      <c r="AB108" s="118">
        <f t="shared" si="22"/>
        <v>261</v>
      </c>
      <c r="AC108" s="118">
        <f t="shared" si="22"/>
        <v>261</v>
      </c>
      <c r="AD108" s="118">
        <f t="shared" si="22"/>
        <v>234</v>
      </c>
      <c r="AE108" s="118">
        <f t="shared" si="22"/>
        <v>168</v>
      </c>
      <c r="AF108" s="118">
        <f t="shared" si="22"/>
        <v>136</v>
      </c>
      <c r="AG108" s="119"/>
      <c r="AH108" s="52">
        <f t="shared" si="15"/>
        <v>357.8</v>
      </c>
      <c r="AI108" s="53">
        <f t="shared" si="16"/>
        <v>42</v>
      </c>
    </row>
    <row r="109" spans="1:88" x14ac:dyDescent="0.25">
      <c r="A109" s="107" t="s">
        <v>113</v>
      </c>
      <c r="B109" s="120">
        <v>-16.7</v>
      </c>
      <c r="C109" s="120">
        <v>-16</v>
      </c>
      <c r="D109" s="120">
        <v>-16.5</v>
      </c>
      <c r="E109" s="120">
        <v>-26.9</v>
      </c>
      <c r="F109" s="120">
        <v>-26</v>
      </c>
      <c r="G109" s="120">
        <v>-23.9</v>
      </c>
      <c r="H109" s="120">
        <v>-12</v>
      </c>
      <c r="I109" s="120">
        <v>-5.8</v>
      </c>
      <c r="J109" s="120">
        <v>-1.1000000000000001</v>
      </c>
      <c r="K109" s="120">
        <v>10</v>
      </c>
      <c r="L109" s="120">
        <v>6.1</v>
      </c>
      <c r="M109" s="120">
        <v>13.4</v>
      </c>
      <c r="N109" s="120">
        <v>15.1</v>
      </c>
      <c r="O109" s="120">
        <v>17.399999999999999</v>
      </c>
      <c r="P109" s="120">
        <v>18.2</v>
      </c>
      <c r="Q109" s="120">
        <v>9.1999999999999993</v>
      </c>
      <c r="R109" s="120">
        <v>9.9</v>
      </c>
      <c r="S109" s="120">
        <v>13.6</v>
      </c>
      <c r="T109" s="120">
        <v>18</v>
      </c>
      <c r="U109" s="120">
        <v>14</v>
      </c>
      <c r="V109" s="120">
        <v>21</v>
      </c>
      <c r="W109" s="120">
        <v>17</v>
      </c>
      <c r="X109" s="120">
        <v>23</v>
      </c>
      <c r="Y109" s="120">
        <v>23</v>
      </c>
      <c r="Z109" s="120">
        <v>25</v>
      </c>
      <c r="AA109" s="120">
        <v>26</v>
      </c>
      <c r="AB109" s="120">
        <v>21</v>
      </c>
      <c r="AC109" s="120">
        <v>21</v>
      </c>
      <c r="AD109" s="120">
        <v>20</v>
      </c>
      <c r="AE109" s="120">
        <v>15</v>
      </c>
      <c r="AF109" s="120">
        <v>3</v>
      </c>
      <c r="AG109" s="121">
        <v>75</v>
      </c>
      <c r="AH109" s="52">
        <f t="shared" si="15"/>
        <v>26</v>
      </c>
      <c r="AI109" s="53">
        <f t="shared" si="16"/>
        <v>-26.9</v>
      </c>
    </row>
    <row r="110" spans="1:88" x14ac:dyDescent="0.25">
      <c r="A110" s="110" t="s">
        <v>114</v>
      </c>
      <c r="B110" s="186">
        <v>-19</v>
      </c>
      <c r="C110" s="186">
        <v>-18.399999999999999</v>
      </c>
      <c r="D110" s="186">
        <v>-20</v>
      </c>
      <c r="E110" s="186">
        <v>-31.2</v>
      </c>
      <c r="F110" s="186">
        <v>-31.8</v>
      </c>
      <c r="G110" s="186">
        <v>-28.9</v>
      </c>
      <c r="H110" s="186">
        <v>-15.3</v>
      </c>
      <c r="I110" s="186">
        <v>-5.6</v>
      </c>
      <c r="J110" s="186">
        <v>0</v>
      </c>
      <c r="K110" s="186">
        <v>13.6</v>
      </c>
      <c r="L110" s="186">
        <v>3.8</v>
      </c>
      <c r="M110" s="186">
        <v>12.8</v>
      </c>
      <c r="N110" s="186">
        <v>15.1</v>
      </c>
      <c r="O110" s="186">
        <v>19.8</v>
      </c>
      <c r="P110" s="186">
        <v>24.6</v>
      </c>
      <c r="Q110" s="186">
        <v>16.7</v>
      </c>
      <c r="R110" s="186">
        <v>19.100000000000001</v>
      </c>
      <c r="S110" s="186">
        <v>22.9</v>
      </c>
      <c r="T110" s="186">
        <v>29</v>
      </c>
      <c r="U110" s="186">
        <v>20</v>
      </c>
      <c r="V110" s="186">
        <v>26</v>
      </c>
      <c r="W110" s="186">
        <v>26</v>
      </c>
      <c r="X110" s="186">
        <v>31</v>
      </c>
      <c r="Y110" s="186">
        <v>30</v>
      </c>
      <c r="Z110" s="186">
        <v>31</v>
      </c>
      <c r="AA110" s="186">
        <v>32</v>
      </c>
      <c r="AB110" s="186">
        <v>27</v>
      </c>
      <c r="AC110" s="186">
        <v>27</v>
      </c>
      <c r="AD110" s="186">
        <v>16</v>
      </c>
      <c r="AE110" s="186">
        <v>12</v>
      </c>
      <c r="AF110" s="186">
        <v>0</v>
      </c>
      <c r="AG110" s="121">
        <v>240</v>
      </c>
      <c r="AH110" s="52">
        <f t="shared" si="15"/>
        <v>32</v>
      </c>
      <c r="AI110" s="53">
        <f t="shared" si="16"/>
        <v>-31.8</v>
      </c>
    </row>
    <row r="111" spans="1:88" x14ac:dyDescent="0.25">
      <c r="A111" s="110" t="s">
        <v>115</v>
      </c>
      <c r="B111" s="186">
        <v>-46</v>
      </c>
      <c r="C111" s="186">
        <v>-47</v>
      </c>
      <c r="D111" s="186">
        <v>-69</v>
      </c>
      <c r="E111" s="186">
        <v>-59.2</v>
      </c>
      <c r="F111" s="186">
        <v>-52.3</v>
      </c>
      <c r="G111" s="186">
        <v>-49.5</v>
      </c>
      <c r="H111" s="186">
        <v>-42.5</v>
      </c>
      <c r="I111" s="186">
        <v>-32.799999999999997</v>
      </c>
      <c r="J111" s="186">
        <v>-22.5</v>
      </c>
      <c r="K111" s="186">
        <v>-3.6</v>
      </c>
      <c r="L111" s="186">
        <v>35.799999999999997</v>
      </c>
      <c r="M111" s="186">
        <v>39.5</v>
      </c>
      <c r="N111" s="186">
        <v>31.4</v>
      </c>
      <c r="O111" s="186">
        <v>17</v>
      </c>
      <c r="P111" s="186">
        <v>-12</v>
      </c>
      <c r="Q111" s="186">
        <f>-2.6-7.7</f>
        <v>-10.3</v>
      </c>
      <c r="R111" s="186">
        <v>-28</v>
      </c>
      <c r="S111" s="186">
        <v>-10</v>
      </c>
      <c r="T111" s="186">
        <v>14</v>
      </c>
      <c r="U111" s="186">
        <v>0</v>
      </c>
      <c r="V111" s="186">
        <v>-5</v>
      </c>
      <c r="W111" s="186">
        <v>-8</v>
      </c>
      <c r="X111" s="186">
        <v>14</v>
      </c>
      <c r="Y111" s="186">
        <v>16</v>
      </c>
      <c r="Z111" s="186">
        <v>50</v>
      </c>
      <c r="AA111" s="186">
        <v>35</v>
      </c>
      <c r="AB111" s="186">
        <v>2</v>
      </c>
      <c r="AC111" s="186">
        <v>2</v>
      </c>
      <c r="AD111" s="186">
        <v>-2</v>
      </c>
      <c r="AE111" s="186">
        <v>-45</v>
      </c>
      <c r="AF111" s="186">
        <v>-47</v>
      </c>
      <c r="AG111" s="121">
        <v>240</v>
      </c>
      <c r="AH111" s="52">
        <f t="shared" si="15"/>
        <v>50</v>
      </c>
      <c r="AI111" s="53">
        <f t="shared" si="16"/>
        <v>-69</v>
      </c>
    </row>
    <row r="112" spans="1:88" x14ac:dyDescent="0.25">
      <c r="A112" s="110" t="s">
        <v>116</v>
      </c>
      <c r="B112" s="186">
        <v>9.8000000000000007</v>
      </c>
      <c r="C112" s="186">
        <v>12</v>
      </c>
      <c r="D112" s="186">
        <v>13.2</v>
      </c>
      <c r="E112" s="186">
        <v>11.9</v>
      </c>
      <c r="F112" s="186">
        <v>7.9</v>
      </c>
      <c r="G112" s="186">
        <v>13.7</v>
      </c>
      <c r="H112" s="186">
        <v>17.2</v>
      </c>
      <c r="I112" s="186">
        <v>19.2</v>
      </c>
      <c r="J112" s="186">
        <v>23.5</v>
      </c>
      <c r="K112" s="186">
        <v>25.9</v>
      </c>
      <c r="L112" s="186">
        <v>11.8</v>
      </c>
      <c r="M112" s="186">
        <v>13</v>
      </c>
      <c r="N112" s="186">
        <v>12.8</v>
      </c>
      <c r="O112" s="186">
        <v>15.8</v>
      </c>
      <c r="P112" s="186">
        <v>10.5</v>
      </c>
      <c r="Q112" s="186">
        <v>28.4</v>
      </c>
      <c r="R112" s="186">
        <v>27</v>
      </c>
      <c r="S112" s="186">
        <v>22.7</v>
      </c>
      <c r="T112" s="186">
        <v>33</v>
      </c>
      <c r="U112" s="186">
        <v>27</v>
      </c>
      <c r="V112" s="186">
        <v>26</v>
      </c>
      <c r="W112" s="186">
        <v>16</v>
      </c>
      <c r="X112" s="186">
        <v>16</v>
      </c>
      <c r="Y112" s="186">
        <v>27</v>
      </c>
      <c r="Z112" s="186">
        <v>44</v>
      </c>
      <c r="AA112" s="186">
        <v>43</v>
      </c>
      <c r="AB112" s="186">
        <v>22</v>
      </c>
      <c r="AC112" s="186">
        <v>22</v>
      </c>
      <c r="AD112" s="186">
        <v>19</v>
      </c>
      <c r="AE112" s="186">
        <v>11</v>
      </c>
      <c r="AF112" s="186">
        <v>12</v>
      </c>
      <c r="AG112" s="121">
        <v>60</v>
      </c>
      <c r="AH112" s="52">
        <f t="shared" si="15"/>
        <v>44</v>
      </c>
      <c r="AI112" s="53">
        <f t="shared" si="16"/>
        <v>7.9</v>
      </c>
    </row>
    <row r="113" spans="1:37" x14ac:dyDescent="0.25">
      <c r="A113" s="123" t="s">
        <v>117</v>
      </c>
      <c r="B113" s="124">
        <v>88.2</v>
      </c>
      <c r="C113" s="124">
        <v>77.8</v>
      </c>
      <c r="D113" s="124">
        <v>73.5</v>
      </c>
      <c r="E113" s="124">
        <v>89.1</v>
      </c>
      <c r="F113" s="124">
        <v>91.9</v>
      </c>
      <c r="G113" s="124">
        <v>95.3</v>
      </c>
      <c r="H113" s="124">
        <v>85.3</v>
      </c>
      <c r="I113" s="124">
        <v>109</v>
      </c>
      <c r="J113" s="124">
        <v>110.5</v>
      </c>
      <c r="K113" s="124">
        <v>102.6</v>
      </c>
      <c r="L113" s="124">
        <v>116</v>
      </c>
      <c r="M113" s="124">
        <v>119</v>
      </c>
      <c r="N113" s="124">
        <v>108.2</v>
      </c>
      <c r="O113" s="124">
        <v>100.6</v>
      </c>
      <c r="P113" s="124">
        <v>105</v>
      </c>
      <c r="Q113" s="124">
        <v>104.1</v>
      </c>
      <c r="R113" s="124">
        <v>96.7</v>
      </c>
      <c r="S113" s="124">
        <v>106.7</v>
      </c>
      <c r="T113" s="124">
        <v>78</v>
      </c>
      <c r="U113" s="124">
        <v>101</v>
      </c>
      <c r="V113" s="124">
        <v>94</v>
      </c>
      <c r="W113" s="124">
        <v>100</v>
      </c>
      <c r="X113" s="124">
        <v>102</v>
      </c>
      <c r="Y113" s="124">
        <v>101</v>
      </c>
      <c r="Z113" s="124">
        <v>118</v>
      </c>
      <c r="AA113" s="124">
        <v>99</v>
      </c>
      <c r="AB113" s="124">
        <v>98</v>
      </c>
      <c r="AC113" s="124">
        <v>98</v>
      </c>
      <c r="AD113" s="124">
        <v>90</v>
      </c>
      <c r="AE113" s="124">
        <v>81</v>
      </c>
      <c r="AF113" s="124">
        <v>72</v>
      </c>
      <c r="AG113" s="125">
        <v>120</v>
      </c>
      <c r="AH113" s="52">
        <f t="shared" si="15"/>
        <v>119</v>
      </c>
      <c r="AI113" s="53">
        <f t="shared" si="16"/>
        <v>72</v>
      </c>
    </row>
    <row r="114" spans="1:37" x14ac:dyDescent="0.25">
      <c r="A114" s="123" t="s">
        <v>118</v>
      </c>
      <c r="B114" s="124">
        <v>101.2</v>
      </c>
      <c r="C114" s="124">
        <v>88.8</v>
      </c>
      <c r="D114" s="124">
        <v>83.2</v>
      </c>
      <c r="E114" s="124">
        <v>98.6</v>
      </c>
      <c r="F114" s="124">
        <v>98</v>
      </c>
      <c r="G114" s="124">
        <v>101.8</v>
      </c>
      <c r="H114" s="124">
        <v>81</v>
      </c>
      <c r="I114" s="124">
        <v>101.9</v>
      </c>
      <c r="J114" s="124">
        <v>99.5</v>
      </c>
      <c r="K114" s="124">
        <v>82</v>
      </c>
      <c r="L114" s="124">
        <v>99.1</v>
      </c>
      <c r="M114" s="124">
        <v>95</v>
      </c>
      <c r="N114" s="124">
        <v>85.2</v>
      </c>
      <c r="O114" s="124">
        <v>86</v>
      </c>
      <c r="P114" s="124">
        <v>102</v>
      </c>
      <c r="Q114" s="124">
        <v>105.2</v>
      </c>
      <c r="R114" s="124">
        <v>95.4</v>
      </c>
      <c r="S114" s="124">
        <v>105.1</v>
      </c>
      <c r="T114" s="124">
        <v>56</v>
      </c>
      <c r="U114" s="124">
        <v>89</v>
      </c>
      <c r="V114" s="124">
        <v>84</v>
      </c>
      <c r="W114" s="124">
        <v>92</v>
      </c>
      <c r="X114" s="124">
        <v>82</v>
      </c>
      <c r="Y114" s="124">
        <v>80</v>
      </c>
      <c r="Z114" s="124">
        <v>93</v>
      </c>
      <c r="AA114" s="124">
        <v>85</v>
      </c>
      <c r="AB114" s="124">
        <v>82</v>
      </c>
      <c r="AC114" s="124">
        <v>82</v>
      </c>
      <c r="AD114" s="124">
        <v>80</v>
      </c>
      <c r="AE114" s="124">
        <v>90</v>
      </c>
      <c r="AF114" s="124">
        <v>82</v>
      </c>
      <c r="AG114" s="125"/>
      <c r="AH114" s="52">
        <f t="shared" si="15"/>
        <v>105.2</v>
      </c>
      <c r="AI114" s="53">
        <f t="shared" si="16"/>
        <v>56</v>
      </c>
    </row>
    <row r="115" spans="1:37" x14ac:dyDescent="0.25">
      <c r="A115" s="123" t="s">
        <v>119</v>
      </c>
      <c r="B115" s="124"/>
      <c r="C115" s="124"/>
      <c r="D115" s="124"/>
      <c r="E115" s="124">
        <v>55.6</v>
      </c>
      <c r="F115" s="124"/>
      <c r="G115" s="124"/>
      <c r="H115" s="124"/>
      <c r="I115" s="124">
        <v>48.4</v>
      </c>
      <c r="J115" s="124">
        <v>50.6</v>
      </c>
      <c r="K115" s="124"/>
      <c r="L115" s="124"/>
      <c r="M115" s="124"/>
      <c r="N115" s="124">
        <v>24.3</v>
      </c>
      <c r="O115" s="124"/>
      <c r="P115" s="124"/>
      <c r="Q115" s="124">
        <v>25.8</v>
      </c>
      <c r="R115" s="124">
        <v>-12.7</v>
      </c>
      <c r="S115" s="124"/>
      <c r="T115" s="124">
        <v>21</v>
      </c>
      <c r="U115" s="124">
        <v>24</v>
      </c>
      <c r="V115" s="124">
        <v>15</v>
      </c>
      <c r="W115" s="124">
        <v>15</v>
      </c>
      <c r="X115" s="124"/>
      <c r="Y115" s="124"/>
      <c r="Z115" s="124">
        <v>31</v>
      </c>
      <c r="AA115" s="124"/>
      <c r="AB115" s="124"/>
      <c r="AC115" s="124"/>
      <c r="AD115" s="124"/>
      <c r="AE115" s="124"/>
      <c r="AF115" s="124">
        <v>74</v>
      </c>
      <c r="AG115" s="126"/>
      <c r="AH115" s="52">
        <f t="shared" si="15"/>
        <v>74</v>
      </c>
      <c r="AI115" s="53">
        <f t="shared" si="16"/>
        <v>-12.7</v>
      </c>
    </row>
    <row r="116" spans="1:37" x14ac:dyDescent="0.25">
      <c r="A116" s="127" t="s">
        <v>120</v>
      </c>
      <c r="B116" s="113">
        <v>43.5</v>
      </c>
      <c r="C116" s="113">
        <v>46.2</v>
      </c>
      <c r="D116" s="113">
        <v>49.3</v>
      </c>
      <c r="E116" s="113">
        <v>58.9</v>
      </c>
      <c r="F116" s="113">
        <v>56.4</v>
      </c>
      <c r="G116" s="113">
        <v>53.2</v>
      </c>
      <c r="H116" s="113">
        <v>45</v>
      </c>
      <c r="I116" s="113">
        <v>28.8</v>
      </c>
      <c r="J116" s="113">
        <v>23.5</v>
      </c>
      <c r="K116" s="113">
        <v>11</v>
      </c>
      <c r="L116" s="113">
        <v>-2.7</v>
      </c>
      <c r="M116" s="113">
        <v>2</v>
      </c>
      <c r="N116" s="113">
        <v>1</v>
      </c>
      <c r="O116" s="113">
        <v>4.0999999999999996</v>
      </c>
      <c r="P116" s="113">
        <v>7</v>
      </c>
      <c r="Q116" s="113">
        <v>8.5</v>
      </c>
      <c r="R116" s="113">
        <v>12.1</v>
      </c>
      <c r="S116" s="113">
        <v>10</v>
      </c>
      <c r="T116" s="113">
        <v>6</v>
      </c>
      <c r="U116" s="113">
        <v>2</v>
      </c>
      <c r="V116" s="113">
        <v>-4</v>
      </c>
      <c r="W116" s="113">
        <v>-6</v>
      </c>
      <c r="X116" s="113">
        <v>-25</v>
      </c>
      <c r="Y116" s="113">
        <v>-28</v>
      </c>
      <c r="Z116" s="113">
        <v>-31</v>
      </c>
      <c r="AA116" s="113">
        <v>-18</v>
      </c>
      <c r="AB116" s="113">
        <v>3</v>
      </c>
      <c r="AC116" s="113">
        <v>3</v>
      </c>
      <c r="AD116" s="113">
        <v>6</v>
      </c>
      <c r="AE116" s="113">
        <v>13</v>
      </c>
      <c r="AF116" s="113">
        <v>19</v>
      </c>
      <c r="AG116" s="126"/>
      <c r="AH116" s="52">
        <f t="shared" si="15"/>
        <v>58.9</v>
      </c>
      <c r="AI116" s="53">
        <f t="shared" si="16"/>
        <v>-31</v>
      </c>
    </row>
    <row r="117" spans="1:37" ht="15.75" thickBot="1" x14ac:dyDescent="0.3">
      <c r="A117" s="127" t="s">
        <v>121</v>
      </c>
      <c r="B117" s="113">
        <v>63.2</v>
      </c>
      <c r="C117" s="113">
        <v>60</v>
      </c>
      <c r="D117" s="113">
        <v>49.5</v>
      </c>
      <c r="E117" s="113">
        <v>50.3</v>
      </c>
      <c r="F117" s="113">
        <v>48.9</v>
      </c>
      <c r="G117" s="113">
        <v>45</v>
      </c>
      <c r="H117" s="113">
        <v>51.1</v>
      </c>
      <c r="I117" s="113">
        <v>55.9</v>
      </c>
      <c r="J117" s="113">
        <v>60.2</v>
      </c>
      <c r="K117" s="113">
        <v>67</v>
      </c>
      <c r="L117" s="113">
        <v>56.7</v>
      </c>
      <c r="M117" s="113">
        <v>54.2</v>
      </c>
      <c r="N117" s="113">
        <v>58.4</v>
      </c>
      <c r="O117" s="113">
        <v>63.6</v>
      </c>
      <c r="P117" s="113">
        <v>70</v>
      </c>
      <c r="Q117" s="113">
        <v>65.2</v>
      </c>
      <c r="R117" s="113">
        <v>62.9</v>
      </c>
      <c r="S117" s="113">
        <v>66.2</v>
      </c>
      <c r="T117" s="113">
        <v>72</v>
      </c>
      <c r="U117" s="113">
        <v>70</v>
      </c>
      <c r="V117" s="113">
        <v>72</v>
      </c>
      <c r="W117" s="113">
        <v>72</v>
      </c>
      <c r="X117" s="113">
        <v>75</v>
      </c>
      <c r="Y117" s="113">
        <v>73</v>
      </c>
      <c r="Z117" s="113">
        <v>90</v>
      </c>
      <c r="AA117" s="113">
        <v>82</v>
      </c>
      <c r="AB117" s="113">
        <v>86</v>
      </c>
      <c r="AC117" s="113">
        <v>86</v>
      </c>
      <c r="AD117" s="113">
        <v>80</v>
      </c>
      <c r="AE117" s="113">
        <v>70</v>
      </c>
      <c r="AF117" s="113">
        <v>64</v>
      </c>
      <c r="AG117" s="126"/>
      <c r="AH117" s="52">
        <f t="shared" si="15"/>
        <v>90</v>
      </c>
      <c r="AI117" s="53">
        <f t="shared" si="16"/>
        <v>45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3">SUM(B119:B223)</f>
        <v>0</v>
      </c>
      <c r="C224" s="144">
        <f t="shared" si="23"/>
        <v>0</v>
      </c>
      <c r="D224" s="144">
        <f t="shared" si="23"/>
        <v>0</v>
      </c>
      <c r="E224" s="144">
        <f t="shared" si="23"/>
        <v>0</v>
      </c>
      <c r="F224" s="144">
        <f t="shared" si="23"/>
        <v>0</v>
      </c>
      <c r="G224" s="144">
        <f t="shared" si="23"/>
        <v>0</v>
      </c>
      <c r="H224" s="144">
        <f t="shared" si="23"/>
        <v>0</v>
      </c>
      <c r="I224" s="144">
        <f t="shared" si="23"/>
        <v>0</v>
      </c>
      <c r="J224" s="144">
        <f t="shared" si="23"/>
        <v>0</v>
      </c>
      <c r="K224" s="144">
        <f t="shared" si="23"/>
        <v>0</v>
      </c>
      <c r="L224" s="144">
        <f t="shared" si="23"/>
        <v>0</v>
      </c>
      <c r="M224" s="144">
        <f t="shared" si="23"/>
        <v>0</v>
      </c>
      <c r="N224" s="144">
        <f t="shared" si="23"/>
        <v>0</v>
      </c>
      <c r="O224" s="144">
        <f t="shared" si="23"/>
        <v>0</v>
      </c>
      <c r="P224" s="144">
        <f t="shared" si="23"/>
        <v>0</v>
      </c>
      <c r="Q224" s="144">
        <f t="shared" si="23"/>
        <v>0</v>
      </c>
      <c r="R224" s="144">
        <f t="shared" si="23"/>
        <v>0</v>
      </c>
      <c r="S224" s="144">
        <f t="shared" si="23"/>
        <v>0</v>
      </c>
      <c r="T224" s="144">
        <f t="shared" si="23"/>
        <v>0</v>
      </c>
      <c r="U224" s="144">
        <f t="shared" si="23"/>
        <v>0</v>
      </c>
      <c r="V224" s="144">
        <f t="shared" si="23"/>
        <v>0</v>
      </c>
      <c r="W224" s="144">
        <f t="shared" si="23"/>
        <v>0</v>
      </c>
      <c r="X224" s="144">
        <f t="shared" si="23"/>
        <v>0</v>
      </c>
      <c r="Y224" s="144">
        <f t="shared" si="23"/>
        <v>0</v>
      </c>
      <c r="Z224" s="144">
        <f t="shared" si="23"/>
        <v>0</v>
      </c>
      <c r="AA224" s="144">
        <f t="shared" si="23"/>
        <v>0</v>
      </c>
      <c r="AB224" s="144">
        <f t="shared" si="23"/>
        <v>0</v>
      </c>
      <c r="AC224" s="144">
        <f t="shared" si="23"/>
        <v>0</v>
      </c>
      <c r="AD224" s="144">
        <f t="shared" si="23"/>
        <v>0</v>
      </c>
      <c r="AE224" s="144">
        <f t="shared" si="23"/>
        <v>0</v>
      </c>
      <c r="AF224" s="145">
        <f t="shared" si="23"/>
        <v>0</v>
      </c>
      <c r="AG224" s="146">
        <f t="shared" si="23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4">AF226</f>
        <v>0</v>
      </c>
      <c r="C226" s="149">
        <v>0.3</v>
      </c>
      <c r="D226" s="149">
        <f t="shared" ref="D226:P231" si="25">C226</f>
        <v>0.3</v>
      </c>
      <c r="E226" s="149">
        <f t="shared" si="25"/>
        <v>0.3</v>
      </c>
      <c r="F226" s="149">
        <f t="shared" si="25"/>
        <v>0.3</v>
      </c>
      <c r="G226" s="149">
        <f t="shared" si="25"/>
        <v>0.3</v>
      </c>
      <c r="H226" s="149">
        <f t="shared" si="25"/>
        <v>0.3</v>
      </c>
      <c r="I226" s="149">
        <f t="shared" si="25"/>
        <v>0.3</v>
      </c>
      <c r="J226" s="149">
        <f t="shared" si="25"/>
        <v>0.3</v>
      </c>
      <c r="K226" s="149">
        <f t="shared" si="25"/>
        <v>0.3</v>
      </c>
      <c r="L226" s="149">
        <f t="shared" si="25"/>
        <v>0.3</v>
      </c>
      <c r="M226" s="149">
        <f t="shared" si="25"/>
        <v>0.3</v>
      </c>
      <c r="N226" s="149">
        <f t="shared" si="25"/>
        <v>0.3</v>
      </c>
      <c r="O226" s="149">
        <f t="shared" si="25"/>
        <v>0.3</v>
      </c>
      <c r="P226" s="149">
        <f t="shared" si="25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4"/>
        <v>0</v>
      </c>
      <c r="C227" s="136">
        <v>0.4</v>
      </c>
      <c r="D227" s="136">
        <f t="shared" si="25"/>
        <v>0.4</v>
      </c>
      <c r="E227" s="136">
        <f t="shared" si="25"/>
        <v>0.4</v>
      </c>
      <c r="F227" s="136">
        <f t="shared" si="25"/>
        <v>0.4</v>
      </c>
      <c r="G227" s="136">
        <f t="shared" si="25"/>
        <v>0.4</v>
      </c>
      <c r="H227" s="136">
        <f t="shared" si="25"/>
        <v>0.4</v>
      </c>
      <c r="I227" s="136">
        <f t="shared" si="25"/>
        <v>0.4</v>
      </c>
      <c r="J227" s="136">
        <f t="shared" si="25"/>
        <v>0.4</v>
      </c>
      <c r="K227" s="136">
        <f t="shared" si="25"/>
        <v>0.4</v>
      </c>
      <c r="L227" s="136">
        <f t="shared" si="25"/>
        <v>0.4</v>
      </c>
      <c r="M227" s="136">
        <f t="shared" si="25"/>
        <v>0.4</v>
      </c>
      <c r="N227" s="136">
        <f t="shared" si="25"/>
        <v>0.4</v>
      </c>
      <c r="O227" s="136">
        <f t="shared" si="25"/>
        <v>0.4</v>
      </c>
      <c r="P227" s="136">
        <f t="shared" si="25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4"/>
        <v>0</v>
      </c>
      <c r="C228" s="136">
        <v>1.5</v>
      </c>
      <c r="D228" s="136">
        <f t="shared" si="25"/>
        <v>1.5</v>
      </c>
      <c r="E228" s="136">
        <f t="shared" si="25"/>
        <v>1.5</v>
      </c>
      <c r="F228" s="136">
        <f t="shared" si="25"/>
        <v>1.5</v>
      </c>
      <c r="G228" s="136">
        <f t="shared" si="25"/>
        <v>1.5</v>
      </c>
      <c r="H228" s="136">
        <f t="shared" si="25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5"/>
        <v>1.5</v>
      </c>
      <c r="K228" s="136">
        <f t="shared" ca="1" si="25"/>
        <v>1.5</v>
      </c>
      <c r="L228" s="136">
        <f t="shared" ca="1" si="25"/>
        <v>1.5</v>
      </c>
      <c r="M228" s="136">
        <f t="shared" ca="1" si="25"/>
        <v>1.5</v>
      </c>
      <c r="N228" s="136">
        <f t="shared" ca="1" si="25"/>
        <v>1.5</v>
      </c>
      <c r="O228" s="136">
        <f t="shared" ca="1" si="25"/>
        <v>1.5</v>
      </c>
      <c r="P228" s="136">
        <f t="shared" ca="1" si="25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4"/>
        <v>0</v>
      </c>
      <c r="C229" s="136">
        <v>0.3</v>
      </c>
      <c r="D229" s="136">
        <f t="shared" si="25"/>
        <v>0.3</v>
      </c>
      <c r="E229" s="136">
        <f t="shared" si="25"/>
        <v>0.3</v>
      </c>
      <c r="F229" s="136">
        <f t="shared" si="25"/>
        <v>0.3</v>
      </c>
      <c r="G229" s="136">
        <f t="shared" si="25"/>
        <v>0.3</v>
      </c>
      <c r="H229" s="136">
        <f t="shared" si="25"/>
        <v>0.3</v>
      </c>
      <c r="I229" s="136">
        <f t="shared" si="25"/>
        <v>0.3</v>
      </c>
      <c r="J229" s="136">
        <f t="shared" si="25"/>
        <v>0.3</v>
      </c>
      <c r="K229" s="136">
        <f t="shared" si="25"/>
        <v>0.3</v>
      </c>
      <c r="L229" s="136">
        <f t="shared" si="25"/>
        <v>0.3</v>
      </c>
      <c r="M229" s="136">
        <f t="shared" si="25"/>
        <v>0.3</v>
      </c>
      <c r="N229" s="136">
        <f t="shared" si="25"/>
        <v>0.3</v>
      </c>
      <c r="O229" s="136">
        <f t="shared" si="25"/>
        <v>0.3</v>
      </c>
      <c r="P229" s="136">
        <f t="shared" si="25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4"/>
        <v>0</v>
      </c>
      <c r="C230" s="136">
        <v>0.4</v>
      </c>
      <c r="D230" s="136">
        <f t="shared" si="25"/>
        <v>0.4</v>
      </c>
      <c r="E230" s="136">
        <f t="shared" si="25"/>
        <v>0.4</v>
      </c>
      <c r="F230" s="136">
        <f t="shared" si="25"/>
        <v>0.4</v>
      </c>
      <c r="G230" s="136">
        <f t="shared" si="25"/>
        <v>0.4</v>
      </c>
      <c r="H230" s="136">
        <f t="shared" si="25"/>
        <v>0.4</v>
      </c>
      <c r="I230" s="136">
        <f t="shared" si="25"/>
        <v>0.4</v>
      </c>
      <c r="J230" s="136">
        <f t="shared" si="25"/>
        <v>0.4</v>
      </c>
      <c r="K230" s="136">
        <f t="shared" si="25"/>
        <v>0.4</v>
      </c>
      <c r="L230" s="136">
        <f t="shared" si="25"/>
        <v>0.4</v>
      </c>
      <c r="M230" s="136">
        <f t="shared" si="25"/>
        <v>0.4</v>
      </c>
      <c r="N230" s="136">
        <f t="shared" si="25"/>
        <v>0.4</v>
      </c>
      <c r="O230" s="136">
        <f t="shared" si="25"/>
        <v>0.4</v>
      </c>
      <c r="P230" s="136">
        <f t="shared" si="25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4"/>
        <v>0</v>
      </c>
      <c r="C231" s="140">
        <v>0.64</v>
      </c>
      <c r="D231" s="140">
        <f t="shared" si="25"/>
        <v>0.64</v>
      </c>
      <c r="E231" s="140">
        <f t="shared" si="25"/>
        <v>0.64</v>
      </c>
      <c r="F231" s="140">
        <f t="shared" si="25"/>
        <v>0.64</v>
      </c>
      <c r="G231" s="140">
        <f t="shared" si="25"/>
        <v>0.64</v>
      </c>
      <c r="H231" s="140">
        <f t="shared" si="25"/>
        <v>0.64</v>
      </c>
      <c r="I231" s="140">
        <f t="shared" si="25"/>
        <v>0.64</v>
      </c>
      <c r="J231" s="140">
        <f t="shared" si="25"/>
        <v>0.64</v>
      </c>
      <c r="K231" s="140">
        <f t="shared" si="25"/>
        <v>0.64</v>
      </c>
      <c r="L231" s="140">
        <f t="shared" si="25"/>
        <v>0.64</v>
      </c>
      <c r="M231" s="140">
        <f t="shared" si="25"/>
        <v>0.64</v>
      </c>
      <c r="N231" s="140">
        <f t="shared" si="25"/>
        <v>0.64</v>
      </c>
      <c r="O231" s="140">
        <f t="shared" si="25"/>
        <v>0.64</v>
      </c>
      <c r="P231" s="140">
        <f t="shared" si="25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6">SUM(B226:B231)</f>
        <v>0</v>
      </c>
      <c r="C232" s="144">
        <f t="shared" si="26"/>
        <v>3.54</v>
      </c>
      <c r="D232" s="144">
        <f t="shared" si="26"/>
        <v>3.54</v>
      </c>
      <c r="E232" s="144">
        <f t="shared" si="26"/>
        <v>3.54</v>
      </c>
      <c r="F232" s="144">
        <f t="shared" si="26"/>
        <v>3.54</v>
      </c>
      <c r="G232" s="144">
        <f t="shared" si="26"/>
        <v>3.54</v>
      </c>
      <c r="H232" s="144">
        <f t="shared" si="26"/>
        <v>3.54</v>
      </c>
      <c r="I232" s="144">
        <f t="shared" ca="1" si="26"/>
        <v>3.54</v>
      </c>
      <c r="J232" s="144">
        <f t="shared" ca="1" si="26"/>
        <v>3.54</v>
      </c>
      <c r="K232" s="144">
        <f t="shared" ca="1" si="26"/>
        <v>3.54</v>
      </c>
      <c r="L232" s="144">
        <f t="shared" ca="1" si="26"/>
        <v>3.54</v>
      </c>
      <c r="M232" s="144">
        <f t="shared" ca="1" si="26"/>
        <v>3.54</v>
      </c>
      <c r="N232" s="144">
        <f t="shared" ca="1" si="26"/>
        <v>3.54</v>
      </c>
      <c r="O232" s="144">
        <f t="shared" ca="1" si="26"/>
        <v>3.54</v>
      </c>
      <c r="P232" s="144">
        <f t="shared" ca="1" si="26"/>
        <v>3.54</v>
      </c>
      <c r="Q232" s="144">
        <f t="shared" si="26"/>
        <v>0</v>
      </c>
      <c r="R232" s="144">
        <f t="shared" si="26"/>
        <v>0</v>
      </c>
      <c r="S232" s="144">
        <f t="shared" si="26"/>
        <v>0</v>
      </c>
      <c r="T232" s="144">
        <f t="shared" si="26"/>
        <v>0</v>
      </c>
      <c r="U232" s="144">
        <f t="shared" si="26"/>
        <v>0</v>
      </c>
      <c r="V232" s="144">
        <f t="shared" si="26"/>
        <v>0</v>
      </c>
      <c r="W232" s="144">
        <f t="shared" si="26"/>
        <v>0</v>
      </c>
      <c r="X232" s="144">
        <f t="shared" si="26"/>
        <v>0</v>
      </c>
      <c r="Y232" s="144">
        <f t="shared" si="26"/>
        <v>0</v>
      </c>
      <c r="Z232" s="144">
        <f t="shared" si="26"/>
        <v>0</v>
      </c>
      <c r="AA232" s="144">
        <f t="shared" si="26"/>
        <v>0</v>
      </c>
      <c r="AB232" s="144">
        <f t="shared" si="26"/>
        <v>0</v>
      </c>
      <c r="AC232" s="144">
        <f t="shared" si="26"/>
        <v>0</v>
      </c>
      <c r="AD232" s="144">
        <f t="shared" si="26"/>
        <v>0</v>
      </c>
      <c r="AE232" s="144">
        <f t="shared" si="26"/>
        <v>0</v>
      </c>
      <c r="AF232" s="144">
        <f t="shared" si="26"/>
        <v>0</v>
      </c>
      <c r="AG232" s="154">
        <f t="shared" si="26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1393.54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21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2079/12/21)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2079/12/21)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7">B89</f>
        <v>1053.8400000000001</v>
      </c>
      <c r="U246" s="180">
        <f t="shared" si="27"/>
        <v>1002.0400000000001</v>
      </c>
      <c r="V246" s="180">
        <f t="shared" si="27"/>
        <v>961.6400000000001</v>
      </c>
      <c r="W246" s="180">
        <f t="shared" si="27"/>
        <v>948.04</v>
      </c>
      <c r="X246" s="180">
        <f t="shared" si="27"/>
        <v>937.74</v>
      </c>
      <c r="Y246" s="180">
        <f t="shared" si="27"/>
        <v>963.13999999999987</v>
      </c>
      <c r="Z246" s="180">
        <f t="shared" si="27"/>
        <v>1016.9390000000001</v>
      </c>
      <c r="AA246" s="180">
        <f t="shared" si="27"/>
        <v>1086.3399999999999</v>
      </c>
      <c r="AB246" s="180">
        <f t="shared" si="27"/>
        <v>1159.57</v>
      </c>
      <c r="AC246" s="180">
        <f t="shared" si="27"/>
        <v>1254.8400000000001</v>
      </c>
      <c r="AD246" s="180">
        <f t="shared" si="27"/>
        <v>1393.54</v>
      </c>
      <c r="AE246" s="180">
        <f t="shared" si="27"/>
        <v>1335.14</v>
      </c>
      <c r="AF246" s="180">
        <f t="shared" si="27"/>
        <v>1322.74</v>
      </c>
      <c r="AG246" s="180">
        <f t="shared" si="27"/>
        <v>1136.24</v>
      </c>
      <c r="AH246" s="180">
        <f t="shared" si="27"/>
        <v>1240.44</v>
      </c>
      <c r="AI246" s="180">
        <f t="shared" si="27"/>
        <v>1268.8399999999999</v>
      </c>
      <c r="AJ246" s="180">
        <f t="shared" si="27"/>
        <v>1216.94</v>
      </c>
      <c r="AK246" s="180">
        <f t="shared" si="27"/>
        <v>1259.04</v>
      </c>
      <c r="AL246" s="180">
        <f t="shared" si="27"/>
        <v>1284.44</v>
      </c>
      <c r="AM246" s="180">
        <f t="shared" si="27"/>
        <v>1300.1399999999999</v>
      </c>
      <c r="AN246" s="180">
        <f t="shared" si="27"/>
        <v>1208.54</v>
      </c>
      <c r="AO246" s="180">
        <f t="shared" si="27"/>
        <v>1190.44</v>
      </c>
      <c r="AP246" s="180">
        <f t="shared" si="27"/>
        <v>1332.74</v>
      </c>
      <c r="AQ246" s="180">
        <f t="shared" si="27"/>
        <v>1374.54</v>
      </c>
      <c r="AR246" s="180">
        <f t="shared" si="27"/>
        <v>1434.54</v>
      </c>
      <c r="AS246" s="180">
        <f t="shared" si="27"/>
        <v>1453.24</v>
      </c>
      <c r="AT246" s="180">
        <f t="shared" si="27"/>
        <v>1417.24</v>
      </c>
      <c r="AU246" s="180">
        <f t="shared" si="27"/>
        <v>1338.34</v>
      </c>
      <c r="AV246" s="180">
        <f t="shared" si="27"/>
        <v>1290.3399999999999</v>
      </c>
      <c r="AW246" s="180">
        <f t="shared" si="27"/>
        <v>1138.3399999999999</v>
      </c>
      <c r="AX246" s="180">
        <f t="shared" si="27"/>
        <v>1048.3399999999999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8">C231</f>
        <v>0.64</v>
      </c>
      <c r="C267" s="183">
        <f t="shared" si="28"/>
        <v>0.64</v>
      </c>
      <c r="D267" s="183">
        <f t="shared" si="28"/>
        <v>0.64</v>
      </c>
      <c r="E267" s="183">
        <f t="shared" si="28"/>
        <v>0.64</v>
      </c>
      <c r="F267" s="183">
        <f t="shared" si="28"/>
        <v>0.64</v>
      </c>
      <c r="G267" s="183">
        <f t="shared" si="28"/>
        <v>0.64</v>
      </c>
      <c r="H267" s="183">
        <f t="shared" si="28"/>
        <v>0.64</v>
      </c>
      <c r="I267" s="183">
        <f t="shared" si="28"/>
        <v>0.64</v>
      </c>
      <c r="J267" s="183">
        <f t="shared" si="28"/>
        <v>0.64</v>
      </c>
      <c r="K267" s="183">
        <f t="shared" si="28"/>
        <v>0.64</v>
      </c>
      <c r="L267" s="183">
        <f t="shared" si="28"/>
        <v>0.64</v>
      </c>
      <c r="M267" s="183">
        <f t="shared" si="28"/>
        <v>0.64</v>
      </c>
      <c r="N267" s="183">
        <f t="shared" si="28"/>
        <v>0.64</v>
      </c>
      <c r="O267" s="183">
        <f t="shared" si="28"/>
        <v>0.64</v>
      </c>
      <c r="P267" s="183">
        <f t="shared" si="28"/>
        <v>0</v>
      </c>
      <c r="Q267" s="183">
        <f t="shared" si="28"/>
        <v>0</v>
      </c>
      <c r="R267" s="183">
        <f t="shared" si="28"/>
        <v>0</v>
      </c>
      <c r="S267" s="183">
        <f t="shared" si="28"/>
        <v>0</v>
      </c>
      <c r="T267" s="183">
        <f t="shared" si="28"/>
        <v>0</v>
      </c>
      <c r="U267" s="183">
        <f t="shared" si="28"/>
        <v>0</v>
      </c>
      <c r="V267" s="183">
        <f t="shared" si="28"/>
        <v>0</v>
      </c>
      <c r="W267" s="183">
        <f t="shared" si="28"/>
        <v>0</v>
      </c>
      <c r="X267" s="183">
        <f t="shared" si="28"/>
        <v>0</v>
      </c>
      <c r="Y267" s="183">
        <f t="shared" si="28"/>
        <v>0</v>
      </c>
      <c r="Z267" s="183">
        <f t="shared" si="28"/>
        <v>0</v>
      </c>
      <c r="AA267" s="183">
        <f t="shared" si="28"/>
        <v>0</v>
      </c>
      <c r="AB267" s="183">
        <f t="shared" si="28"/>
        <v>0</v>
      </c>
      <c r="AC267" s="183">
        <f t="shared" si="28"/>
        <v>0</v>
      </c>
      <c r="AD267" s="183">
        <f t="shared" si="28"/>
        <v>0</v>
      </c>
      <c r="AE267" s="183">
        <f t="shared" si="28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9">IF(B235&lt;100,"",B235-520)</f>
        <v/>
      </c>
      <c r="C268" s="184" t="str">
        <f t="shared" si="29"/>
        <v/>
      </c>
      <c r="D268" s="184" t="str">
        <f t="shared" si="29"/>
        <v/>
      </c>
      <c r="E268" s="184" t="str">
        <f t="shared" si="29"/>
        <v/>
      </c>
      <c r="F268" s="184" t="str">
        <f t="shared" si="29"/>
        <v/>
      </c>
      <c r="G268" s="184" t="str">
        <f t="shared" si="29"/>
        <v/>
      </c>
      <c r="H268" s="184" t="str">
        <f t="shared" si="29"/>
        <v/>
      </c>
      <c r="I268" s="184" t="str">
        <f t="shared" si="29"/>
        <v/>
      </c>
      <c r="J268" s="184" t="str">
        <f t="shared" si="29"/>
        <v/>
      </c>
      <c r="K268" s="184" t="str">
        <f t="shared" si="29"/>
        <v/>
      </c>
      <c r="L268" s="184" t="str">
        <f t="shared" si="29"/>
        <v/>
      </c>
      <c r="M268" s="184" t="str">
        <f t="shared" si="29"/>
        <v/>
      </c>
      <c r="N268" s="184" t="str">
        <f t="shared" si="29"/>
        <v/>
      </c>
      <c r="O268" s="184" t="str">
        <f t="shared" si="29"/>
        <v/>
      </c>
      <c r="P268" s="184" t="str">
        <f t="shared" si="29"/>
        <v/>
      </c>
      <c r="Q268" s="184" t="str">
        <f t="shared" si="29"/>
        <v/>
      </c>
      <c r="R268" s="184" t="str">
        <f t="shared" si="29"/>
        <v/>
      </c>
      <c r="S268" s="184" t="str">
        <f t="shared" si="29"/>
        <v/>
      </c>
      <c r="T268" s="184" t="str">
        <f t="shared" si="29"/>
        <v/>
      </c>
      <c r="U268" s="184" t="str">
        <f t="shared" si="29"/>
        <v/>
      </c>
      <c r="V268" s="184" t="str">
        <f t="shared" si="29"/>
        <v/>
      </c>
      <c r="W268" s="184" t="str">
        <f t="shared" si="29"/>
        <v/>
      </c>
      <c r="X268" s="184" t="str">
        <f t="shared" si="29"/>
        <v/>
      </c>
      <c r="Y268" s="184" t="str">
        <f t="shared" si="29"/>
        <v/>
      </c>
      <c r="Z268" s="184" t="str">
        <f t="shared" si="29"/>
        <v/>
      </c>
      <c r="AA268" s="184" t="str">
        <f t="shared" si="29"/>
        <v/>
      </c>
      <c r="AB268" s="184" t="str">
        <f t="shared" si="29"/>
        <v/>
      </c>
      <c r="AC268" s="184" t="str">
        <f t="shared" si="29"/>
        <v/>
      </c>
      <c r="AD268" s="184" t="str">
        <f t="shared" si="29"/>
        <v/>
      </c>
      <c r="AE268" s="184" t="str">
        <f t="shared" si="29"/>
        <v/>
      </c>
      <c r="AF268" s="184" t="str">
        <f t="shared" si="29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0">IF(B236&lt;100,"",B236-620)</f>
        <v/>
      </c>
      <c r="C269" s="184" t="str">
        <f t="shared" si="30"/>
        <v/>
      </c>
      <c r="D269" s="184" t="str">
        <f t="shared" si="30"/>
        <v/>
      </c>
      <c r="E269" s="184" t="str">
        <f t="shared" si="30"/>
        <v/>
      </c>
      <c r="F269" s="184" t="str">
        <f t="shared" si="30"/>
        <v/>
      </c>
      <c r="G269" s="184" t="str">
        <f t="shared" si="30"/>
        <v/>
      </c>
      <c r="H269" s="184" t="str">
        <f t="shared" si="30"/>
        <v/>
      </c>
      <c r="I269" s="184" t="str">
        <f t="shared" si="30"/>
        <v/>
      </c>
      <c r="J269" s="184" t="str">
        <f t="shared" si="30"/>
        <v/>
      </c>
      <c r="K269" s="184" t="str">
        <f t="shared" si="30"/>
        <v/>
      </c>
      <c r="L269" s="184" t="str">
        <f t="shared" si="30"/>
        <v/>
      </c>
      <c r="M269" s="184" t="str">
        <f t="shared" si="30"/>
        <v/>
      </c>
      <c r="N269" s="184" t="str">
        <f t="shared" si="30"/>
        <v/>
      </c>
      <c r="O269" s="184" t="str">
        <f t="shared" si="30"/>
        <v/>
      </c>
      <c r="P269" s="184" t="str">
        <f t="shared" si="30"/>
        <v/>
      </c>
      <c r="Q269" s="184" t="str">
        <f t="shared" si="30"/>
        <v/>
      </c>
      <c r="R269" s="184" t="str">
        <f t="shared" si="30"/>
        <v/>
      </c>
      <c r="S269" s="184" t="str">
        <f t="shared" si="30"/>
        <v/>
      </c>
      <c r="T269" s="184" t="str">
        <f t="shared" si="30"/>
        <v/>
      </c>
      <c r="U269" s="184" t="str">
        <f t="shared" si="30"/>
        <v/>
      </c>
      <c r="V269" s="184" t="str">
        <f t="shared" si="30"/>
        <v/>
      </c>
      <c r="W269" s="184" t="str">
        <f t="shared" si="30"/>
        <v/>
      </c>
      <c r="X269" s="184" t="str">
        <f t="shared" si="30"/>
        <v/>
      </c>
      <c r="Y269" s="184" t="str">
        <f t="shared" si="30"/>
        <v/>
      </c>
      <c r="Z269" s="184" t="str">
        <f t="shared" si="30"/>
        <v/>
      </c>
      <c r="AA269" s="184" t="str">
        <f t="shared" si="30"/>
        <v/>
      </c>
      <c r="AB269" s="184" t="str">
        <f t="shared" si="30"/>
        <v/>
      </c>
      <c r="AC269" s="184" t="str">
        <f t="shared" si="30"/>
        <v/>
      </c>
      <c r="AD269" s="184" t="str">
        <f t="shared" si="30"/>
        <v/>
      </c>
      <c r="AE269" s="184" t="str">
        <f t="shared" si="30"/>
        <v/>
      </c>
      <c r="AF269" s="184" t="str">
        <f t="shared" si="30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1">IF(B237&lt;100,"",B237-330)</f>
        <v/>
      </c>
      <c r="C270" s="184" t="str">
        <f t="shared" si="31"/>
        <v/>
      </c>
      <c r="D270" s="184" t="str">
        <f t="shared" si="31"/>
        <v/>
      </c>
      <c r="E270" s="184" t="str">
        <f t="shared" si="31"/>
        <v/>
      </c>
      <c r="F270" s="184" t="str">
        <f t="shared" si="31"/>
        <v/>
      </c>
      <c r="G270" s="184" t="str">
        <f t="shared" si="31"/>
        <v/>
      </c>
      <c r="H270" s="184" t="str">
        <f t="shared" si="31"/>
        <v/>
      </c>
      <c r="I270" s="184" t="str">
        <f t="shared" si="31"/>
        <v/>
      </c>
      <c r="J270" s="184" t="str">
        <f t="shared" si="31"/>
        <v/>
      </c>
      <c r="K270" s="184" t="str">
        <f t="shared" si="31"/>
        <v/>
      </c>
      <c r="L270" s="184" t="str">
        <f t="shared" si="31"/>
        <v/>
      </c>
      <c r="M270" s="184" t="str">
        <f t="shared" si="31"/>
        <v/>
      </c>
      <c r="N270" s="184" t="str">
        <f t="shared" si="31"/>
        <v/>
      </c>
      <c r="O270" s="184" t="str">
        <f t="shared" si="31"/>
        <v/>
      </c>
      <c r="P270" s="184" t="str">
        <f t="shared" si="31"/>
        <v/>
      </c>
      <c r="Q270" s="184" t="str">
        <f t="shared" si="31"/>
        <v/>
      </c>
      <c r="R270" s="184" t="str">
        <f t="shared" si="31"/>
        <v/>
      </c>
      <c r="S270" s="184" t="str">
        <f t="shared" si="31"/>
        <v/>
      </c>
      <c r="T270" s="184" t="str">
        <f t="shared" si="31"/>
        <v/>
      </c>
      <c r="U270" s="184" t="str">
        <f t="shared" si="31"/>
        <v/>
      </c>
      <c r="V270" s="184" t="str">
        <f t="shared" si="31"/>
        <v/>
      </c>
      <c r="W270" s="184" t="str">
        <f t="shared" si="31"/>
        <v/>
      </c>
      <c r="X270" s="184" t="str">
        <f t="shared" si="31"/>
        <v/>
      </c>
      <c r="Y270" s="184" t="str">
        <f t="shared" si="31"/>
        <v/>
      </c>
      <c r="Z270" s="184" t="str">
        <f t="shared" si="31"/>
        <v/>
      </c>
      <c r="AA270" s="184" t="str">
        <f t="shared" si="31"/>
        <v/>
      </c>
      <c r="AB270" s="184" t="str">
        <f t="shared" si="31"/>
        <v/>
      </c>
      <c r="AC270" s="184" t="str">
        <f t="shared" si="31"/>
        <v/>
      </c>
      <c r="AD270" s="184" t="str">
        <f t="shared" si="31"/>
        <v/>
      </c>
      <c r="AE270" s="184" t="str">
        <f t="shared" si="31"/>
        <v/>
      </c>
      <c r="AF270" s="184" t="str">
        <f t="shared" si="31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2">IF(B238&lt;100,"",B238-1500)</f>
        <v/>
      </c>
      <c r="C271" s="184" t="str">
        <f t="shared" si="32"/>
        <v/>
      </c>
      <c r="D271" s="184" t="str">
        <f t="shared" si="32"/>
        <v/>
      </c>
      <c r="E271" s="184" t="str">
        <f t="shared" si="32"/>
        <v/>
      </c>
      <c r="F271" s="184" t="str">
        <f t="shared" si="32"/>
        <v/>
      </c>
      <c r="G271" s="184" t="str">
        <f t="shared" si="32"/>
        <v/>
      </c>
      <c r="H271" s="184" t="str">
        <f t="shared" si="32"/>
        <v/>
      </c>
      <c r="I271" s="184" t="str">
        <f t="shared" si="32"/>
        <v/>
      </c>
      <c r="J271" s="184" t="str">
        <f t="shared" si="32"/>
        <v/>
      </c>
      <c r="K271" s="184" t="str">
        <f t="shared" si="32"/>
        <v/>
      </c>
      <c r="L271" s="184" t="str">
        <f t="shared" si="32"/>
        <v/>
      </c>
      <c r="M271" s="184" t="str">
        <f t="shared" si="32"/>
        <v/>
      </c>
      <c r="N271" s="184" t="str">
        <f t="shared" si="32"/>
        <v/>
      </c>
      <c r="O271" s="184" t="str">
        <f t="shared" si="32"/>
        <v/>
      </c>
      <c r="P271" s="184" t="str">
        <f t="shared" si="32"/>
        <v/>
      </c>
      <c r="Q271" s="184" t="str">
        <f t="shared" si="32"/>
        <v/>
      </c>
      <c r="R271" s="184" t="str">
        <f t="shared" si="32"/>
        <v/>
      </c>
      <c r="S271" s="184" t="str">
        <f t="shared" si="32"/>
        <v/>
      </c>
      <c r="T271" s="184" t="str">
        <f t="shared" si="32"/>
        <v/>
      </c>
      <c r="U271" s="184" t="str">
        <f t="shared" si="32"/>
        <v/>
      </c>
      <c r="V271" s="184" t="str">
        <f t="shared" si="32"/>
        <v/>
      </c>
      <c r="W271" s="184" t="str">
        <f t="shared" si="32"/>
        <v/>
      </c>
      <c r="X271" s="184" t="str">
        <f t="shared" si="32"/>
        <v/>
      </c>
      <c r="Y271" s="184" t="str">
        <f t="shared" si="32"/>
        <v/>
      </c>
      <c r="Z271" s="184" t="str">
        <f t="shared" si="32"/>
        <v/>
      </c>
      <c r="AA271" s="184" t="str">
        <f t="shared" si="32"/>
        <v/>
      </c>
      <c r="AB271" s="184" t="str">
        <f t="shared" si="32"/>
        <v/>
      </c>
      <c r="AC271" s="184" t="str">
        <f t="shared" si="32"/>
        <v/>
      </c>
      <c r="AD271" s="184" t="str">
        <f t="shared" si="32"/>
        <v/>
      </c>
      <c r="AE271" s="184" t="str">
        <f t="shared" si="32"/>
        <v/>
      </c>
      <c r="AF271" s="184" t="str">
        <f t="shared" si="32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4643" priority="344">
      <formula>B$9&gt;=20/24</formula>
    </cfRule>
    <cfRule type="expression" dxfId="4642" priority="345">
      <formula>AND(B$9&gt;=14/24,B$9&lt;20/24)</formula>
    </cfRule>
    <cfRule type="expression" dxfId="4641" priority="346">
      <formula>AND(B$9&gt;=8/24,B$9&lt;14/24)</formula>
    </cfRule>
    <cfRule type="expression" dxfId="4640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4639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4638" priority="341">
      <formula>$AH12=0</formula>
    </cfRule>
  </conditionalFormatting>
  <conditionalFormatting sqref="A114">
    <cfRule type="expression" dxfId="4637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4636" priority="338">
      <formula>$AH45=0</formula>
    </cfRule>
  </conditionalFormatting>
  <conditionalFormatting sqref="A98">
    <cfRule type="expression" dxfId="4635" priority="337">
      <formula>$AH98=0</formula>
    </cfRule>
  </conditionalFormatting>
  <conditionalFormatting sqref="A18">
    <cfRule type="expression" dxfId="4634" priority="336">
      <formula>$AH18=0</formula>
    </cfRule>
  </conditionalFormatting>
  <conditionalFormatting sqref="A196:A201">
    <cfRule type="expression" dxfId="4633" priority="335">
      <formula>$AH196=0</formula>
    </cfRule>
  </conditionalFormatting>
  <conditionalFormatting sqref="A190:A195">
    <cfRule type="expression" dxfId="4632" priority="334">
      <formula>$AH190=0</formula>
    </cfRule>
  </conditionalFormatting>
  <conditionalFormatting sqref="A58">
    <cfRule type="expression" dxfId="4631" priority="333">
      <formula>$AH58=0</formula>
    </cfRule>
  </conditionalFormatting>
  <conditionalFormatting sqref="A94">
    <cfRule type="expression" dxfId="4630" priority="332">
      <formula>$AH94=0</formula>
    </cfRule>
  </conditionalFormatting>
  <conditionalFormatting sqref="AD99:AF99 E99:X99">
    <cfRule type="expression" dxfId="4629" priority="328">
      <formula>E$9&gt;=20/24</formula>
    </cfRule>
    <cfRule type="expression" dxfId="4628" priority="329">
      <formula>AND(E$9&gt;=14/24,E$9&lt;20/24)</formula>
    </cfRule>
    <cfRule type="expression" dxfId="4627" priority="330">
      <formula>AND(E$9&gt;=8/24,E$9&lt;14/24)</formula>
    </cfRule>
    <cfRule type="expression" dxfId="4626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625" priority="350">
      <formula>C$9&gt;=20/24</formula>
    </cfRule>
    <cfRule type="expression" dxfId="4624" priority="351">
      <formula>AND(C$9&gt;=14/24,C$9&lt;20/24)</formula>
    </cfRule>
    <cfRule type="expression" dxfId="4623" priority="352">
      <formula>AND(C$9&gt;=8/24,C$9&lt;14/24)</formula>
    </cfRule>
    <cfRule type="expression" dxfId="4622" priority="353">
      <formula>C$9&lt;8/24</formula>
    </cfRule>
  </conditionalFormatting>
  <conditionalFormatting sqref="A233">
    <cfRule type="expression" dxfId="4621" priority="354">
      <formula>$AH233=0</formula>
    </cfRule>
  </conditionalFormatting>
  <conditionalFormatting sqref="AG245">
    <cfRule type="expression" dxfId="4620" priority="355">
      <formula>B$9&gt;=20/24</formula>
    </cfRule>
    <cfRule type="expression" dxfId="4619" priority="356">
      <formula>AND(B$9&gt;=14/24,B$9&lt;20/24)</formula>
    </cfRule>
    <cfRule type="expression" dxfId="4618" priority="357">
      <formula>AND(B$9&gt;=8/24,B$9&lt;14/24)</formula>
    </cfRule>
    <cfRule type="expression" dxfId="4617" priority="358">
      <formula>B$9&lt;8/24</formula>
    </cfRule>
  </conditionalFormatting>
  <conditionalFormatting sqref="S8">
    <cfRule type="expression" dxfId="4616" priority="323">
      <formula>U$9&gt;=20/24</formula>
    </cfRule>
    <cfRule type="expression" dxfId="4615" priority="324">
      <formula>AND(U$9&gt;=14/24,U$9&lt;20/24)</formula>
    </cfRule>
    <cfRule type="expression" dxfId="4614" priority="325">
      <formula>AND(U$9&gt;=8/24,U$9&lt;14/24)</formula>
    </cfRule>
    <cfRule type="expression" dxfId="4613" priority="326">
      <formula>U$9&lt;8/24</formula>
    </cfRule>
  </conditionalFormatting>
  <conditionalFormatting sqref="AB8">
    <cfRule type="expression" dxfId="4612" priority="319">
      <formula>AD$9&gt;=20/24</formula>
    </cfRule>
    <cfRule type="expression" dxfId="4611" priority="320">
      <formula>AND(AD$9&gt;=14/24,AD$9&lt;20/24)</formula>
    </cfRule>
    <cfRule type="expression" dxfId="4610" priority="321">
      <formula>AND(AD$9&gt;=8/24,AD$9&lt;14/24)</formula>
    </cfRule>
    <cfRule type="expression" dxfId="4609" priority="322">
      <formula>AD$9&lt;8/24</formula>
    </cfRule>
  </conditionalFormatting>
  <conditionalFormatting sqref="AH245:AX245">
    <cfRule type="expression" dxfId="4608" priority="359">
      <formula>AG$9&gt;=20/24</formula>
    </cfRule>
    <cfRule type="expression" dxfId="4607" priority="360">
      <formula>AND(AG$9&gt;=14/24,AG$9&lt;20/24)</formula>
    </cfRule>
    <cfRule type="expression" dxfId="4606" priority="361">
      <formula>AND(AG$9&gt;=8/24,AG$9&lt;14/24)</formula>
    </cfRule>
    <cfRule type="expression" dxfId="4605" priority="362">
      <formula>AG$9&lt;8/24</formula>
    </cfRule>
  </conditionalFormatting>
  <conditionalFormatting sqref="T245">
    <cfRule type="expression" dxfId="4604" priority="363">
      <formula>AX$9&gt;=20/24</formula>
    </cfRule>
    <cfRule type="expression" dxfId="4603" priority="364">
      <formula>AND(AX$9&gt;=14/24,AX$9&lt;20/24)</formula>
    </cfRule>
    <cfRule type="expression" dxfId="4602" priority="365">
      <formula>AND(AX$9&gt;=8/24,AX$9&lt;14/24)</formula>
    </cfRule>
    <cfRule type="expression" dxfId="4601" priority="366">
      <formula>AX$9&lt;8/24</formula>
    </cfRule>
  </conditionalFormatting>
  <conditionalFormatting sqref="A115:A116">
    <cfRule type="expression" dxfId="4600" priority="318">
      <formula>$AH115=0</formula>
    </cfRule>
  </conditionalFormatting>
  <conditionalFormatting sqref="AD54:AF55 M54:P61 Q54:R58 S58:U58 E71:AF71 AE56:AF56 AF57">
    <cfRule type="expression" dxfId="4599" priority="314">
      <formula>E$9&gt;=20/24</formula>
    </cfRule>
    <cfRule type="expression" dxfId="4598" priority="315">
      <formula>AND(E$9&gt;=14/24,E$9&lt;20/24)</formula>
    </cfRule>
    <cfRule type="expression" dxfId="4597" priority="316">
      <formula>AND(E$9&gt;=8/24,E$9&lt;14/24)</formula>
    </cfRule>
    <cfRule type="expression" dxfId="4596" priority="317">
      <formula>E$9&lt;8/24</formula>
    </cfRule>
  </conditionalFormatting>
  <conditionalFormatting sqref="AB53:AF53 M53:R53">
    <cfRule type="expression" dxfId="4595" priority="310">
      <formula>M$9&gt;=20/24</formula>
    </cfRule>
    <cfRule type="expression" dxfId="4594" priority="311">
      <formula>AND(M$9&gt;=14/24,M$9&lt;20/24)</formula>
    </cfRule>
    <cfRule type="expression" dxfId="4593" priority="312">
      <formula>AND(M$9&gt;=8/24,M$9&lt;14/24)</formula>
    </cfRule>
    <cfRule type="expression" dxfId="4592" priority="313">
      <formula>M$9&lt;8/24</formula>
    </cfRule>
  </conditionalFormatting>
  <conditionalFormatting sqref="AB53:AF53 M53:P61 Q53:R58 S58:U58 AD54:AF55 AE56:AF56 AF57">
    <cfRule type="expression" dxfId="4591" priority="309">
      <formula>M53&gt;$AG53</formula>
    </cfRule>
  </conditionalFormatting>
  <conditionalFormatting sqref="D86:AF86 X96:AF96 AE100:AF106 E72:X73 M100:X106 X47:AF47 Y72:AF74 X67:AF69">
    <cfRule type="expression" dxfId="4590" priority="305">
      <formula>D$9&gt;=20/24</formula>
    </cfRule>
    <cfRule type="expression" dxfId="4589" priority="306">
      <formula>AND(D$9&gt;=14/24,D$9&lt;20/24)</formula>
    </cfRule>
    <cfRule type="expression" dxfId="4588" priority="307">
      <formula>AND(D$9&gt;=8/24,D$9&lt;14/24)</formula>
    </cfRule>
    <cfRule type="expression" dxfId="4587" priority="308">
      <formula>D$9&lt;8/24</formula>
    </cfRule>
  </conditionalFormatting>
  <conditionalFormatting sqref="X47:AF47 X67:AF69">
    <cfRule type="expression" dxfId="4586" priority="304">
      <formula>X47&gt;$AG47</formula>
    </cfRule>
  </conditionalFormatting>
  <conditionalFormatting sqref="S53:U57 V53:AA58 AB54:AC58 AD56:AD58 AE57:AE58 AF58">
    <cfRule type="expression" dxfId="4585" priority="300">
      <formula>S$9&gt;=20/24</formula>
    </cfRule>
    <cfRule type="expression" dxfId="4584" priority="301">
      <formula>AND(S$9&gt;=14/24,S$9&lt;20/24)</formula>
    </cfRule>
    <cfRule type="expression" dxfId="4583" priority="302">
      <formula>AND(S$9&gt;=8/24,S$9&lt;14/24)</formula>
    </cfRule>
    <cfRule type="expression" dxfId="4582" priority="303">
      <formula>S$9&lt;8/24</formula>
    </cfRule>
  </conditionalFormatting>
  <conditionalFormatting sqref="S53:U57 V53:AA58 AB54:AC58 AD56:AD58 AE57:AE58 AF58">
    <cfRule type="expression" dxfId="4581" priority="299">
      <formula>S53&gt;$AG53</formula>
    </cfRule>
  </conditionalFormatting>
  <conditionalFormatting sqref="C97:AF97 D88:AF88">
    <cfRule type="expression" dxfId="4580" priority="295">
      <formula>C$9&gt;=20/24</formula>
    </cfRule>
    <cfRule type="expression" dxfId="4579" priority="296">
      <formula>AND(C$9&gt;=14/24,C$9&lt;20/24)</formula>
    </cfRule>
    <cfRule type="expression" dxfId="4578" priority="297">
      <formula>AND(C$9&gt;=8/24,C$9&lt;14/24)</formula>
    </cfRule>
    <cfRule type="expression" dxfId="4577" priority="298">
      <formula>C$9&lt;8/24</formula>
    </cfRule>
  </conditionalFormatting>
  <conditionalFormatting sqref="T47:W47">
    <cfRule type="expression" dxfId="4576" priority="291">
      <formula>T$9&gt;=20/24</formula>
    </cfRule>
    <cfRule type="expression" dxfId="4575" priority="292">
      <formula>AND(T$9&gt;=14/24,T$9&lt;20/24)</formula>
    </cfRule>
    <cfRule type="expression" dxfId="4574" priority="293">
      <formula>AND(T$9&gt;=8/24,T$9&lt;14/24)</formula>
    </cfRule>
    <cfRule type="expression" dxfId="4573" priority="294">
      <formula>T$9&lt;8/24</formula>
    </cfRule>
  </conditionalFormatting>
  <conditionalFormatting sqref="T47:W47">
    <cfRule type="expression" dxfId="4572" priority="290">
      <formula>T47&gt;$AG47</formula>
    </cfRule>
  </conditionalFormatting>
  <conditionalFormatting sqref="E54:L55">
    <cfRule type="expression" dxfId="4571" priority="286">
      <formula>E$9&gt;=20/24</formula>
    </cfRule>
    <cfRule type="expression" dxfId="4570" priority="287">
      <formula>AND(E$9&gt;=14/24,E$9&lt;20/24)</formula>
    </cfRule>
    <cfRule type="expression" dxfId="4569" priority="288">
      <formula>AND(E$9&gt;=8/24,E$9&lt;14/24)</formula>
    </cfRule>
    <cfRule type="expression" dxfId="4568" priority="289">
      <formula>E$9&lt;8/24</formula>
    </cfRule>
  </conditionalFormatting>
  <conditionalFormatting sqref="E53:L53">
    <cfRule type="expression" dxfId="4567" priority="282">
      <formula>E$9&gt;=20/24</formula>
    </cfRule>
    <cfRule type="expression" dxfId="4566" priority="283">
      <formula>AND(E$9&gt;=14/24,E$9&lt;20/24)</formula>
    </cfRule>
    <cfRule type="expression" dxfId="4565" priority="284">
      <formula>AND(E$9&gt;=8/24,E$9&lt;14/24)</formula>
    </cfRule>
    <cfRule type="expression" dxfId="4564" priority="285">
      <formula>E$9&lt;8/24</formula>
    </cfRule>
  </conditionalFormatting>
  <conditionalFormatting sqref="E53:L55">
    <cfRule type="expression" dxfId="4563" priority="281">
      <formula>E53&gt;$AG53</formula>
    </cfRule>
  </conditionalFormatting>
  <conditionalFormatting sqref="AG70 AG87 E100:L106 Q67:W69">
    <cfRule type="expression" dxfId="4562" priority="277">
      <formula>E$9&gt;=20/24</formula>
    </cfRule>
    <cfRule type="expression" dxfId="4561" priority="278">
      <formula>AND(E$9&gt;=14/24,E$9&lt;20/24)</formula>
    </cfRule>
    <cfRule type="expression" dxfId="4560" priority="279">
      <formula>AND(E$9&gt;=8/24,E$9&lt;14/24)</formula>
    </cfRule>
    <cfRule type="expression" dxfId="4559" priority="280">
      <formula>E$9&lt;8/24</formula>
    </cfRule>
  </conditionalFormatting>
  <conditionalFormatting sqref="AG48 AG66 AG70 Q67:W69">
    <cfRule type="expression" dxfId="4558" priority="276">
      <formula>Q48&gt;$AG48</formula>
    </cfRule>
  </conditionalFormatting>
  <conditionalFormatting sqref="A43">
    <cfRule type="expression" dxfId="4557" priority="270">
      <formula>$AH43=0</formula>
    </cfRule>
  </conditionalFormatting>
  <conditionalFormatting sqref="X91:AF95">
    <cfRule type="expression" dxfId="4556" priority="266">
      <formula>X$9&gt;=20/24</formula>
    </cfRule>
    <cfRule type="expression" dxfId="4555" priority="267">
      <formula>AND(X$9&gt;=14/24,X$9&lt;20/24)</formula>
    </cfRule>
    <cfRule type="expression" dxfId="4554" priority="268">
      <formula>AND(X$9&gt;=8/24,X$9&lt;14/24)</formula>
    </cfRule>
    <cfRule type="expression" dxfId="4553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G49:AF51">
    <cfRule type="expression" dxfId="4552" priority="262">
      <formula>G$9&gt;=20/24</formula>
    </cfRule>
    <cfRule type="expression" dxfId="4551" priority="263">
      <formula>AND(G$9&gt;=14/24,G$9&lt;20/24)</formula>
    </cfRule>
    <cfRule type="expression" dxfId="4550" priority="264">
      <formula>AND(G$9&gt;=8/24,G$9&lt;14/24)</formula>
    </cfRule>
    <cfRule type="expression" dxfId="4549" priority="265">
      <formula>G$9&lt;8/24</formula>
    </cfRule>
  </conditionalFormatting>
  <conditionalFormatting sqref="G49:AF51">
    <cfRule type="expression" dxfId="4548" priority="261">
      <formula>G49&gt;$AG49</formula>
    </cfRule>
  </conditionalFormatting>
  <conditionalFormatting sqref="AG52">
    <cfRule type="expression" dxfId="4547" priority="257">
      <formula>AG$9&gt;=20/24</formula>
    </cfRule>
    <cfRule type="expression" dxfId="4546" priority="258">
      <formula>AND(AG$9&gt;=14/24,AG$9&lt;20/24)</formula>
    </cfRule>
    <cfRule type="expression" dxfId="4545" priority="259">
      <formula>AND(AG$9&gt;=8/24,AG$9&lt;14/24)</formula>
    </cfRule>
    <cfRule type="expression" dxfId="4544" priority="260">
      <formula>AG$9&lt;8/24</formula>
    </cfRule>
  </conditionalFormatting>
  <conditionalFormatting sqref="AG52">
    <cfRule type="expression" dxfId="4543" priority="256">
      <formula>AG52&gt;$AG52</formula>
    </cfRule>
  </conditionalFormatting>
  <conditionalFormatting sqref="C107:AF107">
    <cfRule type="expression" dxfId="4542" priority="252">
      <formula>C$9&gt;=20/24</formula>
    </cfRule>
    <cfRule type="expression" dxfId="4541" priority="253">
      <formula>AND(C$9&gt;=14/24,C$9&lt;20/24)</formula>
    </cfRule>
    <cfRule type="expression" dxfId="4540" priority="254">
      <formula>AND(C$9&gt;=8/24,C$9&lt;14/24)</formula>
    </cfRule>
    <cfRule type="expression" dxfId="4539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538" priority="250">
      <formula>$AH40=0</formula>
    </cfRule>
  </conditionalFormatting>
  <conditionalFormatting sqref="A90">
    <cfRule type="expression" dxfId="4537" priority="248">
      <formula>$AH90=0</formula>
    </cfRule>
  </conditionalFormatting>
  <conditionalFormatting sqref="A87">
    <cfRule type="expression" dxfId="4536" priority="249">
      <formula>$AH87=0</formula>
    </cfRule>
  </conditionalFormatting>
  <conditionalFormatting sqref="D110:AF110">
    <cfRule type="expression" dxfId="4535" priority="244">
      <formula>D$9&gt;=20/24</formula>
    </cfRule>
    <cfRule type="expression" dxfId="4534" priority="245">
      <formula>AND(D$9&gt;=14/24,D$9&lt;20/24)</formula>
    </cfRule>
    <cfRule type="expression" dxfId="4533" priority="246">
      <formula>AND(D$9&gt;=8/24,D$9&lt;14/24)</formula>
    </cfRule>
    <cfRule type="expression" dxfId="4532" priority="247">
      <formula>D$9&lt;8/24</formula>
    </cfRule>
  </conditionalFormatting>
  <conditionalFormatting sqref="A110">
    <cfRule type="expression" dxfId="4531" priority="243">
      <formula>$AH110=0</formula>
    </cfRule>
  </conditionalFormatting>
  <conditionalFormatting sqref="A21">
    <cfRule type="expression" dxfId="4530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529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4528" priority="235">
      <formula>Y$9&gt;=20/24</formula>
    </cfRule>
    <cfRule type="expression" dxfId="4527" priority="236">
      <formula>AND(Y$9&gt;=14/24,Y$9&lt;20/24)</formula>
    </cfRule>
    <cfRule type="expression" dxfId="4526" priority="237">
      <formula>AND(Y$9&gt;=8/24,Y$9&lt;14/24)</formula>
    </cfRule>
    <cfRule type="expression" dxfId="4525" priority="238">
      <formula>Y$9&lt;8/24</formula>
    </cfRule>
  </conditionalFormatting>
  <conditionalFormatting sqref="Y100:AD106">
    <cfRule type="expression" dxfId="4524" priority="231">
      <formula>Y$9&gt;=20/24</formula>
    </cfRule>
    <cfRule type="expression" dxfId="4523" priority="232">
      <formula>AND(Y$9&gt;=14/24,Y$9&lt;20/24)</formula>
    </cfRule>
    <cfRule type="expression" dxfId="4522" priority="233">
      <formula>AND(Y$9&gt;=8/24,Y$9&lt;14/24)</formula>
    </cfRule>
    <cfRule type="expression" dxfId="4521" priority="234">
      <formula>Y$9&lt;8/24</formula>
    </cfRule>
  </conditionalFormatting>
  <conditionalFormatting sqref="C109 C111:C116 O18:AF18">
    <cfRule type="expression" dxfId="4520" priority="227">
      <formula>C$9&gt;=20/24</formula>
    </cfRule>
    <cfRule type="expression" dxfId="4519" priority="228">
      <formula>AND(C$9&gt;=14/24,C$9&lt;20/24)</formula>
    </cfRule>
    <cfRule type="expression" dxfId="4518" priority="229">
      <formula>AND(C$9&gt;=8/24,C$9&lt;14/24)</formula>
    </cfRule>
    <cfRule type="expression" dxfId="4517" priority="230">
      <formula>C$9&lt;8/24</formula>
    </cfRule>
  </conditionalFormatting>
  <conditionalFormatting sqref="C47:S47">
    <cfRule type="expression" dxfId="4516" priority="223">
      <formula>C$9&gt;=20/24</formula>
    </cfRule>
    <cfRule type="expression" dxfId="4515" priority="224">
      <formula>AND(C$9&gt;=14/24,C$9&lt;20/24)</formula>
    </cfRule>
    <cfRule type="expression" dxfId="4514" priority="225">
      <formula>AND(C$9&gt;=8/24,C$9&lt;14/24)</formula>
    </cfRule>
    <cfRule type="expression" dxfId="4513" priority="226">
      <formula>C$9&lt;8/24</formula>
    </cfRule>
  </conditionalFormatting>
  <conditionalFormatting sqref="C47:S47 O18:AF18">
    <cfRule type="expression" dxfId="4512" priority="222">
      <formula>C18&gt;$AG18</formula>
    </cfRule>
  </conditionalFormatting>
  <conditionalFormatting sqref="C99:D99">
    <cfRule type="expression" dxfId="4511" priority="218">
      <formula>C$9&gt;=20/24</formula>
    </cfRule>
    <cfRule type="expression" dxfId="4510" priority="219">
      <formula>AND(C$9&gt;=14/24,C$9&lt;20/24)</formula>
    </cfRule>
    <cfRule type="expression" dxfId="4509" priority="220">
      <formula>AND(C$9&gt;=8/24,C$9&lt;14/24)</formula>
    </cfRule>
    <cfRule type="expression" dxfId="4508" priority="221">
      <formula>C$9&lt;8/24</formula>
    </cfRule>
  </conditionalFormatting>
  <conditionalFormatting sqref="C86 C96:W96 C83:AF85 C100:D106 E67:P69 E74:X76 Y75:AF76">
    <cfRule type="expression" dxfId="4507" priority="214">
      <formula>C$9&gt;=20/24</formula>
    </cfRule>
    <cfRule type="expression" dxfId="4506" priority="215">
      <formula>AND(C$9&gt;=14/24,C$9&lt;20/24)</formula>
    </cfRule>
    <cfRule type="expression" dxfId="4505" priority="216">
      <formula>AND(C$9&gt;=8/24,C$9&lt;14/24)</formula>
    </cfRule>
    <cfRule type="expression" dxfId="4504" priority="217">
      <formula>C$9&lt;8/24</formula>
    </cfRule>
  </conditionalFormatting>
  <conditionalFormatting sqref="E56:L57 E67:P69">
    <cfRule type="expression" dxfId="4503" priority="213">
      <formula>E56&gt;$AG56</formula>
    </cfRule>
  </conditionalFormatting>
  <conditionalFormatting sqref="E58:L58">
    <cfRule type="expression" dxfId="4502" priority="209">
      <formula>E$9&gt;=20/24</formula>
    </cfRule>
    <cfRule type="expression" dxfId="4501" priority="210">
      <formula>AND(E$9&gt;=14/24,E$9&lt;20/24)</formula>
    </cfRule>
    <cfRule type="expression" dxfId="4500" priority="211">
      <formula>AND(E$9&gt;=8/24,E$9&lt;14/24)</formula>
    </cfRule>
    <cfRule type="expression" dxfId="4499" priority="212">
      <formula>E$9&lt;8/24</formula>
    </cfRule>
  </conditionalFormatting>
  <conditionalFormatting sqref="E58:L58">
    <cfRule type="expression" dxfId="4498" priority="208">
      <formula>E58&gt;$AG58</formula>
    </cfRule>
  </conditionalFormatting>
  <conditionalFormatting sqref="B54:D57 B71:D71">
    <cfRule type="expression" dxfId="4497" priority="132">
      <formula>B$9&gt;=20/24</formula>
    </cfRule>
    <cfRule type="expression" dxfId="4496" priority="133">
      <formula>AND(B$9&gt;=14/24,B$9&lt;20/24)</formula>
    </cfRule>
    <cfRule type="expression" dxfId="4495" priority="134">
      <formula>AND(B$9&gt;=8/24,B$9&lt;14/24)</formula>
    </cfRule>
    <cfRule type="expression" dxfId="4494" priority="135">
      <formula>B$9&lt;8/24</formula>
    </cfRule>
  </conditionalFormatting>
  <conditionalFormatting sqref="P46:AF46">
    <cfRule type="expression" dxfId="4493" priority="204">
      <formula>P$9&gt;=20/24</formula>
    </cfRule>
    <cfRule type="expression" dxfId="4492" priority="205">
      <formula>AND(P$9&gt;=14/24,P$9&lt;20/24)</formula>
    </cfRule>
    <cfRule type="expression" dxfId="4491" priority="206">
      <formula>AND(P$9&gt;=8/24,P$9&lt;14/24)</formula>
    </cfRule>
    <cfRule type="expression" dxfId="4490" priority="207">
      <formula>P$9&lt;8/24</formula>
    </cfRule>
  </conditionalFormatting>
  <conditionalFormatting sqref="P46:AF46">
    <cfRule type="expression" dxfId="4489" priority="203">
      <formula>P46&gt;$AG46</formula>
    </cfRule>
  </conditionalFormatting>
  <conditionalFormatting sqref="C87:AF87 C89:AF89 C98:AF98 C70:AF70">
    <cfRule type="expression" dxfId="4488" priority="199">
      <formula>C$9&gt;=20/24</formula>
    </cfRule>
    <cfRule type="expression" dxfId="4487" priority="200">
      <formula>AND(C$9&gt;=14/24,C$9&lt;20/24)</formula>
    </cfRule>
    <cfRule type="expression" dxfId="4486" priority="201">
      <formula>AND(C$9&gt;=8/24,C$9&lt;14/24)</formula>
    </cfRule>
    <cfRule type="expression" dxfId="4485" priority="202">
      <formula>C$9&lt;8/24</formula>
    </cfRule>
  </conditionalFormatting>
  <conditionalFormatting sqref="C70:AF70 C65:AF66 C48:AF48">
    <cfRule type="expression" dxfId="4484" priority="198">
      <formula>C48&gt;$AG48</formula>
    </cfRule>
  </conditionalFormatting>
  <conditionalFormatting sqref="C82:AF82">
    <cfRule type="expression" dxfId="4483" priority="194">
      <formula>C$9&gt;=20/24</formula>
    </cfRule>
    <cfRule type="expression" dxfId="4482" priority="195">
      <formula>AND(C$9&gt;=14/24,C$9&lt;20/24)</formula>
    </cfRule>
    <cfRule type="expression" dxfId="4481" priority="196">
      <formula>AND(C$9&gt;=8/24,C$9&lt;14/24)</formula>
    </cfRule>
    <cfRule type="expression" dxfId="4480" priority="197">
      <formula>C$9&lt;8/24</formula>
    </cfRule>
  </conditionalFormatting>
  <conditionalFormatting sqref="C91:W95">
    <cfRule type="expression" dxfId="4479" priority="190">
      <formula>C$9&gt;=20/24</formula>
    </cfRule>
    <cfRule type="expression" dxfId="4478" priority="191">
      <formula>AND(C$9&gt;=14/24,C$9&lt;20/24)</formula>
    </cfRule>
    <cfRule type="expression" dxfId="4477" priority="192">
      <formula>AND(C$9&gt;=8/24,C$9&lt;14/24)</formula>
    </cfRule>
    <cfRule type="expression" dxfId="4476" priority="193">
      <formula>C$9&lt;8/24</formula>
    </cfRule>
  </conditionalFormatting>
  <conditionalFormatting sqref="C52:AF52">
    <cfRule type="expression" dxfId="4475" priority="186">
      <formula>C$9&gt;=20/24</formula>
    </cfRule>
    <cfRule type="expression" dxfId="4474" priority="187">
      <formula>AND(C$9&gt;=14/24,C$9&lt;20/24)</formula>
    </cfRule>
    <cfRule type="expression" dxfId="4473" priority="188">
      <formula>AND(C$9&gt;=8/24,C$9&lt;14/24)</formula>
    </cfRule>
    <cfRule type="expression" dxfId="4472" priority="189">
      <formula>C$9&lt;8/24</formula>
    </cfRule>
  </conditionalFormatting>
  <conditionalFormatting sqref="C52:AF52">
    <cfRule type="expression" dxfId="4471" priority="185">
      <formula>C52&gt;$AG52</formula>
    </cfRule>
  </conditionalFormatting>
  <conditionalFormatting sqref="B49:F51">
    <cfRule type="expression" dxfId="4470" priority="100">
      <formula>B$9&gt;=20/24</formula>
    </cfRule>
    <cfRule type="expression" dxfId="4469" priority="101">
      <formula>AND(B$9&gt;=14/24,B$9&lt;20/24)</formula>
    </cfRule>
    <cfRule type="expression" dxfId="4468" priority="102">
      <formula>AND(B$9&gt;=8/24,B$9&lt;14/24)</formula>
    </cfRule>
    <cfRule type="expression" dxfId="4467" priority="103">
      <formula>B$9&lt;8/24</formula>
    </cfRule>
  </conditionalFormatting>
  <conditionalFormatting sqref="C110">
    <cfRule type="expression" dxfId="4466" priority="177">
      <formula>C$9&gt;=20/24</formula>
    </cfRule>
    <cfRule type="expression" dxfId="4465" priority="178">
      <formula>AND(C$9&gt;=14/24,C$9&lt;20/24)</formula>
    </cfRule>
    <cfRule type="expression" dxfId="4464" priority="179">
      <formula>AND(C$9&gt;=8/24,C$9&lt;14/24)</formula>
    </cfRule>
    <cfRule type="expression" dxfId="4463" priority="180">
      <formula>C$9&lt;8/24</formula>
    </cfRule>
  </conditionalFormatting>
  <conditionalFormatting sqref="I62:J63 E59:J61 B62:H62 J64 K59:L64 M62:P64 Q59:AF64">
    <cfRule type="expression" dxfId="4462" priority="173">
      <formula>B$9&gt;=20/24</formula>
    </cfRule>
    <cfRule type="expression" dxfId="4461" priority="174">
      <formula>AND(B$9&gt;=14/24,B$9&lt;20/24)</formula>
    </cfRule>
    <cfRule type="expression" dxfId="4460" priority="175">
      <formula>AND(B$9&gt;=8/24,B$9&lt;14/24)</formula>
    </cfRule>
    <cfRule type="expression" dxfId="4459" priority="176">
      <formula>B$9&lt;8/24</formula>
    </cfRule>
  </conditionalFormatting>
  <conditionalFormatting sqref="I62:J63 E59:J61 B62:H62 J64 K59:L64 M62:P64 Q59:AF64">
    <cfRule type="expression" dxfId="4458" priority="172">
      <formula>B59&gt;$AG59</formula>
    </cfRule>
  </conditionalFormatting>
  <conditionalFormatting sqref="Y13:AB13 AC13:AF15">
    <cfRule type="expression" dxfId="4457" priority="171">
      <formula>Y13&gt;$AG13</formula>
    </cfRule>
  </conditionalFormatting>
  <conditionalFormatting sqref="Y12:AF12">
    <cfRule type="expression" dxfId="4456" priority="167">
      <formula>Y$9&gt;=20/24</formula>
    </cfRule>
    <cfRule type="expression" dxfId="4455" priority="168">
      <formula>AND(Y$9&gt;=14/24,Y$9&lt;20/24)</formula>
    </cfRule>
    <cfRule type="expression" dxfId="4454" priority="169">
      <formula>AND(Y$9&gt;=8/24,Y$9&lt;14/24)</formula>
    </cfRule>
    <cfRule type="expression" dxfId="4453" priority="170">
      <formula>Y$9&lt;8/24</formula>
    </cfRule>
  </conditionalFormatting>
  <conditionalFormatting sqref="Y12:AF12">
    <cfRule type="expression" dxfId="4452" priority="166">
      <formula>Y12&gt;$AG12</formula>
    </cfRule>
  </conditionalFormatting>
  <conditionalFormatting sqref="Y13:AB13 AC13:AF15">
    <cfRule type="expression" dxfId="4451" priority="162">
      <formula>Y$9&gt;=20/24</formula>
    </cfRule>
    <cfRule type="expression" dxfId="4450" priority="163">
      <formula>AND(Y$9&gt;=14/24,Y$9&lt;20/24)</formula>
    </cfRule>
    <cfRule type="expression" dxfId="4449" priority="164">
      <formula>AND(Y$9&gt;=8/24,Y$9&lt;14/24)</formula>
    </cfRule>
    <cfRule type="expression" dxfId="4448" priority="165">
      <formula>Y$9&lt;8/24</formula>
    </cfRule>
  </conditionalFormatting>
  <conditionalFormatting sqref="E77:AF81">
    <cfRule type="expression" dxfId="4447" priority="154">
      <formula>E$9&gt;=20/24</formula>
    </cfRule>
    <cfRule type="expression" dxfId="4446" priority="155">
      <formula>AND(E$9&gt;=14/24,E$9&lt;20/24)</formula>
    </cfRule>
    <cfRule type="expression" dxfId="4445" priority="156">
      <formula>AND(E$9&gt;=8/24,E$9&lt;14/24)</formula>
    </cfRule>
    <cfRule type="expression" dxfId="4444" priority="157">
      <formula>E$9&lt;8/24</formula>
    </cfRule>
  </conditionalFormatting>
  <conditionalFormatting sqref="AL78:AN78 AL84:AN84 AN79:AN80">
    <cfRule type="expression" dxfId="4443" priority="150">
      <formula>AL$9&gt;=20/24</formula>
    </cfRule>
    <cfRule type="expression" dxfId="4442" priority="151">
      <formula>AND(AL$9&gt;=14/24,AL$9&lt;20/24)</formula>
    </cfRule>
    <cfRule type="expression" dxfId="4441" priority="152">
      <formula>AND(AL$9&gt;=8/24,AL$9&lt;14/24)</formula>
    </cfRule>
    <cfRule type="expression" dxfId="4440" priority="153">
      <formula>AL$9&lt;8/24</formula>
    </cfRule>
  </conditionalFormatting>
  <conditionalFormatting sqref="AN81:AN82">
    <cfRule type="expression" dxfId="4439" priority="146">
      <formula>AN$9&gt;=20/24</formula>
    </cfRule>
    <cfRule type="expression" dxfId="4438" priority="147">
      <formula>AND(AN$9&gt;=14/24,AN$9&lt;20/24)</formula>
    </cfRule>
    <cfRule type="expression" dxfId="4437" priority="148">
      <formula>AND(AN$9&gt;=8/24,AN$9&lt;14/24)</formula>
    </cfRule>
    <cfRule type="expression" dxfId="4436" priority="149">
      <formula>AN$9&lt;8/24</formula>
    </cfRule>
  </conditionalFormatting>
  <conditionalFormatting sqref="AL79:AM83">
    <cfRule type="expression" dxfId="4435" priority="368">
      <formula>AJ$9&gt;=20/24</formula>
    </cfRule>
    <cfRule type="expression" dxfId="4434" priority="369">
      <formula>AND(AJ$9&gt;=14/24,AJ$9&lt;20/24)</formula>
    </cfRule>
    <cfRule type="expression" dxfId="4433" priority="370">
      <formula>AND(AJ$9&gt;=8/24,AJ$9&lt;14/24)</formula>
    </cfRule>
    <cfRule type="expression" dxfId="4432" priority="371">
      <formula>AJ$9&lt;8/24</formula>
    </cfRule>
  </conditionalFormatting>
  <conditionalFormatting sqref="A117">
    <cfRule type="expression" dxfId="4431" priority="145">
      <formula>$AH117=0</formula>
    </cfRule>
  </conditionalFormatting>
  <conditionalFormatting sqref="B109 B111:B116 B17:N32 B12:X15 Y14:AB15 O17:AF17 O19:AF32 B34:AF43 B45:AF45">
    <cfRule type="expression" dxfId="4430" priority="141">
      <formula>B$9&gt;=20/24</formula>
    </cfRule>
    <cfRule type="expression" dxfId="4429" priority="142">
      <formula>AND(B$9&gt;=14/24,B$9&lt;20/24)</formula>
    </cfRule>
    <cfRule type="expression" dxfId="4428" priority="143">
      <formula>AND(B$9&gt;=8/24,B$9&lt;14/24)</formula>
    </cfRule>
    <cfRule type="expression" dxfId="4427" priority="144">
      <formula>B$9&lt;8/24</formula>
    </cfRule>
  </conditionalFormatting>
  <conditionalFormatting sqref="B17:N32 B12:X15 Y14:AB15 O17:AF17 O19:AF32 B34:AF43 B45:AF45">
    <cfRule type="expression" dxfId="4426" priority="140">
      <formula>B12&gt;$AG12</formula>
    </cfRule>
  </conditionalFormatting>
  <conditionalFormatting sqref="B99">
    <cfRule type="expression" dxfId="4425" priority="136">
      <formula>B$9&gt;=20/24</formula>
    </cfRule>
    <cfRule type="expression" dxfId="4424" priority="137">
      <formula>AND(B$9&gt;=14/24,B$9&lt;20/24)</formula>
    </cfRule>
    <cfRule type="expression" dxfId="4423" priority="138">
      <formula>AND(B$9&gt;=8/24,B$9&lt;14/24)</formula>
    </cfRule>
    <cfRule type="expression" dxfId="4422" priority="139">
      <formula>B$9&lt;8/24</formula>
    </cfRule>
  </conditionalFormatting>
  <conditionalFormatting sqref="B53:D53">
    <cfRule type="expression" dxfId="4421" priority="128">
      <formula>B$9&gt;=20/24</formula>
    </cfRule>
    <cfRule type="expression" dxfId="4420" priority="129">
      <formula>AND(B$9&gt;=14/24,B$9&lt;20/24)</formula>
    </cfRule>
    <cfRule type="expression" dxfId="4419" priority="130">
      <formula>AND(B$9&gt;=8/24,B$9&lt;14/24)</formula>
    </cfRule>
    <cfRule type="expression" dxfId="4418" priority="131">
      <formula>B$9&lt;8/24</formula>
    </cfRule>
  </conditionalFormatting>
  <conditionalFormatting sqref="B53:D57">
    <cfRule type="expression" dxfId="4417" priority="127">
      <formula>B53&gt;$AG53</formula>
    </cfRule>
  </conditionalFormatting>
  <conditionalFormatting sqref="B96 B100:B106 B86 B47 B67:D69 B72:D74">
    <cfRule type="expression" dxfId="4416" priority="123">
      <formula>B$9&gt;=20/24</formula>
    </cfRule>
    <cfRule type="expression" dxfId="4415" priority="124">
      <formula>AND(B$9&gt;=14/24,B$9&lt;20/24)</formula>
    </cfRule>
    <cfRule type="expression" dxfId="4414" priority="125">
      <formula>AND(B$9&gt;=8/24,B$9&lt;14/24)</formula>
    </cfRule>
    <cfRule type="expression" dxfId="4413" priority="126">
      <formula>B$9&lt;8/24</formula>
    </cfRule>
  </conditionalFormatting>
  <conditionalFormatting sqref="B47 B67:D69">
    <cfRule type="expression" dxfId="4412" priority="122">
      <formula>B47&gt;$AG47</formula>
    </cfRule>
  </conditionalFormatting>
  <conditionalFormatting sqref="B97 B88:C88">
    <cfRule type="expression" dxfId="4411" priority="118">
      <formula>B$9&gt;=20/24</formula>
    </cfRule>
    <cfRule type="expression" dxfId="4410" priority="119">
      <formula>AND(B$9&gt;=14/24,B$9&lt;20/24)</formula>
    </cfRule>
    <cfRule type="expression" dxfId="4409" priority="120">
      <formula>AND(B$9&gt;=8/24,B$9&lt;14/24)</formula>
    </cfRule>
    <cfRule type="expression" dxfId="4408" priority="121">
      <formula>B$9&lt;8/24</formula>
    </cfRule>
  </conditionalFormatting>
  <conditionalFormatting sqref="B46:O46">
    <cfRule type="expression" dxfId="4407" priority="114">
      <formula>B$9&gt;=20/24</formula>
    </cfRule>
    <cfRule type="expression" dxfId="4406" priority="115">
      <formula>AND(B$9&gt;=14/24,B$9&lt;20/24)</formula>
    </cfRule>
    <cfRule type="expression" dxfId="4405" priority="116">
      <formula>AND(B$9&gt;=8/24,B$9&lt;14/24)</formula>
    </cfRule>
    <cfRule type="expression" dxfId="4404" priority="117">
      <formula>B$9&lt;8/24</formula>
    </cfRule>
  </conditionalFormatting>
  <conditionalFormatting sqref="B46:O46">
    <cfRule type="expression" dxfId="4403" priority="113">
      <formula>B46&gt;$AG46</formula>
    </cfRule>
  </conditionalFormatting>
  <conditionalFormatting sqref="B58:D58">
    <cfRule type="expression" dxfId="4402" priority="109">
      <formula>B$9&gt;=20/24</formula>
    </cfRule>
    <cfRule type="expression" dxfId="4401" priority="110">
      <formula>AND(B$9&gt;=14/24,B$9&lt;20/24)</formula>
    </cfRule>
    <cfRule type="expression" dxfId="4400" priority="111">
      <formula>AND(B$9&gt;=8/24,B$9&lt;14/24)</formula>
    </cfRule>
    <cfRule type="expression" dxfId="4399" priority="112">
      <formula>B$9&lt;8/24</formula>
    </cfRule>
  </conditionalFormatting>
  <conditionalFormatting sqref="B58:D58">
    <cfRule type="expression" dxfId="4398" priority="108">
      <formula>B58&gt;$AG58</formula>
    </cfRule>
  </conditionalFormatting>
  <conditionalFormatting sqref="B91:B95">
    <cfRule type="expression" dxfId="4397" priority="104">
      <formula>B$9&gt;=20/24</formula>
    </cfRule>
    <cfRule type="expression" dxfId="4396" priority="105">
      <formula>AND(B$9&gt;=14/24,B$9&lt;20/24)</formula>
    </cfRule>
    <cfRule type="expression" dxfId="4395" priority="106">
      <formula>AND(B$9&gt;=8/24,B$9&lt;14/24)</formula>
    </cfRule>
    <cfRule type="expression" dxfId="4394" priority="107">
      <formula>B$9&lt;8/24</formula>
    </cfRule>
  </conditionalFormatting>
  <conditionalFormatting sqref="B49:F51">
    <cfRule type="expression" dxfId="4393" priority="99">
      <formula>B49&gt;$AG49</formula>
    </cfRule>
  </conditionalFormatting>
  <conditionalFormatting sqref="B107">
    <cfRule type="expression" dxfId="4392" priority="95">
      <formula>B$9&gt;=20/24</formula>
    </cfRule>
    <cfRule type="expression" dxfId="4391" priority="96">
      <formula>AND(B$9&gt;=14/24,B$9&lt;20/24)</formula>
    </cfRule>
    <cfRule type="expression" dxfId="4390" priority="97">
      <formula>AND(B$9&gt;=8/24,B$9&lt;14/24)</formula>
    </cfRule>
    <cfRule type="expression" dxfId="4389" priority="98">
      <formula>B$9&lt;8/24</formula>
    </cfRule>
  </conditionalFormatting>
  <conditionalFormatting sqref="B110">
    <cfRule type="expression" dxfId="4388" priority="91">
      <formula>B$9&gt;=20/24</formula>
    </cfRule>
    <cfRule type="expression" dxfId="4387" priority="92">
      <formula>AND(B$9&gt;=14/24,B$9&lt;20/24)</formula>
    </cfRule>
    <cfRule type="expression" dxfId="4386" priority="93">
      <formula>AND(B$9&gt;=8/24,B$9&lt;14/24)</formula>
    </cfRule>
    <cfRule type="expression" dxfId="4385" priority="94">
      <formula>B$9&lt;8/24</formula>
    </cfRule>
  </conditionalFormatting>
  <conditionalFormatting sqref="B83:B85 B75:D76">
    <cfRule type="expression" dxfId="4384" priority="87">
      <formula>B$9&gt;=20/24</formula>
    </cfRule>
    <cfRule type="expression" dxfId="4383" priority="88">
      <formula>AND(B$9&gt;=14/24,B$9&lt;20/24)</formula>
    </cfRule>
    <cfRule type="expression" dxfId="4382" priority="89">
      <formula>AND(B$9&gt;=8/24,B$9&lt;14/24)</formula>
    </cfRule>
    <cfRule type="expression" dxfId="4381" priority="90">
      <formula>B$9&lt;8/24</formula>
    </cfRule>
  </conditionalFormatting>
  <conditionalFormatting sqref="B89 B98 B70 B87">
    <cfRule type="expression" dxfId="4380" priority="83">
      <formula>B$9&gt;=20/24</formula>
    </cfRule>
    <cfRule type="expression" dxfId="4379" priority="84">
      <formula>AND(B$9&gt;=14/24,B$9&lt;20/24)</formula>
    </cfRule>
    <cfRule type="expression" dxfId="4378" priority="85">
      <formula>AND(B$9&gt;=8/24,B$9&lt;14/24)</formula>
    </cfRule>
    <cfRule type="expression" dxfId="4377" priority="86">
      <formula>B$9&lt;8/24</formula>
    </cfRule>
  </conditionalFormatting>
  <conditionalFormatting sqref="B48 B65:B66 B70">
    <cfRule type="expression" dxfId="4376" priority="82">
      <formula>B48&gt;$AG48</formula>
    </cfRule>
  </conditionalFormatting>
  <conditionalFormatting sqref="B82">
    <cfRule type="expression" dxfId="4375" priority="78">
      <formula>B$9&gt;=20/24</formula>
    </cfRule>
    <cfRule type="expression" dxfId="4374" priority="79">
      <formula>AND(B$9&gt;=14/24,B$9&lt;20/24)</formula>
    </cfRule>
    <cfRule type="expression" dxfId="4373" priority="80">
      <formula>AND(B$9&gt;=8/24,B$9&lt;14/24)</formula>
    </cfRule>
    <cfRule type="expression" dxfId="4372" priority="81">
      <formula>B$9&lt;8/24</formula>
    </cfRule>
  </conditionalFormatting>
  <conditionalFormatting sqref="B52">
    <cfRule type="expression" dxfId="4371" priority="74">
      <formula>B$9&gt;=20/24</formula>
    </cfRule>
    <cfRule type="expression" dxfId="4370" priority="75">
      <formula>AND(B$9&gt;=14/24,B$9&lt;20/24)</formula>
    </cfRule>
    <cfRule type="expression" dxfId="4369" priority="76">
      <formula>AND(B$9&gt;=8/24,B$9&lt;14/24)</formula>
    </cfRule>
    <cfRule type="expression" dxfId="4368" priority="77">
      <formula>B$9&lt;8/24</formula>
    </cfRule>
  </conditionalFormatting>
  <conditionalFormatting sqref="B52">
    <cfRule type="expression" dxfId="4367" priority="73">
      <formula>B52&gt;$AG52</formula>
    </cfRule>
  </conditionalFormatting>
  <conditionalFormatting sqref="B59:D61 B63:H64 I64">
    <cfRule type="expression" dxfId="4366" priority="65">
      <formula>B$9&gt;=20/24</formula>
    </cfRule>
    <cfRule type="expression" dxfId="4365" priority="66">
      <formula>AND(B$9&gt;=14/24,B$9&lt;20/24)</formula>
    </cfRule>
    <cfRule type="expression" dxfId="4364" priority="67">
      <formula>AND(B$9&gt;=8/24,B$9&lt;14/24)</formula>
    </cfRule>
    <cfRule type="expression" dxfId="4363" priority="68">
      <formula>B$9&lt;8/24</formula>
    </cfRule>
  </conditionalFormatting>
  <conditionalFormatting sqref="B59:D61 B63:H64 I64">
    <cfRule type="expression" dxfId="4362" priority="64">
      <formula>B59&gt;$AG59</formula>
    </cfRule>
  </conditionalFormatting>
  <conditionalFormatting sqref="B77:D81">
    <cfRule type="expression" dxfId="4361" priority="60">
      <formula>B$9&gt;=20/24</formula>
    </cfRule>
    <cfRule type="expression" dxfId="4360" priority="61">
      <formula>AND(B$9&gt;=14/24,B$9&lt;20/24)</formula>
    </cfRule>
    <cfRule type="expression" dxfId="4359" priority="62">
      <formula>AND(B$9&gt;=8/24,B$9&lt;14/24)</formula>
    </cfRule>
    <cfRule type="expression" dxfId="4358" priority="63">
      <formula>B$9&lt;8/24</formula>
    </cfRule>
  </conditionalFormatting>
  <conditionalFormatting sqref="A11">
    <cfRule type="expression" dxfId="4357" priority="59">
      <formula>$AH11=0</formula>
    </cfRule>
  </conditionalFormatting>
  <conditionalFormatting sqref="Y11:AF11">
    <cfRule type="expression" dxfId="4356" priority="55">
      <formula>Y$9&gt;=20/24</formula>
    </cfRule>
    <cfRule type="expression" dxfId="4355" priority="56">
      <formula>AND(Y$9&gt;=14/24,Y$9&lt;20/24)</formula>
    </cfRule>
    <cfRule type="expression" dxfId="4354" priority="57">
      <formula>AND(Y$9&gt;=8/24,Y$9&lt;14/24)</formula>
    </cfRule>
    <cfRule type="expression" dxfId="4353" priority="58">
      <formula>Y$9&lt;8/24</formula>
    </cfRule>
  </conditionalFormatting>
  <conditionalFormatting sqref="Y11:AF11">
    <cfRule type="expression" dxfId="4352" priority="54">
      <formula>Y11&gt;$AG11</formula>
    </cfRule>
  </conditionalFormatting>
  <conditionalFormatting sqref="B11:X11">
    <cfRule type="expression" dxfId="4351" priority="50">
      <formula>B$9&gt;=20/24</formula>
    </cfRule>
    <cfRule type="expression" dxfId="4350" priority="51">
      <formula>AND(B$9&gt;=14/24,B$9&lt;20/24)</formula>
    </cfRule>
    <cfRule type="expression" dxfId="4349" priority="52">
      <formula>AND(B$9&gt;=8/24,B$9&lt;14/24)</formula>
    </cfRule>
    <cfRule type="expression" dxfId="4348" priority="53">
      <formula>B$9&lt;8/24</formula>
    </cfRule>
  </conditionalFormatting>
  <conditionalFormatting sqref="B11:X11">
    <cfRule type="expression" dxfId="4347" priority="49">
      <formula>B11&gt;$AG11</formula>
    </cfRule>
  </conditionalFormatting>
  <conditionalFormatting sqref="A16">
    <cfRule type="expression" dxfId="4346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4345" priority="38">
      <formula>B$9&gt;=20/24</formula>
    </cfRule>
    <cfRule type="expression" dxfId="4344" priority="39">
      <formula>AND(B$9&gt;=14/24,B$9&lt;20/24)</formula>
    </cfRule>
    <cfRule type="expression" dxfId="4343" priority="40">
      <formula>AND(B$9&gt;=8/24,B$9&lt;14/24)</formula>
    </cfRule>
    <cfRule type="expression" dxfId="4342" priority="41">
      <formula>B$9&lt;8/24</formula>
    </cfRule>
  </conditionalFormatting>
  <conditionalFormatting sqref="B16:AF16">
    <cfRule type="expression" dxfId="4341" priority="37">
      <formula>B16&gt;$AG16</formula>
    </cfRule>
  </conditionalFormatting>
  <conditionalFormatting sqref="A33">
    <cfRule type="expression" dxfId="4340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4339" priority="26">
      <formula>B$9&gt;=20/24</formula>
    </cfRule>
    <cfRule type="expression" dxfId="4338" priority="27">
      <formula>AND(B$9&gt;=14/24,B$9&lt;20/24)</formula>
    </cfRule>
    <cfRule type="expression" dxfId="4337" priority="28">
      <formula>AND(B$9&gt;=8/24,B$9&lt;14/24)</formula>
    </cfRule>
    <cfRule type="expression" dxfId="4336" priority="29">
      <formula>B$9&lt;8/24</formula>
    </cfRule>
  </conditionalFormatting>
  <conditionalFormatting sqref="B33:AF33">
    <cfRule type="expression" dxfId="4335" priority="25">
      <formula>B33&gt;$AG33</formula>
    </cfRule>
  </conditionalFormatting>
  <conditionalFormatting sqref="A44">
    <cfRule type="expression" dxfId="4334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4333" priority="14">
      <formula>B$9&gt;=20/24</formula>
    </cfRule>
    <cfRule type="expression" dxfId="4332" priority="15">
      <formula>AND(B$9&gt;=14/24,B$9&lt;20/24)</formula>
    </cfRule>
    <cfRule type="expression" dxfId="4331" priority="16">
      <formula>AND(B$9&gt;=8/24,B$9&lt;14/24)</formula>
    </cfRule>
    <cfRule type="expression" dxfId="4330" priority="17">
      <formula>B$9&lt;8/24</formula>
    </cfRule>
  </conditionalFormatting>
  <conditionalFormatting sqref="B44:AF44">
    <cfRule type="expression" dxfId="4329" priority="13">
      <formula>B44&gt;$AG44</formula>
    </cfRule>
  </conditionalFormatting>
  <conditionalFormatting sqref="B117">
    <cfRule type="expression" dxfId="4328" priority="1">
      <formula>B$9&gt;=20/24</formula>
    </cfRule>
    <cfRule type="expression" dxfId="4327" priority="2">
      <formula>AND(B$9&gt;=14/24,B$9&lt;20/24)</formula>
    </cfRule>
    <cfRule type="expression" dxfId="4326" priority="3">
      <formula>AND(B$9&gt;=8/24,B$9&lt;14/24)</formula>
    </cfRule>
    <cfRule type="expression" dxfId="4325" priority="4">
      <formula>B$9&lt;8/24</formula>
    </cfRule>
  </conditionalFormatting>
  <conditionalFormatting sqref="D117:AF117">
    <cfRule type="expression" dxfId="4324" priority="9">
      <formula>D$9&gt;=20/24</formula>
    </cfRule>
    <cfRule type="expression" dxfId="4323" priority="10">
      <formula>AND(D$9&gt;=14/24,D$9&lt;20/24)</formula>
    </cfRule>
    <cfRule type="expression" dxfId="4322" priority="11">
      <formula>AND(D$9&gt;=8/24,D$9&lt;14/24)</formula>
    </cfRule>
    <cfRule type="expression" dxfId="4321" priority="12">
      <formula>D$9&lt;8/24</formula>
    </cfRule>
  </conditionalFormatting>
  <conditionalFormatting sqref="C117">
    <cfRule type="expression" dxfId="4320" priority="5">
      <formula>C$9&gt;=20/24</formula>
    </cfRule>
    <cfRule type="expression" dxfId="4319" priority="6">
      <formula>AND(C$9&gt;=14/24,C$9&lt;20/24)</formula>
    </cfRule>
    <cfRule type="expression" dxfId="4318" priority="7">
      <formula>AND(C$9&gt;=8/24,C$9&lt;14/24)</formula>
    </cfRule>
    <cfRule type="expression" dxfId="4317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A3CE7BBB-E2F4-4490-A219-D90D95C2BDF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FD47CC6A-29DC-446F-AB6C-B85EF695EBC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7FA62188-AECC-41F3-B5E0-2E745C7150C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E915A7EF-DA66-4D49-9A10-5F8E1524940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F0206F9A-CB3E-4E2A-831C-4FE51F0FDD7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B47B728F-0E82-4224-A0D9-48882F9AA92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8D4A6311-05BD-48F0-95FE-19C8A8A0676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B5786D20-ED35-4E1E-9666-C0A74A4BF68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101" activePane="bottomLeft" state="frozen"/>
      <selection activeCell="Z85" sqref="Z85"/>
      <selection pane="bottomLeft" activeCell="Y116" sqref="Y116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2079/12/22</v>
      </c>
      <c r="C4" s="196"/>
      <c r="D4" s="196"/>
      <c r="E4" s="197" t="str">
        <f ca="1">"2079/"&amp;"12/"&amp;INT(MID(CELL("filename",G6),FIND("]",CELL("filename",G6))+1,200))</f>
        <v>2079/12/22</v>
      </c>
      <c r="F4" s="197"/>
      <c r="G4" s="197"/>
      <c r="H4" s="197" t="str">
        <f ca="1">TEXT(E4,"dddd")</f>
        <v>Friday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438</v>
      </c>
      <c r="C5" s="33">
        <f t="shared" si="0"/>
        <v>419</v>
      </c>
      <c r="D5" s="33">
        <f t="shared" si="0"/>
        <v>425</v>
      </c>
      <c r="E5" s="33">
        <f t="shared" si="0"/>
        <v>430</v>
      </c>
      <c r="F5" s="33">
        <f t="shared" si="0"/>
        <v>419</v>
      </c>
      <c r="G5" s="33">
        <f t="shared" si="0"/>
        <v>419</v>
      </c>
      <c r="H5" s="33">
        <f t="shared" si="0"/>
        <v>389</v>
      </c>
      <c r="I5" s="33">
        <f t="shared" si="0"/>
        <v>391</v>
      </c>
      <c r="J5" s="33">
        <f t="shared" si="0"/>
        <v>419</v>
      </c>
      <c r="K5" s="33">
        <f t="shared" si="0"/>
        <v>439</v>
      </c>
      <c r="L5" s="33">
        <f t="shared" si="0"/>
        <v>422.5</v>
      </c>
      <c r="M5" s="33">
        <f t="shared" si="0"/>
        <v>430</v>
      </c>
      <c r="N5" s="33">
        <f t="shared" si="0"/>
        <v>456.40000000000003</v>
      </c>
      <c r="O5" s="33">
        <f t="shared" si="0"/>
        <v>457.40000000000003</v>
      </c>
      <c r="P5" s="33">
        <f t="shared" si="0"/>
        <v>478.90000000000003</v>
      </c>
      <c r="Q5" s="33">
        <f t="shared" si="0"/>
        <v>460.29999999999995</v>
      </c>
      <c r="R5" s="33">
        <f t="shared" si="0"/>
        <v>453.00000000000006</v>
      </c>
      <c r="S5" s="33">
        <f t="shared" si="0"/>
        <v>469.8</v>
      </c>
      <c r="T5" s="33">
        <f t="shared" si="0"/>
        <v>430.3</v>
      </c>
      <c r="U5" s="33">
        <f t="shared" si="0"/>
        <v>423.20000000000005</v>
      </c>
      <c r="V5" s="33">
        <f t="shared" si="0"/>
        <v>427.9</v>
      </c>
      <c r="W5" s="33">
        <f t="shared" si="0"/>
        <v>404.90000000000003</v>
      </c>
      <c r="X5" s="33">
        <f t="shared" si="0"/>
        <v>388</v>
      </c>
      <c r="Y5" s="33">
        <f t="shared" si="0"/>
        <v>424.3</v>
      </c>
      <c r="Z5" s="33">
        <f t="shared" si="0"/>
        <v>409.29999999999995</v>
      </c>
      <c r="AA5" s="33">
        <f t="shared" si="0"/>
        <v>435.8</v>
      </c>
      <c r="AB5" s="33">
        <f t="shared" si="0"/>
        <v>408</v>
      </c>
      <c r="AC5" s="33">
        <f t="shared" si="0"/>
        <v>414</v>
      </c>
      <c r="AD5" s="33">
        <f t="shared" si="0"/>
        <v>433.6</v>
      </c>
      <c r="AE5" s="33">
        <f t="shared" si="0"/>
        <v>414.5</v>
      </c>
      <c r="AF5" s="33">
        <f>B82</f>
        <v>406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1315MW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Load=922</v>
      </c>
      <c r="B7" s="38">
        <f t="shared" ref="B7:AF7" si="1">B89</f>
        <v>1065.6399999999999</v>
      </c>
      <c r="C7" s="38">
        <f t="shared" si="1"/>
        <v>985.64</v>
      </c>
      <c r="D7" s="38">
        <f t="shared" si="1"/>
        <v>938.64</v>
      </c>
      <c r="E7" s="38">
        <f t="shared" si="1"/>
        <v>937.64</v>
      </c>
      <c r="F7" s="38">
        <f t="shared" si="1"/>
        <v>942.64</v>
      </c>
      <c r="G7" s="38">
        <f t="shared" si="1"/>
        <v>931.64</v>
      </c>
      <c r="H7" s="38">
        <f t="shared" si="1"/>
        <v>931.64</v>
      </c>
      <c r="I7" s="38">
        <f t="shared" si="1"/>
        <v>921.64</v>
      </c>
      <c r="J7" s="38">
        <f t="shared" si="1"/>
        <v>1005.64</v>
      </c>
      <c r="K7" s="38">
        <f t="shared" si="1"/>
        <v>1260.6399999999999</v>
      </c>
      <c r="L7" s="38">
        <f t="shared" si="1"/>
        <v>1282.8399999999999</v>
      </c>
      <c r="M7" s="38">
        <f t="shared" si="1"/>
        <v>1315.14</v>
      </c>
      <c r="N7" s="38">
        <f>N89</f>
        <v>1298.1399999999999</v>
      </c>
      <c r="O7" s="38">
        <f t="shared" si="1"/>
        <v>1355.44</v>
      </c>
      <c r="P7" s="38">
        <f t="shared" si="1"/>
        <v>1316.8400000000001</v>
      </c>
      <c r="Q7" s="38">
        <f t="shared" si="1"/>
        <v>1316.2400000000002</v>
      </c>
      <c r="R7" s="38">
        <f t="shared" si="1"/>
        <v>1322.8400000000001</v>
      </c>
      <c r="S7" s="38">
        <f t="shared" si="1"/>
        <v>1342.44</v>
      </c>
      <c r="T7" s="38">
        <f t="shared" si="1"/>
        <v>1353.24</v>
      </c>
      <c r="U7" s="38">
        <f t="shared" si="1"/>
        <v>1366.74</v>
      </c>
      <c r="V7" s="38">
        <f t="shared" si="1"/>
        <v>1329.44</v>
      </c>
      <c r="W7" s="38">
        <f t="shared" si="1"/>
        <v>1334.3400000000001</v>
      </c>
      <c r="X7" s="38">
        <f t="shared" si="1"/>
        <v>1374.44</v>
      </c>
      <c r="Y7" s="38">
        <f t="shared" si="1"/>
        <v>1454.44</v>
      </c>
      <c r="Z7" s="38">
        <f t="shared" si="1"/>
        <v>1594.74</v>
      </c>
      <c r="AA7" s="38">
        <f t="shared" si="1"/>
        <v>1544.34</v>
      </c>
      <c r="AB7" s="38">
        <f t="shared" si="1"/>
        <v>1495.84</v>
      </c>
      <c r="AC7" s="38">
        <f t="shared" si="1"/>
        <v>1484.14</v>
      </c>
      <c r="AD7" s="38">
        <f t="shared" si="1"/>
        <v>1367.1399999999999</v>
      </c>
      <c r="AE7" s="38">
        <f t="shared" si="1"/>
        <v>1294.54</v>
      </c>
      <c r="AF7" s="38">
        <f t="shared" si="1"/>
        <v>1148.44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30</v>
      </c>
      <c r="C11" s="50">
        <v>30</v>
      </c>
      <c r="D11" s="50">
        <v>30</v>
      </c>
      <c r="E11" s="50">
        <v>30</v>
      </c>
      <c r="F11" s="50">
        <v>30</v>
      </c>
      <c r="G11" s="50">
        <v>30</v>
      </c>
      <c r="H11" s="50">
        <v>30</v>
      </c>
      <c r="I11" s="50">
        <v>30</v>
      </c>
      <c r="J11" s="50">
        <v>30</v>
      </c>
      <c r="K11" s="50">
        <v>30</v>
      </c>
      <c r="L11" s="50">
        <v>30</v>
      </c>
      <c r="M11" s="50">
        <v>30</v>
      </c>
      <c r="N11" s="50">
        <v>30</v>
      </c>
      <c r="O11" s="50">
        <v>30</v>
      </c>
      <c r="P11" s="50">
        <v>30</v>
      </c>
      <c r="Q11" s="50">
        <v>30</v>
      </c>
      <c r="R11" s="50">
        <v>30</v>
      </c>
      <c r="S11" s="50">
        <v>30</v>
      </c>
      <c r="T11" s="50">
        <v>30</v>
      </c>
      <c r="U11" s="50">
        <v>30</v>
      </c>
      <c r="V11" s="50">
        <v>30</v>
      </c>
      <c r="W11" s="50">
        <v>30</v>
      </c>
      <c r="X11" s="50">
        <v>30</v>
      </c>
      <c r="Y11" s="50">
        <v>30</v>
      </c>
      <c r="Z11" s="50">
        <v>30</v>
      </c>
      <c r="AA11" s="50">
        <v>30</v>
      </c>
      <c r="AB11" s="50">
        <v>30</v>
      </c>
      <c r="AC11" s="50">
        <v>30</v>
      </c>
      <c r="AD11" s="50">
        <v>26</v>
      </c>
      <c r="AE11" s="50">
        <v>26</v>
      </c>
      <c r="AF11" s="50">
        <v>26</v>
      </c>
      <c r="AG11" s="51">
        <v>86</v>
      </c>
      <c r="AH11" s="52">
        <f t="shared" ref="AH11:AH74" si="2">MAX(B11:AF11)</f>
        <v>30</v>
      </c>
      <c r="AI11" s="53">
        <f t="shared" ref="AI11:AI74" si="3">MIN(B11:AF11)</f>
        <v>26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18</v>
      </c>
      <c r="C12" s="50">
        <v>18</v>
      </c>
      <c r="D12" s="50">
        <v>18</v>
      </c>
      <c r="E12" s="50">
        <v>18</v>
      </c>
      <c r="F12" s="50">
        <v>18</v>
      </c>
      <c r="G12" s="50">
        <v>18</v>
      </c>
      <c r="H12" s="50">
        <v>18</v>
      </c>
      <c r="I12" s="50">
        <v>18</v>
      </c>
      <c r="J12" s="50">
        <v>18</v>
      </c>
      <c r="K12" s="50">
        <v>18</v>
      </c>
      <c r="L12" s="50">
        <v>18</v>
      </c>
      <c r="M12" s="50">
        <v>16</v>
      </c>
      <c r="N12" s="50">
        <v>16</v>
      </c>
      <c r="O12" s="50">
        <v>16</v>
      </c>
      <c r="P12" s="50">
        <v>16</v>
      </c>
      <c r="Q12" s="50">
        <v>16</v>
      </c>
      <c r="R12" s="50">
        <v>16</v>
      </c>
      <c r="S12" s="50">
        <v>16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16.100000000000001</v>
      </c>
      <c r="AA12" s="50">
        <v>16.100000000000001</v>
      </c>
      <c r="AB12" s="50">
        <v>16.100000000000001</v>
      </c>
      <c r="AC12" s="50">
        <v>16.100000000000001</v>
      </c>
      <c r="AD12" s="50">
        <v>15.9</v>
      </c>
      <c r="AE12" s="50">
        <v>16</v>
      </c>
      <c r="AF12" s="50">
        <v>16</v>
      </c>
      <c r="AG12" s="51">
        <v>52.4</v>
      </c>
      <c r="AH12" s="52">
        <f t="shared" si="2"/>
        <v>18</v>
      </c>
      <c r="AI12" s="53">
        <f t="shared" si="3"/>
        <v>14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33.6</v>
      </c>
      <c r="C13" s="50">
        <v>33.6</v>
      </c>
      <c r="D13" s="50">
        <v>33.6</v>
      </c>
      <c r="E13" s="50">
        <v>33.6</v>
      </c>
      <c r="F13" s="50">
        <v>33.6</v>
      </c>
      <c r="G13" s="50">
        <v>33.6</v>
      </c>
      <c r="H13" s="50">
        <v>33.6</v>
      </c>
      <c r="I13" s="50">
        <v>33.6</v>
      </c>
      <c r="J13" s="50">
        <v>33.6</v>
      </c>
      <c r="K13" s="50">
        <v>33.6</v>
      </c>
      <c r="L13" s="50">
        <v>33.6</v>
      </c>
      <c r="M13" s="50">
        <v>30.3</v>
      </c>
      <c r="N13" s="50">
        <v>30.3</v>
      </c>
      <c r="O13" s="50">
        <v>30.3</v>
      </c>
      <c r="P13" s="50">
        <v>30.3</v>
      </c>
      <c r="Q13" s="50">
        <v>30.3</v>
      </c>
      <c r="R13" s="50">
        <v>30.3</v>
      </c>
      <c r="S13" s="50">
        <v>30.3</v>
      </c>
      <c r="T13" s="50">
        <v>28.8</v>
      </c>
      <c r="U13" s="50">
        <v>28.8</v>
      </c>
      <c r="V13" s="50">
        <v>28.8</v>
      </c>
      <c r="W13" s="50">
        <v>28.8</v>
      </c>
      <c r="X13" s="50">
        <v>28.8</v>
      </c>
      <c r="Y13" s="50">
        <v>28.8</v>
      </c>
      <c r="Z13" s="50">
        <v>28.7</v>
      </c>
      <c r="AA13" s="50">
        <v>28.7</v>
      </c>
      <c r="AB13" s="50">
        <v>28.7</v>
      </c>
      <c r="AC13" s="50">
        <v>28.7</v>
      </c>
      <c r="AD13" s="50">
        <v>29</v>
      </c>
      <c r="AE13" s="50">
        <v>28.9</v>
      </c>
      <c r="AF13" s="50">
        <v>28.9</v>
      </c>
      <c r="AG13" s="55">
        <v>50</v>
      </c>
      <c r="AH13" s="52">
        <f t="shared" si="2"/>
        <v>33.6</v>
      </c>
      <c r="AI13" s="53">
        <f t="shared" si="3"/>
        <v>28.7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16.5</v>
      </c>
      <c r="C14" s="50">
        <v>16.5</v>
      </c>
      <c r="D14" s="50">
        <v>16.5</v>
      </c>
      <c r="E14" s="50">
        <v>16.5</v>
      </c>
      <c r="F14" s="50">
        <v>16.5</v>
      </c>
      <c r="G14" s="50">
        <v>16.5</v>
      </c>
      <c r="H14" s="50">
        <v>16.5</v>
      </c>
      <c r="I14" s="50">
        <v>16.5</v>
      </c>
      <c r="J14" s="50">
        <v>16.5</v>
      </c>
      <c r="K14" s="50">
        <v>16.5</v>
      </c>
      <c r="L14" s="50">
        <v>16.5</v>
      </c>
      <c r="M14" s="50">
        <v>16.3</v>
      </c>
      <c r="N14" s="50">
        <v>16.3</v>
      </c>
      <c r="O14" s="50">
        <v>16.3</v>
      </c>
      <c r="P14" s="50">
        <v>16.3</v>
      </c>
      <c r="Q14" s="50">
        <v>16.3</v>
      </c>
      <c r="R14" s="50">
        <v>16.3</v>
      </c>
      <c r="S14" s="50">
        <v>16.3</v>
      </c>
      <c r="T14" s="50">
        <v>13.5</v>
      </c>
      <c r="U14" s="50">
        <v>13.5</v>
      </c>
      <c r="V14" s="50">
        <v>13.5</v>
      </c>
      <c r="W14" s="50">
        <v>13.5</v>
      </c>
      <c r="X14" s="50">
        <v>13.5</v>
      </c>
      <c r="Y14" s="50">
        <v>13.5</v>
      </c>
      <c r="Z14" s="50">
        <v>17.899999999999999</v>
      </c>
      <c r="AA14" s="50">
        <v>17.899999999999999</v>
      </c>
      <c r="AB14" s="50">
        <v>17.899999999999999</v>
      </c>
      <c r="AC14" s="50">
        <v>17.899999999999999</v>
      </c>
      <c r="AD14" s="50">
        <v>18.399999999999999</v>
      </c>
      <c r="AE14" s="50">
        <v>18.399999999999999</v>
      </c>
      <c r="AF14" s="50">
        <v>18.399999999999999</v>
      </c>
      <c r="AG14" s="55">
        <v>45</v>
      </c>
      <c r="AH14" s="52">
        <f t="shared" si="2"/>
        <v>18.399999999999999</v>
      </c>
      <c r="AI14" s="53">
        <f t="shared" si="3"/>
        <v>13.5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8</v>
      </c>
      <c r="U15" s="50">
        <v>8</v>
      </c>
      <c r="V15" s="50">
        <v>8</v>
      </c>
      <c r="W15" s="50">
        <v>8</v>
      </c>
      <c r="X15" s="50">
        <v>8</v>
      </c>
      <c r="Y15" s="50">
        <v>8</v>
      </c>
      <c r="Z15" s="50">
        <v>8</v>
      </c>
      <c r="AA15" s="50">
        <v>8</v>
      </c>
      <c r="AB15" s="50">
        <v>8</v>
      </c>
      <c r="AC15" s="50">
        <v>8</v>
      </c>
      <c r="AD15" s="50">
        <v>8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12</v>
      </c>
      <c r="C18" s="50">
        <v>12</v>
      </c>
      <c r="D18" s="50">
        <v>12</v>
      </c>
      <c r="E18" s="50">
        <v>12</v>
      </c>
      <c r="F18" s="50">
        <v>12</v>
      </c>
      <c r="G18" s="50">
        <v>12</v>
      </c>
      <c r="H18" s="50">
        <v>12</v>
      </c>
      <c r="I18" s="50">
        <v>12</v>
      </c>
      <c r="J18" s="50">
        <v>12</v>
      </c>
      <c r="K18" s="50">
        <v>12</v>
      </c>
      <c r="L18" s="50">
        <v>12</v>
      </c>
      <c r="M18" s="50">
        <v>9.8000000000000007</v>
      </c>
      <c r="N18" s="50">
        <v>9.8000000000000007</v>
      </c>
      <c r="O18" s="50">
        <v>9.8000000000000007</v>
      </c>
      <c r="P18" s="50">
        <v>9.8000000000000007</v>
      </c>
      <c r="Q18" s="50">
        <v>9.8000000000000007</v>
      </c>
      <c r="R18" s="50">
        <v>9.8000000000000007</v>
      </c>
      <c r="S18" s="50">
        <v>9.8000000000000007</v>
      </c>
      <c r="T18" s="50">
        <v>9.1</v>
      </c>
      <c r="U18" s="50">
        <v>9.1</v>
      </c>
      <c r="V18" s="50">
        <v>9.1</v>
      </c>
      <c r="W18" s="50">
        <v>9.1</v>
      </c>
      <c r="X18" s="50">
        <v>9.1</v>
      </c>
      <c r="Y18" s="50">
        <v>9.1</v>
      </c>
      <c r="Z18" s="50">
        <v>9.9</v>
      </c>
      <c r="AA18" s="50">
        <v>9.9</v>
      </c>
      <c r="AB18" s="50">
        <v>9.9</v>
      </c>
      <c r="AC18" s="50">
        <v>9.9</v>
      </c>
      <c r="AD18" s="50">
        <v>9.8000000000000007</v>
      </c>
      <c r="AE18" s="50">
        <v>10.7</v>
      </c>
      <c r="AF18" s="50">
        <v>9.8000000000000007</v>
      </c>
      <c r="AG18" s="56">
        <v>30</v>
      </c>
      <c r="AH18" s="52">
        <f t="shared" si="2"/>
        <v>12</v>
      </c>
      <c r="AI18" s="53">
        <f t="shared" si="3"/>
        <v>9.1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9</v>
      </c>
      <c r="C19" s="50">
        <v>9</v>
      </c>
      <c r="D19" s="50">
        <v>9</v>
      </c>
      <c r="E19" s="50">
        <v>9</v>
      </c>
      <c r="F19" s="50">
        <v>9</v>
      </c>
      <c r="G19" s="50">
        <v>9</v>
      </c>
      <c r="H19" s="50">
        <v>9</v>
      </c>
      <c r="I19" s="50">
        <v>9</v>
      </c>
      <c r="J19" s="50">
        <v>9</v>
      </c>
      <c r="K19" s="50">
        <v>9</v>
      </c>
      <c r="L19" s="50">
        <v>9</v>
      </c>
      <c r="M19" s="50">
        <v>9</v>
      </c>
      <c r="N19" s="50">
        <v>9</v>
      </c>
      <c r="O19" s="50">
        <v>9</v>
      </c>
      <c r="P19" s="50">
        <v>9</v>
      </c>
      <c r="Q19" s="50">
        <v>9</v>
      </c>
      <c r="R19" s="50">
        <v>9</v>
      </c>
      <c r="S19" s="50">
        <v>9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7.3</v>
      </c>
      <c r="AA19" s="50">
        <v>7.3</v>
      </c>
      <c r="AB19" s="50">
        <v>7.3</v>
      </c>
      <c r="AC19" s="50">
        <v>7.3</v>
      </c>
      <c r="AD19" s="50">
        <v>7.3</v>
      </c>
      <c r="AE19" s="50">
        <v>6.6</v>
      </c>
      <c r="AF19" s="50">
        <v>6.6</v>
      </c>
      <c r="AG19" s="55">
        <v>24.2</v>
      </c>
      <c r="AH19" s="52">
        <f t="shared" si="2"/>
        <v>9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8</v>
      </c>
      <c r="C21" s="50">
        <v>8</v>
      </c>
      <c r="D21" s="50">
        <v>8</v>
      </c>
      <c r="E21" s="50">
        <v>8</v>
      </c>
      <c r="F21" s="50">
        <v>8</v>
      </c>
      <c r="G21" s="50">
        <v>8</v>
      </c>
      <c r="H21" s="50">
        <v>8</v>
      </c>
      <c r="I21" s="50">
        <v>8</v>
      </c>
      <c r="J21" s="50">
        <v>8</v>
      </c>
      <c r="K21" s="50">
        <v>8</v>
      </c>
      <c r="L21" s="50">
        <v>8</v>
      </c>
      <c r="M21" s="50">
        <v>8</v>
      </c>
      <c r="N21" s="50">
        <v>8</v>
      </c>
      <c r="O21" s="50">
        <v>8</v>
      </c>
      <c r="P21" s="50">
        <v>8</v>
      </c>
      <c r="Q21" s="50">
        <v>8</v>
      </c>
      <c r="R21" s="50">
        <v>8</v>
      </c>
      <c r="S21" s="50">
        <v>8</v>
      </c>
      <c r="T21" s="50">
        <v>8</v>
      </c>
      <c r="U21" s="50">
        <v>8</v>
      </c>
      <c r="V21" s="50">
        <v>8</v>
      </c>
      <c r="W21" s="50">
        <v>8</v>
      </c>
      <c r="X21" s="50">
        <v>8</v>
      </c>
      <c r="Y21" s="50">
        <v>8</v>
      </c>
      <c r="Z21" s="50">
        <v>8</v>
      </c>
      <c r="AA21" s="50">
        <v>8</v>
      </c>
      <c r="AB21" s="50">
        <v>8</v>
      </c>
      <c r="AC21" s="50">
        <v>8</v>
      </c>
      <c r="AD21" s="50">
        <v>8</v>
      </c>
      <c r="AE21" s="50">
        <v>8</v>
      </c>
      <c r="AF21" s="50">
        <v>8</v>
      </c>
      <c r="AG21" s="56">
        <v>30</v>
      </c>
      <c r="AH21" s="52">
        <f t="shared" si="2"/>
        <v>8</v>
      </c>
      <c r="AI21" s="53">
        <f t="shared" si="3"/>
        <v>8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10.199999999999999</v>
      </c>
      <c r="C22" s="50">
        <v>10.199999999999999</v>
      </c>
      <c r="D22" s="50">
        <v>10.199999999999999</v>
      </c>
      <c r="E22" s="50">
        <v>10.199999999999999</v>
      </c>
      <c r="F22" s="50">
        <v>10.199999999999999</v>
      </c>
      <c r="G22" s="50">
        <v>10.199999999999999</v>
      </c>
      <c r="H22" s="50">
        <v>10.199999999999999</v>
      </c>
      <c r="I22" s="50">
        <v>10.199999999999999</v>
      </c>
      <c r="J22" s="50">
        <v>10.199999999999999</v>
      </c>
      <c r="K22" s="50">
        <v>10.199999999999999</v>
      </c>
      <c r="L22" s="50">
        <v>10.199999999999999</v>
      </c>
      <c r="M22" s="50">
        <v>10.9</v>
      </c>
      <c r="N22" s="50">
        <v>10.9</v>
      </c>
      <c r="O22" s="50">
        <v>10.9</v>
      </c>
      <c r="P22" s="50">
        <v>10.9</v>
      </c>
      <c r="Q22" s="50">
        <v>10.9</v>
      </c>
      <c r="R22" s="50">
        <v>10.9</v>
      </c>
      <c r="S22" s="50">
        <v>10.9</v>
      </c>
      <c r="T22" s="50">
        <v>10.5</v>
      </c>
      <c r="U22" s="50">
        <v>10.5</v>
      </c>
      <c r="V22" s="50">
        <v>10.5</v>
      </c>
      <c r="W22" s="50">
        <v>10.5</v>
      </c>
      <c r="X22" s="50">
        <v>10.5</v>
      </c>
      <c r="Y22" s="50">
        <v>10.5</v>
      </c>
      <c r="Z22" s="50">
        <v>9.6</v>
      </c>
      <c r="AA22" s="50">
        <v>9.6</v>
      </c>
      <c r="AB22" s="50">
        <v>9.6</v>
      </c>
      <c r="AC22" s="50">
        <v>9.6</v>
      </c>
      <c r="AD22" s="50">
        <v>12</v>
      </c>
      <c r="AE22" s="50">
        <v>12</v>
      </c>
      <c r="AF22" s="50">
        <v>11.2</v>
      </c>
      <c r="AG22" s="55">
        <v>25</v>
      </c>
      <c r="AH22" s="52">
        <f t="shared" si="2"/>
        <v>12</v>
      </c>
      <c r="AI22" s="53">
        <f t="shared" si="3"/>
        <v>9.6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7.8</v>
      </c>
      <c r="K25" s="50">
        <v>7.8</v>
      </c>
      <c r="L25" s="50">
        <v>7.8</v>
      </c>
      <c r="M25" s="50">
        <v>7.8</v>
      </c>
      <c r="N25" s="50">
        <v>7.8</v>
      </c>
      <c r="O25" s="50">
        <v>7.8</v>
      </c>
      <c r="P25" s="50">
        <v>7.8</v>
      </c>
      <c r="Q25" s="50">
        <v>7.8</v>
      </c>
      <c r="R25" s="50">
        <v>7.8</v>
      </c>
      <c r="S25" s="50">
        <v>7.8</v>
      </c>
      <c r="T25" s="50">
        <v>7.8</v>
      </c>
      <c r="U25" s="50">
        <v>7.8</v>
      </c>
      <c r="V25" s="50">
        <v>7.8</v>
      </c>
      <c r="W25" s="50">
        <v>7.8</v>
      </c>
      <c r="X25" s="50">
        <v>7.8</v>
      </c>
      <c r="Y25" s="50">
        <v>7.8</v>
      </c>
      <c r="Z25" s="50">
        <v>7.8</v>
      </c>
      <c r="AA25" s="50">
        <v>7.8</v>
      </c>
      <c r="AB25" s="50">
        <v>7.8</v>
      </c>
      <c r="AC25" s="50">
        <v>7.8</v>
      </c>
      <c r="AD25" s="50">
        <v>7.8</v>
      </c>
      <c r="AE25" s="50">
        <v>7.8</v>
      </c>
      <c r="AF25" s="50">
        <v>7.8</v>
      </c>
      <c r="AG25" s="55">
        <v>25</v>
      </c>
      <c r="AH25" s="52">
        <f t="shared" si="2"/>
        <v>7.8</v>
      </c>
      <c r="AI25" s="53">
        <f t="shared" si="3"/>
        <v>7.8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7.8</v>
      </c>
      <c r="C26" s="50">
        <v>7.8</v>
      </c>
      <c r="D26" s="50">
        <v>7.8</v>
      </c>
      <c r="E26" s="50">
        <v>7.8</v>
      </c>
      <c r="F26" s="50">
        <v>7.8</v>
      </c>
      <c r="G26" s="50">
        <v>7.8</v>
      </c>
      <c r="H26" s="50">
        <v>7.8</v>
      </c>
      <c r="I26" s="50">
        <v>7.8</v>
      </c>
      <c r="J26" s="50">
        <v>7.8</v>
      </c>
      <c r="K26" s="50">
        <v>7.8</v>
      </c>
      <c r="L26" s="50">
        <v>7.8</v>
      </c>
      <c r="M26" s="50">
        <v>7.8</v>
      </c>
      <c r="N26" s="50">
        <v>7.8</v>
      </c>
      <c r="O26" s="50">
        <v>7.8</v>
      </c>
      <c r="P26" s="50">
        <v>7.8</v>
      </c>
      <c r="Q26" s="50">
        <v>7.8</v>
      </c>
      <c r="R26" s="50">
        <v>7.8</v>
      </c>
      <c r="S26" s="50">
        <v>7.8</v>
      </c>
      <c r="T26" s="50">
        <v>7.8</v>
      </c>
      <c r="U26" s="50">
        <v>7.8</v>
      </c>
      <c r="V26" s="50">
        <v>7.8</v>
      </c>
      <c r="W26" s="50">
        <v>7.8</v>
      </c>
      <c r="X26" s="50">
        <v>7.8</v>
      </c>
      <c r="Y26" s="50">
        <v>7.8</v>
      </c>
      <c r="Z26" s="50">
        <v>6.2</v>
      </c>
      <c r="AA26" s="50">
        <v>6.2</v>
      </c>
      <c r="AB26" s="50">
        <v>6.2</v>
      </c>
      <c r="AC26" s="50">
        <v>6.2</v>
      </c>
      <c r="AD26" s="50">
        <v>7.1</v>
      </c>
      <c r="AE26" s="50">
        <v>7.1</v>
      </c>
      <c r="AF26" s="50">
        <v>7.1</v>
      </c>
      <c r="AG26" s="55">
        <v>23.5</v>
      </c>
      <c r="AH26" s="52">
        <f t="shared" si="2"/>
        <v>7.8</v>
      </c>
      <c r="AI26" s="53">
        <f t="shared" si="3"/>
        <v>6.2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11.8</v>
      </c>
      <c r="C30" s="50">
        <v>11.8</v>
      </c>
      <c r="D30" s="50">
        <v>11.8</v>
      </c>
      <c r="E30" s="50">
        <v>11.8</v>
      </c>
      <c r="F30" s="50">
        <v>11.8</v>
      </c>
      <c r="G30" s="50">
        <v>11.8</v>
      </c>
      <c r="H30" s="50">
        <v>11.8</v>
      </c>
      <c r="I30" s="50">
        <v>11.8</v>
      </c>
      <c r="J30" s="50">
        <v>11.8</v>
      </c>
      <c r="K30" s="50">
        <v>11.8</v>
      </c>
      <c r="L30" s="50">
        <v>11.8</v>
      </c>
      <c r="M30" s="50">
        <v>11</v>
      </c>
      <c r="N30" s="50">
        <v>11</v>
      </c>
      <c r="O30" s="50">
        <v>11</v>
      </c>
      <c r="P30" s="50">
        <v>11</v>
      </c>
      <c r="Q30" s="50">
        <v>11</v>
      </c>
      <c r="R30" s="50">
        <v>11</v>
      </c>
      <c r="S30" s="50">
        <v>11</v>
      </c>
      <c r="T30" s="50">
        <v>11</v>
      </c>
      <c r="U30" s="50">
        <v>11</v>
      </c>
      <c r="V30" s="50">
        <v>11</v>
      </c>
      <c r="W30" s="50">
        <v>11</v>
      </c>
      <c r="X30" s="50">
        <v>11</v>
      </c>
      <c r="Y30" s="50">
        <v>11</v>
      </c>
      <c r="Z30" s="50">
        <v>11</v>
      </c>
      <c r="AA30" s="50">
        <v>11</v>
      </c>
      <c r="AB30" s="50">
        <v>11</v>
      </c>
      <c r="AC30" s="50">
        <v>11</v>
      </c>
      <c r="AD30" s="50">
        <v>11</v>
      </c>
      <c r="AE30" s="50">
        <v>11</v>
      </c>
      <c r="AF30" s="50">
        <v>11</v>
      </c>
      <c r="AG30" s="55">
        <v>22</v>
      </c>
      <c r="AH30" s="52">
        <f t="shared" si="2"/>
        <v>11.8</v>
      </c>
      <c r="AI30" s="53">
        <f t="shared" si="3"/>
        <v>11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7</v>
      </c>
      <c r="C37" s="50">
        <v>7</v>
      </c>
      <c r="D37" s="50">
        <v>7</v>
      </c>
      <c r="E37" s="50">
        <v>7</v>
      </c>
      <c r="F37" s="50">
        <v>7</v>
      </c>
      <c r="G37" s="50">
        <v>7</v>
      </c>
      <c r="H37" s="50">
        <v>7</v>
      </c>
      <c r="I37" s="50">
        <v>7</v>
      </c>
      <c r="J37" s="50">
        <v>7</v>
      </c>
      <c r="K37" s="50">
        <v>7</v>
      </c>
      <c r="L37" s="50">
        <v>7</v>
      </c>
      <c r="M37" s="50">
        <v>7</v>
      </c>
      <c r="N37" s="50">
        <v>7</v>
      </c>
      <c r="O37" s="50">
        <v>7</v>
      </c>
      <c r="P37" s="50">
        <v>7</v>
      </c>
      <c r="Q37" s="50">
        <v>7</v>
      </c>
      <c r="R37" s="50">
        <v>7</v>
      </c>
      <c r="S37" s="50">
        <v>7</v>
      </c>
      <c r="T37" s="50">
        <v>7</v>
      </c>
      <c r="U37" s="50">
        <v>7</v>
      </c>
      <c r="V37" s="50">
        <v>7</v>
      </c>
      <c r="W37" s="50">
        <v>7</v>
      </c>
      <c r="X37" s="50">
        <v>7</v>
      </c>
      <c r="Y37" s="50">
        <v>7</v>
      </c>
      <c r="Z37" s="50">
        <v>7</v>
      </c>
      <c r="AA37" s="50">
        <v>7</v>
      </c>
      <c r="AB37" s="50">
        <v>7</v>
      </c>
      <c r="AC37" s="50">
        <v>7</v>
      </c>
      <c r="AD37" s="50">
        <v>7</v>
      </c>
      <c r="AE37" s="50">
        <v>7</v>
      </c>
      <c r="AF37" s="50">
        <v>7</v>
      </c>
      <c r="AG37" s="55">
        <v>12</v>
      </c>
      <c r="AH37" s="52">
        <f t="shared" si="2"/>
        <v>7</v>
      </c>
      <c r="AI37" s="53">
        <f t="shared" si="3"/>
        <v>7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10</v>
      </c>
      <c r="C38" s="50">
        <v>10</v>
      </c>
      <c r="D38" s="50">
        <v>10</v>
      </c>
      <c r="E38" s="50">
        <v>10</v>
      </c>
      <c r="F38" s="50">
        <v>10</v>
      </c>
      <c r="G38" s="50">
        <v>10</v>
      </c>
      <c r="H38" s="50">
        <v>10</v>
      </c>
      <c r="I38" s="50">
        <v>10</v>
      </c>
      <c r="J38" s="50">
        <v>10</v>
      </c>
      <c r="K38" s="50">
        <v>10</v>
      </c>
      <c r="L38" s="50">
        <v>10</v>
      </c>
      <c r="M38" s="50">
        <v>10</v>
      </c>
      <c r="N38" s="50">
        <v>10</v>
      </c>
      <c r="O38" s="50">
        <v>10</v>
      </c>
      <c r="P38" s="50">
        <v>10</v>
      </c>
      <c r="Q38" s="50">
        <v>10</v>
      </c>
      <c r="R38" s="50">
        <v>10</v>
      </c>
      <c r="S38" s="50">
        <v>10</v>
      </c>
      <c r="T38" s="50">
        <v>10</v>
      </c>
      <c r="U38" s="50">
        <v>10</v>
      </c>
      <c r="V38" s="50">
        <v>10</v>
      </c>
      <c r="W38" s="50">
        <v>10</v>
      </c>
      <c r="X38" s="50">
        <v>10</v>
      </c>
      <c r="Y38" s="50">
        <v>10</v>
      </c>
      <c r="Z38" s="50">
        <v>10</v>
      </c>
      <c r="AA38" s="50">
        <v>10</v>
      </c>
      <c r="AB38" s="50">
        <v>10</v>
      </c>
      <c r="AC38" s="50">
        <v>10</v>
      </c>
      <c r="AD38" s="50">
        <v>10</v>
      </c>
      <c r="AE38" s="50">
        <v>10</v>
      </c>
      <c r="AF38" s="50">
        <v>10</v>
      </c>
      <c r="AG38" s="55">
        <v>12</v>
      </c>
      <c r="AH38" s="52">
        <f t="shared" si="2"/>
        <v>10</v>
      </c>
      <c r="AI38" s="53">
        <f t="shared" si="3"/>
        <v>10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6">
        <v>11.88</v>
      </c>
      <c r="AH41" s="52">
        <f t="shared" si="2"/>
        <v>0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100</v>
      </c>
      <c r="C46" s="63">
        <v>100</v>
      </c>
      <c r="D46" s="63">
        <v>100</v>
      </c>
      <c r="E46" s="63">
        <v>100</v>
      </c>
      <c r="F46" s="63">
        <v>100</v>
      </c>
      <c r="G46" s="63">
        <v>100</v>
      </c>
      <c r="H46" s="63">
        <v>100</v>
      </c>
      <c r="I46" s="63">
        <v>100</v>
      </c>
      <c r="J46" s="63">
        <v>100</v>
      </c>
      <c r="K46" s="63">
        <v>100</v>
      </c>
      <c r="L46" s="63">
        <v>100</v>
      </c>
      <c r="M46" s="63">
        <v>100</v>
      </c>
      <c r="N46" s="63">
        <v>100</v>
      </c>
      <c r="O46" s="63">
        <v>100</v>
      </c>
      <c r="P46" s="63">
        <v>100</v>
      </c>
      <c r="Q46" s="63">
        <v>100</v>
      </c>
      <c r="R46" s="63">
        <v>100</v>
      </c>
      <c r="S46" s="63">
        <v>100</v>
      </c>
      <c r="T46" s="63">
        <v>100</v>
      </c>
      <c r="U46" s="63">
        <v>100</v>
      </c>
      <c r="V46" s="63">
        <v>100</v>
      </c>
      <c r="W46" s="63">
        <v>100</v>
      </c>
      <c r="X46" s="63">
        <v>100</v>
      </c>
      <c r="Y46" s="63">
        <v>100</v>
      </c>
      <c r="Z46" s="63">
        <v>100</v>
      </c>
      <c r="AA46" s="63">
        <v>100</v>
      </c>
      <c r="AB46" s="63">
        <v>100</v>
      </c>
      <c r="AC46" s="63">
        <v>100</v>
      </c>
      <c r="AD46" s="63">
        <v>100</v>
      </c>
      <c r="AE46" s="63">
        <v>100</v>
      </c>
      <c r="AF46" s="63">
        <v>100</v>
      </c>
      <c r="AG46" s="61">
        <v>85</v>
      </c>
      <c r="AH46" s="52">
        <f t="shared" si="2"/>
        <v>100</v>
      </c>
      <c r="AI46" s="53">
        <f t="shared" si="3"/>
        <v>100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371.9</v>
      </c>
      <c r="C48" s="67">
        <f t="shared" si="4"/>
        <v>371.9</v>
      </c>
      <c r="D48" s="67">
        <f t="shared" si="4"/>
        <v>371.9</v>
      </c>
      <c r="E48" s="67">
        <f t="shared" ref="E48:G48" si="5">SUM(E12:E46)</f>
        <v>371.9</v>
      </c>
      <c r="F48" s="67">
        <f t="shared" si="5"/>
        <v>371.9</v>
      </c>
      <c r="G48" s="67">
        <f t="shared" si="5"/>
        <v>371.9</v>
      </c>
      <c r="H48" s="67">
        <f t="shared" ref="H48:I48" si="6">SUM(H12:H46)</f>
        <v>371.9</v>
      </c>
      <c r="I48" s="67">
        <f t="shared" si="6"/>
        <v>371.9</v>
      </c>
      <c r="J48" s="67">
        <f t="shared" ref="J48:L48" si="7">SUM(J12:J46)</f>
        <v>371.9</v>
      </c>
      <c r="K48" s="67">
        <f t="shared" si="7"/>
        <v>371.9</v>
      </c>
      <c r="L48" s="67">
        <f t="shared" si="7"/>
        <v>371.9</v>
      </c>
      <c r="M48" s="67">
        <f t="shared" si="4"/>
        <v>364.1</v>
      </c>
      <c r="N48" s="67">
        <f t="shared" si="4"/>
        <v>364.1</v>
      </c>
      <c r="O48" s="67">
        <f t="shared" si="4"/>
        <v>364.1</v>
      </c>
      <c r="P48" s="67">
        <f t="shared" si="4"/>
        <v>364.1</v>
      </c>
      <c r="Q48" s="67">
        <f t="shared" ref="Q48" si="8">SUM(Q12:Q46)</f>
        <v>364.1</v>
      </c>
      <c r="R48" s="67">
        <f t="shared" si="4"/>
        <v>364.1</v>
      </c>
      <c r="S48" s="67">
        <f t="shared" si="4"/>
        <v>364.1</v>
      </c>
      <c r="T48" s="67">
        <f t="shared" si="4"/>
        <v>353.3</v>
      </c>
      <c r="U48" s="67">
        <f t="shared" si="4"/>
        <v>353.3</v>
      </c>
      <c r="V48" s="67">
        <f t="shared" si="4"/>
        <v>353.3</v>
      </c>
      <c r="W48" s="67">
        <f t="shared" si="4"/>
        <v>353.3</v>
      </c>
      <c r="X48" s="67">
        <f t="shared" si="4"/>
        <v>353.3</v>
      </c>
      <c r="Y48" s="67">
        <f t="shared" si="4"/>
        <v>353.3</v>
      </c>
      <c r="Z48" s="67">
        <f t="shared" ref="Z48" si="9">SUM(Z12:Z46)</f>
        <v>358.7</v>
      </c>
      <c r="AA48" s="67">
        <f t="shared" si="4"/>
        <v>358.7</v>
      </c>
      <c r="AB48" s="67">
        <f t="shared" si="4"/>
        <v>358.7</v>
      </c>
      <c r="AC48" s="67">
        <f t="shared" si="4"/>
        <v>358.7</v>
      </c>
      <c r="AD48" s="67">
        <f t="shared" si="4"/>
        <v>362.5</v>
      </c>
      <c r="AE48" s="67">
        <f t="shared" si="4"/>
        <v>363.7</v>
      </c>
      <c r="AF48" s="67">
        <f t="shared" si="4"/>
        <v>362</v>
      </c>
      <c r="AG48" s="68">
        <f t="shared" si="4"/>
        <v>875.68</v>
      </c>
      <c r="AH48" s="52">
        <f t="shared" si="2"/>
        <v>371.9</v>
      </c>
      <c r="AI48" s="53">
        <f t="shared" si="3"/>
        <v>353.3</v>
      </c>
      <c r="AK48" s="54"/>
    </row>
    <row r="49" spans="1:41" x14ac:dyDescent="0.25">
      <c r="A49" s="69" t="s">
        <v>53</v>
      </c>
      <c r="B49" s="50">
        <v>40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20</v>
      </c>
      <c r="J49" s="50">
        <v>35</v>
      </c>
      <c r="K49" s="50">
        <v>60</v>
      </c>
      <c r="L49" s="50">
        <v>20</v>
      </c>
      <c r="M49" s="70">
        <v>55</v>
      </c>
      <c r="N49" s="70">
        <v>55</v>
      </c>
      <c r="O49" s="50">
        <v>88</v>
      </c>
      <c r="P49" s="50">
        <v>66</v>
      </c>
      <c r="Q49" s="50">
        <v>66.7</v>
      </c>
      <c r="R49" s="50">
        <v>76</v>
      </c>
      <c r="S49" s="50">
        <v>100</v>
      </c>
      <c r="T49" s="50">
        <v>100</v>
      </c>
      <c r="U49" s="50">
        <v>150</v>
      </c>
      <c r="V49" s="50">
        <v>130</v>
      </c>
      <c r="W49" s="50">
        <v>95</v>
      </c>
      <c r="X49" s="50">
        <v>80</v>
      </c>
      <c r="Y49" s="50">
        <v>130</v>
      </c>
      <c r="Z49" s="50">
        <v>190</v>
      </c>
      <c r="AA49" s="50">
        <v>180</v>
      </c>
      <c r="AB49" s="50">
        <v>105</v>
      </c>
      <c r="AC49" s="50">
        <v>120</v>
      </c>
      <c r="AD49" s="50">
        <v>130</v>
      </c>
      <c r="AE49" s="50">
        <v>120</v>
      </c>
      <c r="AF49" s="50">
        <v>100</v>
      </c>
      <c r="AG49" s="56">
        <v>456</v>
      </c>
      <c r="AH49" s="52">
        <f t="shared" si="2"/>
        <v>190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36</v>
      </c>
      <c r="C50" s="72">
        <v>36</v>
      </c>
      <c r="D50" s="72">
        <v>36</v>
      </c>
      <c r="E50" s="72">
        <v>36</v>
      </c>
      <c r="F50" s="72">
        <v>36</v>
      </c>
      <c r="G50" s="72">
        <v>36</v>
      </c>
      <c r="H50" s="72">
        <v>36</v>
      </c>
      <c r="I50" s="72">
        <v>36</v>
      </c>
      <c r="J50" s="72">
        <v>36</v>
      </c>
      <c r="K50" s="72">
        <v>36</v>
      </c>
      <c r="L50" s="72">
        <v>36</v>
      </c>
      <c r="M50" s="72">
        <v>36</v>
      </c>
      <c r="N50" s="72">
        <v>36</v>
      </c>
      <c r="O50" s="72">
        <v>36</v>
      </c>
      <c r="P50" s="72">
        <v>36</v>
      </c>
      <c r="Q50" s="72">
        <v>36</v>
      </c>
      <c r="R50" s="72">
        <v>36</v>
      </c>
      <c r="S50" s="72">
        <v>36</v>
      </c>
      <c r="T50" s="72">
        <v>36</v>
      </c>
      <c r="U50" s="72">
        <v>36</v>
      </c>
      <c r="V50" s="72">
        <v>36</v>
      </c>
      <c r="W50" s="72">
        <v>36</v>
      </c>
      <c r="X50" s="72">
        <v>36</v>
      </c>
      <c r="Y50" s="72">
        <v>36</v>
      </c>
      <c r="Z50" s="72">
        <v>36</v>
      </c>
      <c r="AA50" s="72">
        <v>36</v>
      </c>
      <c r="AB50" s="72">
        <v>36</v>
      </c>
      <c r="AC50" s="72">
        <v>36</v>
      </c>
      <c r="AD50" s="72">
        <v>30</v>
      </c>
      <c r="AE50" s="72">
        <v>30</v>
      </c>
      <c r="AF50" s="72">
        <v>30</v>
      </c>
      <c r="AG50" s="61">
        <v>60</v>
      </c>
      <c r="AH50" s="52">
        <f t="shared" si="2"/>
        <v>36</v>
      </c>
      <c r="AI50" s="53">
        <f t="shared" si="3"/>
        <v>30</v>
      </c>
      <c r="AK50" s="54"/>
    </row>
    <row r="51" spans="1:41" ht="15.75" thickBot="1" x14ac:dyDescent="0.3">
      <c r="A51" s="73" t="s">
        <v>55</v>
      </c>
      <c r="B51" s="74">
        <v>9.5</v>
      </c>
      <c r="C51" s="74">
        <v>9.5</v>
      </c>
      <c r="D51" s="74">
        <v>9.5</v>
      </c>
      <c r="E51" s="74">
        <v>9.5</v>
      </c>
      <c r="F51" s="74">
        <v>9.5</v>
      </c>
      <c r="G51" s="74">
        <v>9.5</v>
      </c>
      <c r="H51" s="74">
        <v>9.5</v>
      </c>
      <c r="I51" s="74">
        <v>9.5</v>
      </c>
      <c r="J51" s="74">
        <v>9.5</v>
      </c>
      <c r="K51" s="74">
        <v>9.5</v>
      </c>
      <c r="L51" s="74">
        <v>9.5</v>
      </c>
      <c r="M51" s="74">
        <v>11.2</v>
      </c>
      <c r="N51" s="74">
        <v>11.2</v>
      </c>
      <c r="O51" s="74">
        <v>11.2</v>
      </c>
      <c r="P51" s="74">
        <v>11.2</v>
      </c>
      <c r="Q51" s="74">
        <v>9.6</v>
      </c>
      <c r="R51" s="74">
        <v>9.6</v>
      </c>
      <c r="S51" s="74">
        <v>9.6</v>
      </c>
      <c r="T51" s="74">
        <v>9.6</v>
      </c>
      <c r="U51" s="74">
        <v>9.6</v>
      </c>
      <c r="V51" s="74">
        <v>9.6</v>
      </c>
      <c r="W51" s="74">
        <v>9.6</v>
      </c>
      <c r="X51" s="74">
        <v>9.5</v>
      </c>
      <c r="Y51" s="74">
        <v>9.5</v>
      </c>
      <c r="Z51" s="74">
        <v>9.5</v>
      </c>
      <c r="AA51" s="74">
        <v>9.5</v>
      </c>
      <c r="AB51" s="74">
        <v>9.5</v>
      </c>
      <c r="AC51" s="74">
        <v>9.5</v>
      </c>
      <c r="AD51" s="74">
        <v>9.5</v>
      </c>
      <c r="AE51" s="74">
        <v>9.8000000000000007</v>
      </c>
      <c r="AF51" s="74">
        <v>9.5</v>
      </c>
      <c r="AG51" s="75">
        <v>22.1</v>
      </c>
      <c r="AH51" s="52">
        <f t="shared" si="2"/>
        <v>11.2</v>
      </c>
      <c r="AI51" s="53">
        <f t="shared" si="3"/>
        <v>9.5</v>
      </c>
      <c r="AK51" s="54"/>
    </row>
    <row r="52" spans="1:41" ht="15.75" thickBot="1" x14ac:dyDescent="0.3">
      <c r="A52" s="76" t="s">
        <v>56</v>
      </c>
      <c r="B52" s="67">
        <f t="shared" ref="B52:AG52" si="10">SUM(B49:B51)</f>
        <v>85.5</v>
      </c>
      <c r="C52" s="67">
        <f t="shared" si="10"/>
        <v>45.5</v>
      </c>
      <c r="D52" s="67">
        <f t="shared" si="10"/>
        <v>45.5</v>
      </c>
      <c r="E52" s="67">
        <f t="shared" ref="E52:G52" si="11">SUM(E49:E51)</f>
        <v>45.5</v>
      </c>
      <c r="F52" s="67">
        <f t="shared" si="11"/>
        <v>45.5</v>
      </c>
      <c r="G52" s="67">
        <f t="shared" si="11"/>
        <v>45.5</v>
      </c>
      <c r="H52" s="67">
        <f t="shared" ref="H52:I52" si="12">SUM(H49:H51)</f>
        <v>45.5</v>
      </c>
      <c r="I52" s="67">
        <f t="shared" si="12"/>
        <v>65.5</v>
      </c>
      <c r="J52" s="67">
        <f t="shared" ref="J52:L52" si="13">SUM(J49:J51)</f>
        <v>80.5</v>
      </c>
      <c r="K52" s="67">
        <f t="shared" si="13"/>
        <v>105.5</v>
      </c>
      <c r="L52" s="67">
        <f t="shared" si="13"/>
        <v>65.5</v>
      </c>
      <c r="M52" s="67">
        <f t="shared" si="10"/>
        <v>102.2</v>
      </c>
      <c r="N52" s="67">
        <f t="shared" si="10"/>
        <v>102.2</v>
      </c>
      <c r="O52" s="67">
        <f t="shared" si="10"/>
        <v>135.19999999999999</v>
      </c>
      <c r="P52" s="67">
        <f t="shared" si="10"/>
        <v>113.2</v>
      </c>
      <c r="Q52" s="67">
        <f t="shared" ref="Q52" si="14">SUM(Q49:Q51)</f>
        <v>112.3</v>
      </c>
      <c r="R52" s="67">
        <f t="shared" si="10"/>
        <v>121.6</v>
      </c>
      <c r="S52" s="67">
        <f t="shared" si="10"/>
        <v>145.6</v>
      </c>
      <c r="T52" s="67">
        <f t="shared" si="10"/>
        <v>145.6</v>
      </c>
      <c r="U52" s="67">
        <f t="shared" si="10"/>
        <v>195.6</v>
      </c>
      <c r="V52" s="67">
        <f t="shared" si="10"/>
        <v>175.6</v>
      </c>
      <c r="W52" s="67">
        <f t="shared" si="10"/>
        <v>140.6</v>
      </c>
      <c r="X52" s="67">
        <f t="shared" si="10"/>
        <v>125.5</v>
      </c>
      <c r="Y52" s="67">
        <f t="shared" si="10"/>
        <v>175.5</v>
      </c>
      <c r="Z52" s="67">
        <f t="shared" ref="Z52" si="15">SUM(Z49:Z51)</f>
        <v>235.5</v>
      </c>
      <c r="AA52" s="67">
        <f t="shared" si="10"/>
        <v>225.5</v>
      </c>
      <c r="AB52" s="67">
        <f t="shared" si="10"/>
        <v>150.5</v>
      </c>
      <c r="AC52" s="67">
        <f t="shared" si="10"/>
        <v>165.5</v>
      </c>
      <c r="AD52" s="67">
        <f t="shared" si="10"/>
        <v>169.5</v>
      </c>
      <c r="AE52" s="67">
        <f t="shared" si="10"/>
        <v>159.80000000000001</v>
      </c>
      <c r="AF52" s="67">
        <f t="shared" si="10"/>
        <v>139.5</v>
      </c>
      <c r="AG52" s="68">
        <f t="shared" si="10"/>
        <v>538.1</v>
      </c>
      <c r="AH52" s="52">
        <f t="shared" si="2"/>
        <v>235.5</v>
      </c>
      <c r="AI52" s="53">
        <f t="shared" si="3"/>
        <v>45.5</v>
      </c>
      <c r="AK52" s="54"/>
    </row>
    <row r="53" spans="1:41" x14ac:dyDescent="0.25">
      <c r="A53" s="49" t="s">
        <v>57</v>
      </c>
      <c r="B53" s="50">
        <v>0</v>
      </c>
      <c r="C53" s="50">
        <v>28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45</v>
      </c>
      <c r="K53" s="50">
        <v>60</v>
      </c>
      <c r="L53" s="50">
        <v>81.2</v>
      </c>
      <c r="M53" s="50">
        <v>81.5</v>
      </c>
      <c r="N53" s="50">
        <v>86</v>
      </c>
      <c r="O53" s="50">
        <v>86.4</v>
      </c>
      <c r="P53" s="50">
        <v>97.5</v>
      </c>
      <c r="Q53" s="50">
        <v>97.5</v>
      </c>
      <c r="R53" s="50">
        <v>97.5</v>
      </c>
      <c r="S53" s="50">
        <v>97.5</v>
      </c>
      <c r="T53" s="50">
        <v>97.4</v>
      </c>
      <c r="U53" s="50">
        <v>97.5</v>
      </c>
      <c r="V53" s="50">
        <v>97.5</v>
      </c>
      <c r="W53" s="50">
        <v>97.5</v>
      </c>
      <c r="X53" s="50">
        <v>97.4</v>
      </c>
      <c r="Y53" s="50">
        <v>97.9</v>
      </c>
      <c r="Z53" s="50">
        <v>97.5</v>
      </c>
      <c r="AA53" s="50">
        <v>97.3</v>
      </c>
      <c r="AB53" s="50">
        <v>97.3</v>
      </c>
      <c r="AC53" s="50">
        <v>97.4</v>
      </c>
      <c r="AD53" s="50">
        <v>62.4</v>
      </c>
      <c r="AE53" s="50">
        <v>30</v>
      </c>
      <c r="AF53" s="50">
        <v>0</v>
      </c>
      <c r="AG53" s="56">
        <v>144</v>
      </c>
      <c r="AH53" s="52">
        <f t="shared" si="2"/>
        <v>97.9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35</v>
      </c>
      <c r="C54" s="72">
        <v>0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50</v>
      </c>
      <c r="L54" s="72">
        <v>50</v>
      </c>
      <c r="M54" s="72">
        <v>50.2</v>
      </c>
      <c r="N54" s="72">
        <v>24</v>
      </c>
      <c r="O54" s="72">
        <v>24.8</v>
      </c>
      <c r="P54" s="72">
        <v>55.7</v>
      </c>
      <c r="Q54" s="72">
        <v>33.799999999999997</v>
      </c>
      <c r="R54" s="50">
        <v>36</v>
      </c>
      <c r="S54" s="50">
        <v>36</v>
      </c>
      <c r="T54" s="50">
        <v>35.5</v>
      </c>
      <c r="U54" s="50">
        <v>35.5</v>
      </c>
      <c r="V54" s="50">
        <v>33.799999999999997</v>
      </c>
      <c r="W54" s="50">
        <v>24.8</v>
      </c>
      <c r="X54" s="50">
        <v>40.299999999999997</v>
      </c>
      <c r="Y54" s="50">
        <v>45.2</v>
      </c>
      <c r="Z54" s="50">
        <v>64.5</v>
      </c>
      <c r="AA54" s="50">
        <v>50.3</v>
      </c>
      <c r="AB54" s="50">
        <v>50.3</v>
      </c>
      <c r="AC54" s="50">
        <v>50.3</v>
      </c>
      <c r="AD54" s="72">
        <v>24.6</v>
      </c>
      <c r="AE54" s="72">
        <v>23.1</v>
      </c>
      <c r="AF54" s="72">
        <v>24.8</v>
      </c>
      <c r="AG54" s="61">
        <v>70</v>
      </c>
      <c r="AH54" s="52">
        <f t="shared" si="2"/>
        <v>64.5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23</v>
      </c>
      <c r="C55" s="72">
        <v>23</v>
      </c>
      <c r="D55" s="72">
        <v>23</v>
      </c>
      <c r="E55" s="72">
        <v>16</v>
      </c>
      <c r="F55" s="72">
        <v>16</v>
      </c>
      <c r="G55" s="72">
        <v>16</v>
      </c>
      <c r="H55" s="72">
        <v>16</v>
      </c>
      <c r="I55" s="72">
        <v>16</v>
      </c>
      <c r="J55" s="72">
        <v>23</v>
      </c>
      <c r="K55" s="72">
        <v>35</v>
      </c>
      <c r="L55" s="72">
        <v>46</v>
      </c>
      <c r="M55" s="72">
        <v>33.5</v>
      </c>
      <c r="N55" s="72">
        <v>40</v>
      </c>
      <c r="O55" s="72">
        <v>32.200000000000003</v>
      </c>
      <c r="P55" s="72">
        <v>60.5</v>
      </c>
      <c r="Q55" s="72">
        <v>62</v>
      </c>
      <c r="R55" s="50">
        <v>60</v>
      </c>
      <c r="S55" s="50">
        <v>60</v>
      </c>
      <c r="T55" s="50">
        <v>60.3</v>
      </c>
      <c r="U55" s="50">
        <v>52.1</v>
      </c>
      <c r="V55" s="50">
        <v>52.2</v>
      </c>
      <c r="W55" s="50">
        <v>52.3</v>
      </c>
      <c r="X55" s="50">
        <v>48.3</v>
      </c>
      <c r="Y55" s="50">
        <v>48.1</v>
      </c>
      <c r="Z55" s="50">
        <v>57.7</v>
      </c>
      <c r="AA55" s="50">
        <v>57.3</v>
      </c>
      <c r="AB55" s="50">
        <v>57.3</v>
      </c>
      <c r="AC55" s="50">
        <v>57.3</v>
      </c>
      <c r="AD55" s="72">
        <v>20.100000000000001</v>
      </c>
      <c r="AE55" s="72">
        <v>20.2</v>
      </c>
      <c r="AF55" s="72">
        <v>20.3</v>
      </c>
      <c r="AG55" s="61">
        <v>69</v>
      </c>
      <c r="AH55" s="52">
        <f t="shared" si="2"/>
        <v>62</v>
      </c>
      <c r="AI55" s="53">
        <f t="shared" si="3"/>
        <v>16</v>
      </c>
      <c r="AK55" s="54"/>
    </row>
    <row r="56" spans="1:41" x14ac:dyDescent="0.25">
      <c r="A56" s="60" t="s">
        <v>60</v>
      </c>
      <c r="B56" s="72">
        <v>40.299999999999997</v>
      </c>
      <c r="C56" s="72">
        <v>40.299999999999997</v>
      </c>
      <c r="D56" s="72">
        <v>40.299999999999997</v>
      </c>
      <c r="E56" s="72">
        <v>40.299999999999997</v>
      </c>
      <c r="F56" s="72">
        <v>40.299999999999997</v>
      </c>
      <c r="G56" s="72">
        <v>40.299999999999997</v>
      </c>
      <c r="H56" s="72">
        <v>40.299999999999997</v>
      </c>
      <c r="I56" s="72">
        <v>40.299999999999997</v>
      </c>
      <c r="J56" s="72">
        <v>40.299999999999997</v>
      </c>
      <c r="K56" s="72">
        <v>40.299999999999997</v>
      </c>
      <c r="L56" s="72">
        <v>40.299999999999997</v>
      </c>
      <c r="M56" s="72">
        <v>40.299999999999997</v>
      </c>
      <c r="N56" s="72">
        <v>40</v>
      </c>
      <c r="O56" s="72">
        <v>40.1</v>
      </c>
      <c r="P56" s="72">
        <v>36.799999999999997</v>
      </c>
      <c r="Q56" s="72">
        <v>36.799999999999997</v>
      </c>
      <c r="R56" s="50">
        <v>36.799999999999997</v>
      </c>
      <c r="S56" s="50">
        <v>36.799999999999997</v>
      </c>
      <c r="T56" s="50">
        <v>36.799999999999997</v>
      </c>
      <c r="U56" s="50">
        <v>36.799999999999997</v>
      </c>
      <c r="V56" s="50">
        <v>36.799999999999997</v>
      </c>
      <c r="W56" s="50">
        <v>36.5</v>
      </c>
      <c r="X56" s="50">
        <v>34.5</v>
      </c>
      <c r="Y56" s="50">
        <v>34.5</v>
      </c>
      <c r="Z56" s="50">
        <v>34.5</v>
      </c>
      <c r="AA56" s="50">
        <v>34.5</v>
      </c>
      <c r="AB56" s="50">
        <v>34.5</v>
      </c>
      <c r="AC56" s="50">
        <v>34.5</v>
      </c>
      <c r="AD56" s="72">
        <v>34.799999999999997</v>
      </c>
      <c r="AE56" s="72">
        <v>34.799999999999997</v>
      </c>
      <c r="AF56" s="72">
        <v>38.299999999999997</v>
      </c>
      <c r="AG56" s="61">
        <v>60</v>
      </c>
      <c r="AH56" s="52">
        <f t="shared" si="2"/>
        <v>40.299999999999997</v>
      </c>
      <c r="AI56" s="53">
        <f t="shared" si="3"/>
        <v>34.5</v>
      </c>
      <c r="AK56" s="54"/>
    </row>
    <row r="57" spans="1:41" x14ac:dyDescent="0.25">
      <c r="A57" s="60" t="s">
        <v>61</v>
      </c>
      <c r="B57" s="72">
        <v>15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15</v>
      </c>
      <c r="K57" s="72">
        <v>20</v>
      </c>
      <c r="L57" s="72">
        <v>30</v>
      </c>
      <c r="M57" s="72">
        <v>30</v>
      </c>
      <c r="N57" s="72">
        <v>15</v>
      </c>
      <c r="O57" s="72">
        <v>15</v>
      </c>
      <c r="P57" s="72">
        <v>10</v>
      </c>
      <c r="Q57" s="72">
        <v>0</v>
      </c>
      <c r="R57" s="50">
        <v>0</v>
      </c>
      <c r="S57" s="50">
        <v>0</v>
      </c>
      <c r="T57" s="50">
        <v>0</v>
      </c>
      <c r="U57" s="50">
        <v>10</v>
      </c>
      <c r="V57" s="50">
        <v>10</v>
      </c>
      <c r="W57" s="50">
        <v>10</v>
      </c>
      <c r="X57" s="50">
        <v>10</v>
      </c>
      <c r="Y57" s="50">
        <v>20</v>
      </c>
      <c r="Z57" s="50">
        <v>28.9</v>
      </c>
      <c r="AA57" s="50">
        <v>18.2</v>
      </c>
      <c r="AB57" s="50">
        <v>18.2</v>
      </c>
      <c r="AC57" s="50">
        <v>18.2</v>
      </c>
      <c r="AD57" s="72">
        <v>10.3</v>
      </c>
      <c r="AE57" s="72">
        <v>10.3</v>
      </c>
      <c r="AF57" s="72">
        <v>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62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>
        <v>14</v>
      </c>
      <c r="O58" s="72">
        <v>14</v>
      </c>
      <c r="P58" s="72">
        <v>14</v>
      </c>
      <c r="Q58" s="72">
        <v>14</v>
      </c>
      <c r="R58" s="72">
        <v>14</v>
      </c>
      <c r="S58" s="72">
        <v>14</v>
      </c>
      <c r="T58" s="72">
        <v>14</v>
      </c>
      <c r="U58" s="72">
        <v>14</v>
      </c>
      <c r="V58" s="72">
        <v>14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14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13</v>
      </c>
      <c r="C59" s="72">
        <v>13</v>
      </c>
      <c r="D59" s="72">
        <v>13</v>
      </c>
      <c r="E59" s="72">
        <v>13</v>
      </c>
      <c r="F59" s="72">
        <v>13</v>
      </c>
      <c r="G59" s="72">
        <v>13</v>
      </c>
      <c r="H59" s="72">
        <v>13</v>
      </c>
      <c r="I59" s="72">
        <v>13</v>
      </c>
      <c r="J59" s="72">
        <v>13</v>
      </c>
      <c r="K59" s="72">
        <v>13</v>
      </c>
      <c r="L59" s="72">
        <v>13</v>
      </c>
      <c r="M59" s="72">
        <v>14</v>
      </c>
      <c r="N59" s="72">
        <v>14</v>
      </c>
      <c r="O59" s="72">
        <v>14</v>
      </c>
      <c r="P59" s="72">
        <v>14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17</v>
      </c>
      <c r="AA59" s="72">
        <v>17</v>
      </c>
      <c r="AB59" s="72">
        <v>17</v>
      </c>
      <c r="AC59" s="72">
        <v>17</v>
      </c>
      <c r="AD59" s="72">
        <v>17</v>
      </c>
      <c r="AE59" s="72">
        <v>17</v>
      </c>
      <c r="AF59" s="72">
        <v>17</v>
      </c>
      <c r="AG59" s="61">
        <v>24</v>
      </c>
      <c r="AH59" s="52">
        <f t="shared" si="2"/>
        <v>17</v>
      </c>
      <c r="AI59" s="53">
        <f t="shared" si="3"/>
        <v>13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10.8</v>
      </c>
      <c r="C61" s="72">
        <v>10.8</v>
      </c>
      <c r="D61" s="72">
        <v>10.8</v>
      </c>
      <c r="E61" s="72">
        <v>10.8</v>
      </c>
      <c r="F61" s="72">
        <v>10.8</v>
      </c>
      <c r="G61" s="72">
        <v>10.8</v>
      </c>
      <c r="H61" s="72">
        <v>10.8</v>
      </c>
      <c r="I61" s="72">
        <v>10.8</v>
      </c>
      <c r="J61" s="72">
        <v>10.8</v>
      </c>
      <c r="K61" s="72">
        <v>10.8</v>
      </c>
      <c r="L61" s="72">
        <v>10.8</v>
      </c>
      <c r="M61" s="72">
        <v>10.8</v>
      </c>
      <c r="N61" s="72">
        <v>10.8</v>
      </c>
      <c r="O61" s="72">
        <v>10.8</v>
      </c>
      <c r="P61" s="72">
        <v>10.8</v>
      </c>
      <c r="Q61" s="72">
        <v>10.8</v>
      </c>
      <c r="R61" s="72">
        <v>10.8</v>
      </c>
      <c r="S61" s="72">
        <v>10.8</v>
      </c>
      <c r="T61" s="72">
        <v>10.8</v>
      </c>
      <c r="U61" s="72">
        <v>10.8</v>
      </c>
      <c r="V61" s="72">
        <v>10.8</v>
      </c>
      <c r="W61" s="72">
        <v>10.8</v>
      </c>
      <c r="X61" s="72">
        <v>10.8</v>
      </c>
      <c r="Y61" s="72">
        <v>10.8</v>
      </c>
      <c r="Z61" s="72">
        <v>10.8</v>
      </c>
      <c r="AA61" s="72">
        <v>10.8</v>
      </c>
      <c r="AB61" s="72">
        <v>10.8</v>
      </c>
      <c r="AC61" s="72">
        <v>10.8</v>
      </c>
      <c r="AD61" s="72">
        <v>12</v>
      </c>
      <c r="AE61" s="72">
        <v>12</v>
      </c>
      <c r="AF61" s="72">
        <v>12.5</v>
      </c>
      <c r="AG61" s="61">
        <v>14.1</v>
      </c>
      <c r="AH61" s="52">
        <f t="shared" si="2"/>
        <v>12.5</v>
      </c>
      <c r="AI61" s="53">
        <f t="shared" si="3"/>
        <v>10.8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</v>
      </c>
      <c r="C62" s="72">
        <v>4</v>
      </c>
      <c r="D62" s="72">
        <v>4</v>
      </c>
      <c r="E62" s="72">
        <v>4</v>
      </c>
      <c r="F62" s="72">
        <v>4</v>
      </c>
      <c r="G62" s="72">
        <v>4</v>
      </c>
      <c r="H62" s="72">
        <v>4</v>
      </c>
      <c r="I62" s="72">
        <v>4</v>
      </c>
      <c r="J62" s="72">
        <v>4</v>
      </c>
      <c r="K62" s="72">
        <v>4</v>
      </c>
      <c r="L62" s="72">
        <v>4</v>
      </c>
      <c r="M62" s="72">
        <v>5.6</v>
      </c>
      <c r="N62" s="72">
        <v>5.6</v>
      </c>
      <c r="O62" s="72">
        <v>5.6</v>
      </c>
      <c r="P62" s="72">
        <v>5.6</v>
      </c>
      <c r="Q62" s="72">
        <v>5.6</v>
      </c>
      <c r="R62" s="72">
        <v>5.6</v>
      </c>
      <c r="S62" s="72">
        <v>5.6</v>
      </c>
      <c r="T62" s="72">
        <v>5.6</v>
      </c>
      <c r="U62" s="72">
        <v>5.6</v>
      </c>
      <c r="V62" s="72">
        <v>5.6</v>
      </c>
      <c r="W62" s="72">
        <v>5.6</v>
      </c>
      <c r="X62" s="72">
        <v>5.6</v>
      </c>
      <c r="Y62" s="72">
        <v>5.6</v>
      </c>
      <c r="Z62" s="72">
        <v>5.6</v>
      </c>
      <c r="AA62" s="72">
        <v>5.6</v>
      </c>
      <c r="AB62" s="72">
        <v>5.6</v>
      </c>
      <c r="AC62" s="72">
        <v>5.6</v>
      </c>
      <c r="AD62" s="72">
        <v>4.2</v>
      </c>
      <c r="AE62" s="72">
        <v>4.2</v>
      </c>
      <c r="AF62" s="72">
        <v>5.9</v>
      </c>
      <c r="AG62" s="61">
        <v>14</v>
      </c>
      <c r="AH62" s="52">
        <f t="shared" si="2"/>
        <v>5.9</v>
      </c>
      <c r="AI62" s="53">
        <f t="shared" si="3"/>
        <v>4</v>
      </c>
      <c r="AK62" s="54"/>
    </row>
    <row r="63" spans="1:41" x14ac:dyDescent="0.25">
      <c r="A63" s="60" t="s">
        <v>67</v>
      </c>
      <c r="B63" s="72">
        <v>5.2</v>
      </c>
      <c r="C63" s="72">
        <v>5.2</v>
      </c>
      <c r="D63" s="72">
        <v>5.2</v>
      </c>
      <c r="E63" s="72">
        <v>5.2</v>
      </c>
      <c r="F63" s="72">
        <v>5.2</v>
      </c>
      <c r="G63" s="72">
        <v>5.2</v>
      </c>
      <c r="H63" s="72">
        <v>5.2</v>
      </c>
      <c r="I63" s="72">
        <v>5.2</v>
      </c>
      <c r="J63" s="72">
        <v>5.2</v>
      </c>
      <c r="K63" s="72">
        <v>5.2</v>
      </c>
      <c r="L63" s="72">
        <v>5.2</v>
      </c>
      <c r="M63" s="72">
        <v>6</v>
      </c>
      <c r="N63" s="72">
        <v>6</v>
      </c>
      <c r="O63" s="72">
        <v>6</v>
      </c>
      <c r="P63" s="72">
        <v>6</v>
      </c>
      <c r="Q63" s="72">
        <v>6</v>
      </c>
      <c r="R63" s="72">
        <v>6</v>
      </c>
      <c r="S63" s="72">
        <v>6</v>
      </c>
      <c r="T63" s="72">
        <v>6</v>
      </c>
      <c r="U63" s="72">
        <v>6</v>
      </c>
      <c r="V63" s="72">
        <v>6</v>
      </c>
      <c r="W63" s="72">
        <v>6</v>
      </c>
      <c r="X63" s="72">
        <v>6</v>
      </c>
      <c r="Y63" s="72">
        <v>6</v>
      </c>
      <c r="Z63" s="72">
        <v>6</v>
      </c>
      <c r="AA63" s="72">
        <v>6</v>
      </c>
      <c r="AB63" s="72">
        <v>6</v>
      </c>
      <c r="AC63" s="72">
        <v>6</v>
      </c>
      <c r="AD63" s="72">
        <v>5</v>
      </c>
      <c r="AE63" s="72">
        <v>5</v>
      </c>
      <c r="AF63" s="72">
        <v>5</v>
      </c>
      <c r="AG63" s="61">
        <v>10.050000000000001</v>
      </c>
      <c r="AH63" s="52">
        <f t="shared" si="2"/>
        <v>6</v>
      </c>
      <c r="AI63" s="53">
        <f t="shared" si="3"/>
        <v>5</v>
      </c>
      <c r="AK63" s="54"/>
    </row>
    <row r="64" spans="1:41" x14ac:dyDescent="0.25">
      <c r="A64" s="60" t="s">
        <v>68</v>
      </c>
      <c r="B64" s="72">
        <v>2.4</v>
      </c>
      <c r="C64" s="72">
        <v>2.4</v>
      </c>
      <c r="D64" s="72">
        <v>2.4</v>
      </c>
      <c r="E64" s="72">
        <v>2.4</v>
      </c>
      <c r="F64" s="72">
        <v>2.4</v>
      </c>
      <c r="G64" s="72">
        <v>2.4</v>
      </c>
      <c r="H64" s="72">
        <v>2.4</v>
      </c>
      <c r="I64" s="72">
        <v>2.4</v>
      </c>
      <c r="J64" s="72">
        <v>2.4</v>
      </c>
      <c r="K64" s="72">
        <v>2.4</v>
      </c>
      <c r="L64" s="72">
        <v>2.4</v>
      </c>
      <c r="M64" s="72">
        <v>2.5</v>
      </c>
      <c r="N64" s="72">
        <v>2.5</v>
      </c>
      <c r="O64" s="72">
        <v>2.5</v>
      </c>
      <c r="P64" s="72">
        <v>2.5</v>
      </c>
      <c r="Q64" s="72">
        <v>2.5</v>
      </c>
      <c r="R64" s="72">
        <v>2.5</v>
      </c>
      <c r="S64" s="72">
        <v>2.5</v>
      </c>
      <c r="T64" s="72">
        <v>2.5</v>
      </c>
      <c r="U64" s="72">
        <v>2.5</v>
      </c>
      <c r="V64" s="72">
        <v>2.5</v>
      </c>
      <c r="W64" s="72">
        <v>2.5</v>
      </c>
      <c r="X64" s="72">
        <v>2.5</v>
      </c>
      <c r="Y64" s="72">
        <v>2.5</v>
      </c>
      <c r="Z64" s="72">
        <v>2.5</v>
      </c>
      <c r="AA64" s="72">
        <v>2.5</v>
      </c>
      <c r="AB64" s="72">
        <v>2.5</v>
      </c>
      <c r="AC64" s="72">
        <v>2.5</v>
      </c>
      <c r="AD64" s="72">
        <v>2.5</v>
      </c>
      <c r="AE64" s="72">
        <v>2.5</v>
      </c>
      <c r="AF64" s="72">
        <v>2.5</v>
      </c>
      <c r="AG64" s="61">
        <v>6.2</v>
      </c>
      <c r="AH64" s="52">
        <f t="shared" si="2"/>
        <v>2.5</v>
      </c>
      <c r="AI64" s="53">
        <f t="shared" si="3"/>
        <v>2.4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6">SUM(B53:B65)</f>
        <v>152.23999999999998</v>
      </c>
      <c r="C66" s="67">
        <f t="shared" si="16"/>
        <v>130.24</v>
      </c>
      <c r="D66" s="67">
        <f t="shared" si="16"/>
        <v>102.24000000000001</v>
      </c>
      <c r="E66" s="67">
        <f t="shared" ref="E66:G66" si="17">SUM(E53:E65)</f>
        <v>95.240000000000009</v>
      </c>
      <c r="F66" s="67">
        <f t="shared" si="17"/>
        <v>95.240000000000009</v>
      </c>
      <c r="G66" s="67">
        <f t="shared" si="17"/>
        <v>95.240000000000009</v>
      </c>
      <c r="H66" s="67">
        <f t="shared" ref="H66:I66" si="18">SUM(H53:H65)</f>
        <v>95.240000000000009</v>
      </c>
      <c r="I66" s="67">
        <f t="shared" si="18"/>
        <v>95.240000000000009</v>
      </c>
      <c r="J66" s="67">
        <f t="shared" ref="J66:L66" si="19">SUM(J53:J65)</f>
        <v>162.24</v>
      </c>
      <c r="K66" s="67">
        <f t="shared" si="19"/>
        <v>244.24</v>
      </c>
      <c r="L66" s="67">
        <f t="shared" si="19"/>
        <v>286.44</v>
      </c>
      <c r="M66" s="67">
        <f t="shared" si="16"/>
        <v>277.94000000000005</v>
      </c>
      <c r="N66" s="67">
        <f t="shared" si="16"/>
        <v>261.44</v>
      </c>
      <c r="O66" s="67">
        <f t="shared" si="16"/>
        <v>254.94</v>
      </c>
      <c r="P66" s="67">
        <f t="shared" si="16"/>
        <v>316.94000000000005</v>
      </c>
      <c r="Q66" s="67">
        <f t="shared" si="16"/>
        <v>286.54000000000008</v>
      </c>
      <c r="R66" s="67">
        <f t="shared" si="16"/>
        <v>286.74000000000007</v>
      </c>
      <c r="S66" s="67">
        <f t="shared" si="16"/>
        <v>286.74000000000007</v>
      </c>
      <c r="T66" s="67">
        <f t="shared" si="16"/>
        <v>286.44000000000005</v>
      </c>
      <c r="U66" s="67">
        <f t="shared" si="16"/>
        <v>288.34000000000003</v>
      </c>
      <c r="V66" s="67">
        <f t="shared" si="16"/>
        <v>286.74000000000007</v>
      </c>
      <c r="W66" s="67">
        <f t="shared" si="16"/>
        <v>263.54000000000002</v>
      </c>
      <c r="X66" s="67">
        <f t="shared" si="16"/>
        <v>272.94000000000005</v>
      </c>
      <c r="Y66" s="67">
        <f t="shared" si="16"/>
        <v>288.1400000000001</v>
      </c>
      <c r="Z66" s="67">
        <f t="shared" ref="Z66" si="20">SUM(Z53:Z65)</f>
        <v>328.54</v>
      </c>
      <c r="AA66" s="67">
        <f t="shared" si="16"/>
        <v>303.04000000000002</v>
      </c>
      <c r="AB66" s="67">
        <f t="shared" si="16"/>
        <v>303.04000000000002</v>
      </c>
      <c r="AC66" s="67">
        <f t="shared" si="16"/>
        <v>303.14000000000004</v>
      </c>
      <c r="AD66" s="67">
        <f t="shared" si="16"/>
        <v>196.43999999999997</v>
      </c>
      <c r="AE66" s="67">
        <f t="shared" si="16"/>
        <v>162.63999999999996</v>
      </c>
      <c r="AF66" s="67">
        <f t="shared" si="16"/>
        <v>129.84</v>
      </c>
      <c r="AG66" s="68">
        <f t="shared" si="16"/>
        <v>489.91</v>
      </c>
      <c r="AH66" s="52">
        <f t="shared" si="2"/>
        <v>328.54</v>
      </c>
      <c r="AI66" s="53">
        <f t="shared" si="3"/>
        <v>95.240000000000009</v>
      </c>
      <c r="AK66" s="54"/>
    </row>
    <row r="67" spans="1:40" x14ac:dyDescent="0.25">
      <c r="A67" s="49" t="s">
        <v>71</v>
      </c>
      <c r="B67" s="50">
        <v>30</v>
      </c>
      <c r="C67" s="50">
        <v>30</v>
      </c>
      <c r="D67" s="50">
        <v>30</v>
      </c>
      <c r="E67" s="50">
        <v>30</v>
      </c>
      <c r="F67" s="50">
        <v>20</v>
      </c>
      <c r="G67" s="50">
        <v>30</v>
      </c>
      <c r="H67" s="50">
        <v>30</v>
      </c>
      <c r="I67" s="50">
        <v>30</v>
      </c>
      <c r="J67" s="50">
        <v>50</v>
      </c>
      <c r="K67" s="50">
        <v>50</v>
      </c>
      <c r="L67" s="50">
        <v>30</v>
      </c>
      <c r="M67" s="50">
        <v>20</v>
      </c>
      <c r="N67" s="50">
        <v>14</v>
      </c>
      <c r="O67" s="50">
        <v>14</v>
      </c>
      <c r="P67" s="50">
        <v>43.4</v>
      </c>
      <c r="Q67" s="50">
        <v>43</v>
      </c>
      <c r="R67" s="50">
        <v>59.5</v>
      </c>
      <c r="S67" s="50">
        <v>54.6</v>
      </c>
      <c r="T67" s="50">
        <v>59.9</v>
      </c>
      <c r="U67" s="50">
        <v>60</v>
      </c>
      <c r="V67" s="50">
        <v>55</v>
      </c>
      <c r="W67" s="50">
        <v>55</v>
      </c>
      <c r="X67" s="50">
        <v>34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50</v>
      </c>
      <c r="AE67" s="50">
        <v>50</v>
      </c>
      <c r="AF67" s="50">
        <v>60.2</v>
      </c>
      <c r="AG67" s="56">
        <v>60</v>
      </c>
      <c r="AH67" s="52">
        <f t="shared" si="2"/>
        <v>60.2</v>
      </c>
      <c r="AI67" s="53">
        <f t="shared" si="3"/>
        <v>14</v>
      </c>
      <c r="AK67" s="54"/>
    </row>
    <row r="68" spans="1:40" x14ac:dyDescent="0.25">
      <c r="A68" s="60" t="s">
        <v>72</v>
      </c>
      <c r="B68" s="72">
        <v>15</v>
      </c>
      <c r="C68" s="72">
        <v>12</v>
      </c>
      <c r="D68" s="72">
        <v>13</v>
      </c>
      <c r="E68" s="72">
        <v>13</v>
      </c>
      <c r="F68" s="72">
        <v>12</v>
      </c>
      <c r="G68" s="72">
        <v>13</v>
      </c>
      <c r="H68" s="72">
        <v>13</v>
      </c>
      <c r="I68" s="72">
        <v>13</v>
      </c>
      <c r="J68" s="72">
        <v>13</v>
      </c>
      <c r="K68" s="72">
        <v>13</v>
      </c>
      <c r="L68" s="72">
        <v>13</v>
      </c>
      <c r="M68" s="72">
        <v>6.2</v>
      </c>
      <c r="N68" s="72">
        <v>4.7</v>
      </c>
      <c r="O68" s="72">
        <v>7.9</v>
      </c>
      <c r="P68" s="72">
        <v>16</v>
      </c>
      <c r="Q68" s="50">
        <v>23</v>
      </c>
      <c r="R68" s="50">
        <v>22.4</v>
      </c>
      <c r="S68" s="72">
        <v>28.1</v>
      </c>
      <c r="T68" s="72">
        <v>28</v>
      </c>
      <c r="U68" s="72">
        <v>28.7</v>
      </c>
      <c r="V68" s="72">
        <v>26.1</v>
      </c>
      <c r="W68" s="72">
        <v>24.9</v>
      </c>
      <c r="X68" s="72">
        <v>24.8</v>
      </c>
      <c r="Y68" s="72">
        <v>21.6</v>
      </c>
      <c r="Z68" s="72">
        <v>27.6</v>
      </c>
      <c r="AA68" s="72">
        <v>27.7</v>
      </c>
      <c r="AB68" s="72">
        <v>27.7</v>
      </c>
      <c r="AC68" s="72">
        <v>28.4</v>
      </c>
      <c r="AD68" s="72">
        <v>18.100000000000001</v>
      </c>
      <c r="AE68" s="72">
        <v>18.2</v>
      </c>
      <c r="AF68" s="50">
        <v>31.1</v>
      </c>
      <c r="AG68" s="61">
        <v>32</v>
      </c>
      <c r="AH68" s="52">
        <f t="shared" si="2"/>
        <v>31.1</v>
      </c>
      <c r="AI68" s="53">
        <f t="shared" si="3"/>
        <v>4.7</v>
      </c>
      <c r="AK68" s="54"/>
    </row>
    <row r="69" spans="1:40" ht="15.75" thickBot="1" x14ac:dyDescent="0.3">
      <c r="A69" s="78" t="s">
        <v>73</v>
      </c>
      <c r="B69" s="74">
        <v>5</v>
      </c>
      <c r="C69" s="74">
        <v>4.5</v>
      </c>
      <c r="D69" s="74">
        <v>5</v>
      </c>
      <c r="E69" s="74">
        <v>5</v>
      </c>
      <c r="F69" s="74">
        <v>5</v>
      </c>
      <c r="G69" s="74">
        <v>5</v>
      </c>
      <c r="H69" s="74">
        <v>5</v>
      </c>
      <c r="I69" s="74">
        <v>5</v>
      </c>
      <c r="J69" s="74">
        <v>5</v>
      </c>
      <c r="K69" s="74">
        <v>5</v>
      </c>
      <c r="L69" s="74">
        <v>5</v>
      </c>
      <c r="M69" s="74">
        <v>2.2000000000000002</v>
      </c>
      <c r="N69" s="74">
        <v>1.7</v>
      </c>
      <c r="O69" s="74">
        <v>2.9</v>
      </c>
      <c r="P69" s="74">
        <v>5.8</v>
      </c>
      <c r="Q69" s="50">
        <v>8.4</v>
      </c>
      <c r="R69" s="50">
        <v>8.1999999999999993</v>
      </c>
      <c r="S69" s="74">
        <v>10.3</v>
      </c>
      <c r="T69" s="74">
        <v>10.199999999999999</v>
      </c>
      <c r="U69" s="74">
        <v>10.5</v>
      </c>
      <c r="V69" s="74">
        <v>9.5</v>
      </c>
      <c r="W69" s="74">
        <v>9.1</v>
      </c>
      <c r="X69" s="74">
        <v>9</v>
      </c>
      <c r="Y69" s="74">
        <v>7.9</v>
      </c>
      <c r="Z69" s="74">
        <v>10.1</v>
      </c>
      <c r="AA69" s="74">
        <v>10.1</v>
      </c>
      <c r="AB69" s="74">
        <v>10.1</v>
      </c>
      <c r="AC69" s="74">
        <v>10.4</v>
      </c>
      <c r="AD69" s="74">
        <v>6.6</v>
      </c>
      <c r="AE69" s="74">
        <v>6.6</v>
      </c>
      <c r="AF69" s="50">
        <v>11.3</v>
      </c>
      <c r="AG69" s="75">
        <v>14</v>
      </c>
      <c r="AH69" s="52">
        <f t="shared" si="2"/>
        <v>11.3</v>
      </c>
      <c r="AI69" s="53">
        <f t="shared" si="3"/>
        <v>1.7</v>
      </c>
      <c r="AK69" s="54"/>
    </row>
    <row r="70" spans="1:40" ht="15.75" thickBot="1" x14ac:dyDescent="0.3">
      <c r="A70" s="81" t="s">
        <v>74</v>
      </c>
      <c r="B70" s="67">
        <f t="shared" ref="B70" si="21">B67+B68+B69</f>
        <v>50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f t="shared" ref="M70:AF70" si="22">M67+M68+M69</f>
        <v>28.4</v>
      </c>
      <c r="N70" s="67">
        <f t="shared" si="22"/>
        <v>20.399999999999999</v>
      </c>
      <c r="O70" s="67">
        <f t="shared" si="22"/>
        <v>24.799999999999997</v>
      </c>
      <c r="P70" s="67">
        <f t="shared" si="22"/>
        <v>65.2</v>
      </c>
      <c r="Q70" s="67">
        <f t="shared" si="22"/>
        <v>74.400000000000006</v>
      </c>
      <c r="R70" s="67">
        <f t="shared" si="22"/>
        <v>90.100000000000009</v>
      </c>
      <c r="S70" s="67">
        <f t="shared" si="22"/>
        <v>93</v>
      </c>
      <c r="T70" s="67">
        <f t="shared" si="22"/>
        <v>98.100000000000009</v>
      </c>
      <c r="U70" s="67">
        <f t="shared" si="22"/>
        <v>99.2</v>
      </c>
      <c r="V70" s="67">
        <f t="shared" si="22"/>
        <v>90.6</v>
      </c>
      <c r="W70" s="67">
        <f t="shared" si="22"/>
        <v>89</v>
      </c>
      <c r="X70" s="67">
        <f t="shared" si="22"/>
        <v>67.8</v>
      </c>
      <c r="Y70" s="67">
        <f t="shared" si="22"/>
        <v>89.5</v>
      </c>
      <c r="Z70" s="67">
        <f t="shared" ref="Z70" si="23">SUM(Z67:Z69)</f>
        <v>97.699999999999989</v>
      </c>
      <c r="AA70" s="67">
        <f t="shared" si="22"/>
        <v>97.8</v>
      </c>
      <c r="AB70" s="67">
        <f t="shared" si="22"/>
        <v>97.8</v>
      </c>
      <c r="AC70" s="67">
        <f t="shared" si="22"/>
        <v>98.800000000000011</v>
      </c>
      <c r="AD70" s="67">
        <f t="shared" si="22"/>
        <v>74.699999999999989</v>
      </c>
      <c r="AE70" s="67">
        <f t="shared" si="22"/>
        <v>74.8</v>
      </c>
      <c r="AF70" s="67">
        <f t="shared" si="22"/>
        <v>102.60000000000001</v>
      </c>
      <c r="AG70" s="68">
        <f>SUM(AG67:AG69)</f>
        <v>106</v>
      </c>
      <c r="AH70" s="52">
        <f t="shared" si="2"/>
        <v>102.60000000000001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46</v>
      </c>
      <c r="C71" s="50">
        <v>55</v>
      </c>
      <c r="D71" s="50">
        <v>54</v>
      </c>
      <c r="E71" s="50">
        <v>55</v>
      </c>
      <c r="F71" s="50">
        <v>55</v>
      </c>
      <c r="G71" s="50">
        <v>54</v>
      </c>
      <c r="H71" s="50">
        <v>54</v>
      </c>
      <c r="I71" s="50">
        <v>54</v>
      </c>
      <c r="J71" s="50">
        <v>54</v>
      </c>
      <c r="K71" s="50">
        <v>54</v>
      </c>
      <c r="L71" s="50">
        <v>54</v>
      </c>
      <c r="M71" s="50">
        <v>44</v>
      </c>
      <c r="N71" s="50">
        <v>43</v>
      </c>
      <c r="O71" s="50">
        <v>48.6</v>
      </c>
      <c r="P71" s="50">
        <v>47.3</v>
      </c>
      <c r="Q71" s="50">
        <v>56.7</v>
      </c>
      <c r="R71" s="50">
        <v>52.9</v>
      </c>
      <c r="S71" s="50">
        <v>53.1</v>
      </c>
      <c r="T71" s="50">
        <v>64.3</v>
      </c>
      <c r="U71" s="50">
        <v>51.5</v>
      </c>
      <c r="V71" s="50">
        <v>47.6</v>
      </c>
      <c r="W71" s="50">
        <v>43.9</v>
      </c>
      <c r="X71" s="50">
        <v>41.1</v>
      </c>
      <c r="Y71" s="50">
        <v>39.200000000000003</v>
      </c>
      <c r="Z71" s="50">
        <v>62.6</v>
      </c>
      <c r="AA71" s="50">
        <v>42.1</v>
      </c>
      <c r="AB71" s="50">
        <v>45.5</v>
      </c>
      <c r="AC71" s="50">
        <v>46.7</v>
      </c>
      <c r="AD71" s="50">
        <v>48.4</v>
      </c>
      <c r="AE71" s="50">
        <v>55</v>
      </c>
      <c r="AF71" s="50">
        <v>56</v>
      </c>
      <c r="AG71" s="56"/>
      <c r="AH71" s="52">
        <f t="shared" si="2"/>
        <v>64.3</v>
      </c>
      <c r="AI71" s="53">
        <f t="shared" si="3"/>
        <v>39.200000000000003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275</v>
      </c>
      <c r="C73" s="72">
        <v>300</v>
      </c>
      <c r="D73" s="72">
        <v>280</v>
      </c>
      <c r="E73" s="72">
        <v>285</v>
      </c>
      <c r="F73" s="72">
        <v>290</v>
      </c>
      <c r="G73" s="72">
        <v>280</v>
      </c>
      <c r="H73" s="72">
        <v>280</v>
      </c>
      <c r="I73" s="72">
        <v>250</v>
      </c>
      <c r="J73" s="72">
        <v>252</v>
      </c>
      <c r="K73" s="72">
        <v>280</v>
      </c>
      <c r="L73" s="72">
        <v>300</v>
      </c>
      <c r="M73" s="72">
        <v>288</v>
      </c>
      <c r="N73" s="72">
        <v>302</v>
      </c>
      <c r="O73" s="72">
        <v>317</v>
      </c>
      <c r="P73" s="72">
        <v>316</v>
      </c>
      <c r="Q73" s="72">
        <v>323</v>
      </c>
      <c r="R73" s="72">
        <v>313</v>
      </c>
      <c r="S73" s="72">
        <v>302.10000000000002</v>
      </c>
      <c r="T73" s="72">
        <v>308.60000000000002</v>
      </c>
      <c r="U73" s="72">
        <v>292</v>
      </c>
      <c r="V73" s="72">
        <v>289.2</v>
      </c>
      <c r="W73" s="72">
        <v>302</v>
      </c>
      <c r="X73" s="72">
        <v>285</v>
      </c>
      <c r="Y73" s="72">
        <v>270</v>
      </c>
      <c r="Z73" s="72">
        <v>280.60000000000002</v>
      </c>
      <c r="AA73" s="72">
        <v>278.89999999999998</v>
      </c>
      <c r="AB73" s="72">
        <v>305.5</v>
      </c>
      <c r="AC73" s="72">
        <v>278.7</v>
      </c>
      <c r="AD73" s="72">
        <v>288</v>
      </c>
      <c r="AE73" s="72">
        <v>300</v>
      </c>
      <c r="AF73" s="72">
        <v>280.5</v>
      </c>
      <c r="AG73" s="82"/>
      <c r="AH73" s="52">
        <f t="shared" si="2"/>
        <v>323</v>
      </c>
      <c r="AI73" s="53">
        <f t="shared" si="3"/>
        <v>250</v>
      </c>
      <c r="AK73" s="54"/>
    </row>
    <row r="74" spans="1:40" x14ac:dyDescent="0.25">
      <c r="A74" s="60" t="s">
        <v>78</v>
      </c>
      <c r="B74" s="72">
        <v>55</v>
      </c>
      <c r="C74" s="72">
        <v>53</v>
      </c>
      <c r="D74" s="72">
        <v>55</v>
      </c>
      <c r="E74" s="72">
        <v>55</v>
      </c>
      <c r="F74" s="72">
        <v>55</v>
      </c>
      <c r="G74" s="72">
        <v>55</v>
      </c>
      <c r="H74" s="72">
        <v>55</v>
      </c>
      <c r="I74" s="72">
        <v>55</v>
      </c>
      <c r="J74" s="72">
        <v>55</v>
      </c>
      <c r="K74" s="72">
        <v>55</v>
      </c>
      <c r="L74" s="72">
        <v>55</v>
      </c>
      <c r="M74" s="83">
        <v>61</v>
      </c>
      <c r="N74" s="83">
        <v>54</v>
      </c>
      <c r="O74" s="83">
        <v>57.1</v>
      </c>
      <c r="P74" s="83">
        <v>60.5</v>
      </c>
      <c r="Q74" s="83">
        <v>61.6</v>
      </c>
      <c r="R74" s="83">
        <v>58.7</v>
      </c>
      <c r="S74" s="83">
        <v>61.3</v>
      </c>
      <c r="T74" s="83">
        <v>62.2</v>
      </c>
      <c r="U74" s="83">
        <v>54.8</v>
      </c>
      <c r="V74" s="83">
        <v>58.8</v>
      </c>
      <c r="W74" s="83">
        <v>55</v>
      </c>
      <c r="X74" s="83">
        <v>53.2</v>
      </c>
      <c r="Y74" s="83">
        <v>53.2</v>
      </c>
      <c r="Z74" s="83">
        <v>56.7</v>
      </c>
      <c r="AA74" s="72">
        <v>63.4</v>
      </c>
      <c r="AB74" s="72">
        <v>61.6</v>
      </c>
      <c r="AC74" s="72">
        <v>60.1</v>
      </c>
      <c r="AD74" s="72">
        <v>54.8</v>
      </c>
      <c r="AE74" s="72">
        <v>55.1</v>
      </c>
      <c r="AF74" s="72">
        <v>51.5</v>
      </c>
      <c r="AG74" s="82"/>
      <c r="AH74" s="52">
        <f t="shared" si="2"/>
        <v>63.4</v>
      </c>
      <c r="AI74" s="53">
        <f t="shared" si="3"/>
        <v>51.5</v>
      </c>
      <c r="AK74" s="54"/>
    </row>
    <row r="75" spans="1:40" x14ac:dyDescent="0.25">
      <c r="A75" s="60" t="s">
        <v>79</v>
      </c>
      <c r="B75" s="50">
        <v>30</v>
      </c>
      <c r="C75" s="50">
        <v>30</v>
      </c>
      <c r="D75" s="50">
        <v>30</v>
      </c>
      <c r="E75" s="50">
        <v>30</v>
      </c>
      <c r="F75" s="50">
        <v>30</v>
      </c>
      <c r="G75" s="50">
        <v>30</v>
      </c>
      <c r="H75" s="50">
        <v>30</v>
      </c>
      <c r="I75" s="50">
        <v>30</v>
      </c>
      <c r="J75" s="50">
        <v>30</v>
      </c>
      <c r="K75" s="50">
        <v>30</v>
      </c>
      <c r="L75" s="50">
        <v>30</v>
      </c>
      <c r="M75" s="50">
        <v>29.5</v>
      </c>
      <c r="N75" s="50">
        <v>31</v>
      </c>
      <c r="O75" s="50">
        <v>33.700000000000003</v>
      </c>
      <c r="P75" s="50">
        <v>33.6</v>
      </c>
      <c r="Q75" s="50">
        <v>37.6</v>
      </c>
      <c r="R75" s="50">
        <v>35.700000000000003</v>
      </c>
      <c r="S75" s="50">
        <v>36.5</v>
      </c>
      <c r="T75" s="50">
        <v>34.700000000000003</v>
      </c>
      <c r="U75" s="50">
        <v>32</v>
      </c>
      <c r="V75" s="50">
        <v>27.6</v>
      </c>
      <c r="W75" s="50">
        <v>27</v>
      </c>
      <c r="X75" s="50">
        <v>25.6</v>
      </c>
      <c r="Y75" s="50">
        <v>25.6</v>
      </c>
      <c r="Z75" s="50">
        <v>24.4</v>
      </c>
      <c r="AA75" s="50">
        <v>24.9</v>
      </c>
      <c r="AB75" s="50">
        <v>23.2</v>
      </c>
      <c r="AC75" s="50">
        <v>22.5</v>
      </c>
      <c r="AD75" s="50">
        <v>22.8</v>
      </c>
      <c r="AE75" s="50">
        <v>23.5</v>
      </c>
      <c r="AF75" s="50">
        <v>26.5</v>
      </c>
      <c r="AG75" s="82"/>
      <c r="AH75" s="52">
        <f t="shared" ref="AH75:AH117" si="24">MAX(B75:AF75)</f>
        <v>37.6</v>
      </c>
      <c r="AI75" s="53">
        <f t="shared" ref="AI75:AI117" si="25">MIN(B75:AF75)</f>
        <v>22.5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24"/>
        <v>0</v>
      </c>
      <c r="AI76" s="53">
        <f t="shared" si="25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24"/>
        <v>0</v>
      </c>
      <c r="AI77" s="53">
        <f t="shared" si="25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24"/>
        <v>0</v>
      </c>
      <c r="AI78" s="53">
        <f t="shared" si="25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24"/>
        <v>0</v>
      </c>
      <c r="AI79" s="53">
        <f t="shared" si="25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24"/>
        <v>0</v>
      </c>
      <c r="AI80" s="53">
        <f t="shared" si="25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24"/>
        <v>0</v>
      </c>
      <c r="AI81" s="53">
        <f t="shared" si="25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26">SUMIF(B71:B81,"&gt;0")</f>
        <v>406</v>
      </c>
      <c r="C82" s="67">
        <f t="shared" si="26"/>
        <v>438</v>
      </c>
      <c r="D82" s="67">
        <f t="shared" si="26"/>
        <v>419</v>
      </c>
      <c r="E82" s="67">
        <f t="shared" ref="E82:G82" si="27">SUMIF(E71:E81,"&gt;0")</f>
        <v>425</v>
      </c>
      <c r="F82" s="67">
        <f t="shared" si="27"/>
        <v>430</v>
      </c>
      <c r="G82" s="67">
        <f t="shared" si="27"/>
        <v>419</v>
      </c>
      <c r="H82" s="67">
        <f t="shared" ref="H82:I82" si="28">SUMIF(H71:H81,"&gt;0")</f>
        <v>419</v>
      </c>
      <c r="I82" s="67">
        <f t="shared" si="28"/>
        <v>389</v>
      </c>
      <c r="J82" s="67">
        <f t="shared" ref="J82:L82" si="29">SUMIF(J71:J81,"&gt;0")</f>
        <v>391</v>
      </c>
      <c r="K82" s="67">
        <f t="shared" si="29"/>
        <v>419</v>
      </c>
      <c r="L82" s="67">
        <f t="shared" si="29"/>
        <v>439</v>
      </c>
      <c r="M82" s="67">
        <f t="shared" si="26"/>
        <v>422.5</v>
      </c>
      <c r="N82" s="67">
        <f t="shared" si="26"/>
        <v>430</v>
      </c>
      <c r="O82" s="67">
        <f t="shared" si="26"/>
        <v>456.40000000000003</v>
      </c>
      <c r="P82" s="67">
        <f t="shared" si="26"/>
        <v>457.40000000000003</v>
      </c>
      <c r="Q82" s="67">
        <f t="shared" si="26"/>
        <v>478.90000000000003</v>
      </c>
      <c r="R82" s="67">
        <f t="shared" si="26"/>
        <v>460.29999999999995</v>
      </c>
      <c r="S82" s="67">
        <f t="shared" si="26"/>
        <v>453.00000000000006</v>
      </c>
      <c r="T82" s="67">
        <f t="shared" si="26"/>
        <v>469.8</v>
      </c>
      <c r="U82" s="67">
        <f t="shared" si="26"/>
        <v>430.3</v>
      </c>
      <c r="V82" s="67">
        <f t="shared" si="26"/>
        <v>423.20000000000005</v>
      </c>
      <c r="W82" s="67">
        <f t="shared" si="26"/>
        <v>427.9</v>
      </c>
      <c r="X82" s="67">
        <f t="shared" si="26"/>
        <v>404.90000000000003</v>
      </c>
      <c r="Y82" s="67">
        <f t="shared" si="26"/>
        <v>388</v>
      </c>
      <c r="Z82" s="67">
        <f t="shared" si="26"/>
        <v>424.3</v>
      </c>
      <c r="AA82" s="67">
        <f t="shared" si="26"/>
        <v>409.29999999999995</v>
      </c>
      <c r="AB82" s="67">
        <f t="shared" si="26"/>
        <v>435.8</v>
      </c>
      <c r="AC82" s="67">
        <f t="shared" si="26"/>
        <v>408</v>
      </c>
      <c r="AD82" s="67">
        <f t="shared" si="26"/>
        <v>414</v>
      </c>
      <c r="AE82" s="67">
        <f t="shared" si="26"/>
        <v>433.6</v>
      </c>
      <c r="AF82" s="67">
        <f t="shared" si="26"/>
        <v>414.5</v>
      </c>
      <c r="AG82" s="95">
        <f>SUM(AG71:AG81)</f>
        <v>0</v>
      </c>
      <c r="AH82" s="52">
        <f t="shared" si="24"/>
        <v>478.90000000000003</v>
      </c>
      <c r="AI82" s="53">
        <f t="shared" si="25"/>
        <v>388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4"/>
        <v>0</v>
      </c>
      <c r="AI83" s="53">
        <f t="shared" si="25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4"/>
        <v>0</v>
      </c>
      <c r="AI84" s="53">
        <f t="shared" si="25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4"/>
        <v>0</v>
      </c>
      <c r="AI85" s="53">
        <f t="shared" si="25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>
        <f>SUM(Z83:Z85)</f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24"/>
        <v>0</v>
      </c>
      <c r="AI86" s="53">
        <f t="shared" si="25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30">B48+B52+B70+B66+B82+B86</f>
        <v>1065.6399999999999</v>
      </c>
      <c r="C87" s="102">
        <f t="shared" si="30"/>
        <v>985.64</v>
      </c>
      <c r="D87" s="102">
        <f t="shared" si="30"/>
        <v>938.64</v>
      </c>
      <c r="E87" s="102">
        <f t="shared" ref="E87:G87" si="31">E48+E52+E70+E66+E82+E86</f>
        <v>937.64</v>
      </c>
      <c r="F87" s="102">
        <f t="shared" si="31"/>
        <v>942.64</v>
      </c>
      <c r="G87" s="102">
        <f t="shared" si="31"/>
        <v>931.64</v>
      </c>
      <c r="H87" s="102">
        <f t="shared" ref="H87:I87" si="32">H48+H52+H70+H66+H82+H86</f>
        <v>931.64</v>
      </c>
      <c r="I87" s="102">
        <f t="shared" si="32"/>
        <v>921.64</v>
      </c>
      <c r="J87" s="102">
        <f t="shared" ref="J87:L87" si="33">J48+J52+J70+J66+J82+J86</f>
        <v>1005.64</v>
      </c>
      <c r="K87" s="102">
        <f t="shared" si="33"/>
        <v>1140.6399999999999</v>
      </c>
      <c r="L87" s="102">
        <f t="shared" si="33"/>
        <v>1162.8399999999999</v>
      </c>
      <c r="M87" s="102">
        <f t="shared" si="30"/>
        <v>1195.1400000000001</v>
      </c>
      <c r="N87" s="102">
        <f t="shared" si="30"/>
        <v>1178.1399999999999</v>
      </c>
      <c r="O87" s="102">
        <f t="shared" si="30"/>
        <v>1235.44</v>
      </c>
      <c r="P87" s="102">
        <f t="shared" si="30"/>
        <v>1316.8400000000001</v>
      </c>
      <c r="Q87" s="102">
        <f t="shared" si="30"/>
        <v>1316.2400000000002</v>
      </c>
      <c r="R87" s="102">
        <f t="shared" si="30"/>
        <v>1322.8400000000001</v>
      </c>
      <c r="S87" s="102">
        <f t="shared" si="30"/>
        <v>1342.44</v>
      </c>
      <c r="T87" s="102">
        <f t="shared" si="30"/>
        <v>1353.24</v>
      </c>
      <c r="U87" s="102">
        <f t="shared" si="30"/>
        <v>1366.74</v>
      </c>
      <c r="V87" s="102">
        <f t="shared" si="30"/>
        <v>1329.44</v>
      </c>
      <c r="W87" s="102">
        <f t="shared" si="30"/>
        <v>1274.3400000000001</v>
      </c>
      <c r="X87" s="102">
        <f t="shared" si="30"/>
        <v>1224.44</v>
      </c>
      <c r="Y87" s="102">
        <f t="shared" si="30"/>
        <v>1294.44</v>
      </c>
      <c r="Z87" s="102">
        <f t="shared" ref="Z87" si="34">SUM(Z48,Z52,Z66,Z70,Z82,Z86)</f>
        <v>1444.74</v>
      </c>
      <c r="AA87" s="102">
        <f t="shared" si="30"/>
        <v>1394.34</v>
      </c>
      <c r="AB87" s="102">
        <f t="shared" si="30"/>
        <v>1345.84</v>
      </c>
      <c r="AC87" s="102">
        <f t="shared" si="30"/>
        <v>1334.14</v>
      </c>
      <c r="AD87" s="102">
        <f t="shared" si="30"/>
        <v>1217.1399999999999</v>
      </c>
      <c r="AE87" s="102">
        <f t="shared" si="30"/>
        <v>1194.54</v>
      </c>
      <c r="AF87" s="102">
        <f t="shared" si="30"/>
        <v>1148.44</v>
      </c>
      <c r="AG87" s="68">
        <f t="shared" si="30"/>
        <v>2065.09</v>
      </c>
      <c r="AH87" s="52">
        <f>MAX(B87:AF87)</f>
        <v>1444.74</v>
      </c>
      <c r="AI87" s="53">
        <f>MIN(B87:AF87)</f>
        <v>921.64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>
        <v>0</v>
      </c>
      <c r="C88" s="104"/>
      <c r="D88" s="104"/>
      <c r="E88" s="104"/>
      <c r="F88" s="104"/>
      <c r="G88" s="104"/>
      <c r="H88" s="104"/>
      <c r="I88" s="104"/>
      <c r="J88" s="104"/>
      <c r="K88" s="104">
        <v>120</v>
      </c>
      <c r="L88" s="104">
        <v>120</v>
      </c>
      <c r="M88" s="104">
        <v>120</v>
      </c>
      <c r="N88" s="104">
        <v>120</v>
      </c>
      <c r="O88" s="104">
        <v>120</v>
      </c>
      <c r="P88" s="104">
        <v>0</v>
      </c>
      <c r="Q88" s="104">
        <v>0</v>
      </c>
      <c r="R88" s="104">
        <v>0</v>
      </c>
      <c r="S88" s="104"/>
      <c r="T88" s="104"/>
      <c r="U88" s="104"/>
      <c r="V88" s="104"/>
      <c r="W88" s="104">
        <v>60</v>
      </c>
      <c r="X88" s="104">
        <v>150</v>
      </c>
      <c r="Y88" s="104">
        <v>160</v>
      </c>
      <c r="Z88" s="104">
        <v>150</v>
      </c>
      <c r="AA88" s="104">
        <v>150</v>
      </c>
      <c r="AB88" s="104">
        <v>150</v>
      </c>
      <c r="AC88" s="104">
        <v>150</v>
      </c>
      <c r="AD88" s="104">
        <v>150</v>
      </c>
      <c r="AE88" s="104">
        <v>100</v>
      </c>
      <c r="AF88" s="104"/>
      <c r="AG88" s="95"/>
      <c r="AH88" s="52">
        <f t="shared" si="24"/>
        <v>160</v>
      </c>
      <c r="AI88" s="53">
        <f t="shared" si="25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35">B87+B88</f>
        <v>1065.6399999999999</v>
      </c>
      <c r="C89" s="102">
        <f t="shared" si="35"/>
        <v>985.64</v>
      </c>
      <c r="D89" s="102">
        <f t="shared" si="35"/>
        <v>938.64</v>
      </c>
      <c r="E89" s="102">
        <f t="shared" ref="E89:G89" si="36">E87+E88</f>
        <v>937.64</v>
      </c>
      <c r="F89" s="102">
        <f t="shared" si="36"/>
        <v>942.64</v>
      </c>
      <c r="G89" s="102">
        <f t="shared" si="36"/>
        <v>931.64</v>
      </c>
      <c r="H89" s="102">
        <f t="shared" ref="H89:I89" si="37">H87+H88</f>
        <v>931.64</v>
      </c>
      <c r="I89" s="102">
        <f t="shared" si="37"/>
        <v>921.64</v>
      </c>
      <c r="J89" s="102">
        <f t="shared" ref="J89:L89" si="38">J87+J88</f>
        <v>1005.64</v>
      </c>
      <c r="K89" s="102">
        <f t="shared" si="38"/>
        <v>1260.6399999999999</v>
      </c>
      <c r="L89" s="102">
        <f t="shared" si="38"/>
        <v>1282.8399999999999</v>
      </c>
      <c r="M89" s="102">
        <f t="shared" si="35"/>
        <v>1315.14</v>
      </c>
      <c r="N89" s="102">
        <f t="shared" si="35"/>
        <v>1298.1399999999999</v>
      </c>
      <c r="O89" s="102">
        <f t="shared" si="35"/>
        <v>1355.44</v>
      </c>
      <c r="P89" s="102">
        <f t="shared" si="35"/>
        <v>1316.8400000000001</v>
      </c>
      <c r="Q89" s="102">
        <f t="shared" si="35"/>
        <v>1316.2400000000002</v>
      </c>
      <c r="R89" s="102">
        <f t="shared" si="35"/>
        <v>1322.8400000000001</v>
      </c>
      <c r="S89" s="102">
        <f t="shared" si="35"/>
        <v>1342.44</v>
      </c>
      <c r="T89" s="102">
        <f t="shared" si="35"/>
        <v>1353.24</v>
      </c>
      <c r="U89" s="102">
        <f t="shared" si="35"/>
        <v>1366.74</v>
      </c>
      <c r="V89" s="102">
        <f t="shared" si="35"/>
        <v>1329.44</v>
      </c>
      <c r="W89" s="102">
        <f t="shared" si="35"/>
        <v>1334.3400000000001</v>
      </c>
      <c r="X89" s="102">
        <f t="shared" si="35"/>
        <v>1374.44</v>
      </c>
      <c r="Y89" s="102">
        <f t="shared" si="35"/>
        <v>1454.44</v>
      </c>
      <c r="Z89" s="102">
        <f t="shared" ref="Z89" si="39">SUM(Z87+Z88)</f>
        <v>1594.74</v>
      </c>
      <c r="AA89" s="102">
        <f t="shared" si="35"/>
        <v>1544.34</v>
      </c>
      <c r="AB89" s="102">
        <f t="shared" si="35"/>
        <v>1495.84</v>
      </c>
      <c r="AC89" s="102">
        <f t="shared" si="35"/>
        <v>1484.14</v>
      </c>
      <c r="AD89" s="102">
        <f t="shared" si="35"/>
        <v>1367.1399999999999</v>
      </c>
      <c r="AE89" s="102">
        <f t="shared" si="35"/>
        <v>1294.54</v>
      </c>
      <c r="AF89" s="102">
        <f t="shared" si="35"/>
        <v>1148.44</v>
      </c>
      <c r="AG89" s="95">
        <f>AG86+AG82+AG70+AG66+AG48+AG88</f>
        <v>1526.99</v>
      </c>
      <c r="AH89" s="52">
        <f t="shared" si="24"/>
        <v>1594.74</v>
      </c>
      <c r="AI89" s="53">
        <f t="shared" si="25"/>
        <v>921.64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40">B89-B97</f>
        <v>1065.6399999999999</v>
      </c>
      <c r="C90" s="102">
        <f t="shared" si="40"/>
        <v>985.64</v>
      </c>
      <c r="D90" s="102">
        <f t="shared" si="40"/>
        <v>938.64</v>
      </c>
      <c r="E90" s="102">
        <f t="shared" ref="E90:G90" si="41">E89-E97</f>
        <v>937.64</v>
      </c>
      <c r="F90" s="102">
        <f t="shared" si="41"/>
        <v>942.64</v>
      </c>
      <c r="G90" s="102">
        <f t="shared" si="41"/>
        <v>931.64</v>
      </c>
      <c r="H90" s="102">
        <f t="shared" ref="H90:I90" si="42">H89-H97</f>
        <v>931.64</v>
      </c>
      <c r="I90" s="102">
        <f t="shared" si="42"/>
        <v>921.64</v>
      </c>
      <c r="J90" s="102">
        <f t="shared" ref="J90:L90" si="43">J89-J97</f>
        <v>1005.64</v>
      </c>
      <c r="K90" s="102">
        <f t="shared" si="43"/>
        <v>1260.6399999999999</v>
      </c>
      <c r="L90" s="102">
        <f t="shared" si="43"/>
        <v>1282.8399999999999</v>
      </c>
      <c r="M90" s="102">
        <f t="shared" si="40"/>
        <v>1315.14</v>
      </c>
      <c r="N90" s="102">
        <f t="shared" si="40"/>
        <v>1298.1399999999999</v>
      </c>
      <c r="O90" s="102">
        <f t="shared" si="40"/>
        <v>1355.44</v>
      </c>
      <c r="P90" s="102">
        <f t="shared" si="40"/>
        <v>1316.8400000000001</v>
      </c>
      <c r="Q90" s="102">
        <f t="shared" si="40"/>
        <v>1316.2400000000002</v>
      </c>
      <c r="R90" s="102">
        <f t="shared" si="40"/>
        <v>1322.8400000000001</v>
      </c>
      <c r="S90" s="102">
        <f t="shared" si="40"/>
        <v>1342.44</v>
      </c>
      <c r="T90" s="102">
        <f t="shared" si="40"/>
        <v>1353.24</v>
      </c>
      <c r="U90" s="102">
        <f t="shared" si="40"/>
        <v>1366.74</v>
      </c>
      <c r="V90" s="102">
        <f t="shared" si="40"/>
        <v>1329.44</v>
      </c>
      <c r="W90" s="102">
        <f t="shared" si="40"/>
        <v>1334.3400000000001</v>
      </c>
      <c r="X90" s="102">
        <f t="shared" si="40"/>
        <v>1374.44</v>
      </c>
      <c r="Y90" s="102">
        <f t="shared" si="40"/>
        <v>1454.44</v>
      </c>
      <c r="Z90" s="102">
        <f t="shared" si="40"/>
        <v>1594.74</v>
      </c>
      <c r="AA90" s="102">
        <f t="shared" si="40"/>
        <v>1544.34</v>
      </c>
      <c r="AB90" s="102">
        <f t="shared" si="40"/>
        <v>1495.84</v>
      </c>
      <c r="AC90" s="102">
        <f t="shared" si="40"/>
        <v>1484.14</v>
      </c>
      <c r="AD90" s="102">
        <f t="shared" si="40"/>
        <v>1367.1399999999999</v>
      </c>
      <c r="AE90" s="102">
        <f t="shared" si="40"/>
        <v>1294.54</v>
      </c>
      <c r="AF90" s="102">
        <f t="shared" si="40"/>
        <v>1148.44</v>
      </c>
      <c r="AG90" s="95"/>
      <c r="AH90" s="52">
        <f t="shared" si="24"/>
        <v>1594.74</v>
      </c>
      <c r="AI90" s="53">
        <f t="shared" si="25"/>
        <v>921.64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f>IF(Z74&lt;0,-Z74,0)</f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4"/>
        <v>0</v>
      </c>
      <c r="AI91" s="53">
        <f t="shared" si="25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f>IF(Z72&lt;0,-Z72,0)</f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4"/>
        <v>0</v>
      </c>
      <c r="AI92" s="53">
        <f t="shared" si="25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f>IF(Z75&lt;0,-Z75,0)</f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4"/>
        <v>0</v>
      </c>
      <c r="AI93" s="53">
        <f t="shared" si="25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f>IF(Z73&lt;0,-Z73,0)</f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4"/>
        <v>0</v>
      </c>
      <c r="AI94" s="53">
        <f t="shared" si="25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f>IF(Z77&lt;0,-Z77,0)</f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4"/>
        <v>0</v>
      </c>
      <c r="AI95" s="53">
        <f t="shared" si="25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4"/>
        <v>0</v>
      </c>
      <c r="AI96" s="53">
        <f t="shared" si="25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f>SUM(Z91:Z96)</f>
        <v>0</v>
      </c>
      <c r="AA97" s="67"/>
      <c r="AB97" s="67"/>
      <c r="AC97" s="67"/>
      <c r="AD97" s="67"/>
      <c r="AE97" s="67"/>
      <c r="AF97" s="67"/>
      <c r="AG97" s="95"/>
      <c r="AH97" s="52">
        <f t="shared" si="24"/>
        <v>0</v>
      </c>
      <c r="AI97" s="53">
        <f t="shared" si="25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44">B82-B97</f>
        <v>406</v>
      </c>
      <c r="C98" s="67">
        <f t="shared" si="44"/>
        <v>438</v>
      </c>
      <c r="D98" s="67">
        <f t="shared" si="44"/>
        <v>419</v>
      </c>
      <c r="E98" s="67">
        <f t="shared" ref="E98:G98" si="45">E82-E97</f>
        <v>425</v>
      </c>
      <c r="F98" s="67">
        <f t="shared" si="45"/>
        <v>430</v>
      </c>
      <c r="G98" s="67">
        <f t="shared" si="45"/>
        <v>419</v>
      </c>
      <c r="H98" s="67">
        <f t="shared" ref="H98:I98" si="46">H82-H97</f>
        <v>419</v>
      </c>
      <c r="I98" s="67">
        <f t="shared" si="46"/>
        <v>389</v>
      </c>
      <c r="J98" s="67">
        <f t="shared" ref="J98:L98" si="47">J82-J97</f>
        <v>391</v>
      </c>
      <c r="K98" s="67">
        <f t="shared" si="47"/>
        <v>419</v>
      </c>
      <c r="L98" s="67">
        <f t="shared" si="47"/>
        <v>439</v>
      </c>
      <c r="M98" s="67">
        <f t="shared" si="44"/>
        <v>422.5</v>
      </c>
      <c r="N98" s="67">
        <f t="shared" si="44"/>
        <v>430</v>
      </c>
      <c r="O98" s="67">
        <f t="shared" si="44"/>
        <v>456.40000000000003</v>
      </c>
      <c r="P98" s="67">
        <f t="shared" si="44"/>
        <v>457.40000000000003</v>
      </c>
      <c r="Q98" s="67">
        <f t="shared" si="44"/>
        <v>478.90000000000003</v>
      </c>
      <c r="R98" s="67">
        <f t="shared" si="44"/>
        <v>460.29999999999995</v>
      </c>
      <c r="S98" s="67">
        <f t="shared" si="44"/>
        <v>453.00000000000006</v>
      </c>
      <c r="T98" s="67">
        <f t="shared" si="44"/>
        <v>469.8</v>
      </c>
      <c r="U98" s="67">
        <f t="shared" si="44"/>
        <v>430.3</v>
      </c>
      <c r="V98" s="67">
        <f t="shared" si="44"/>
        <v>423.20000000000005</v>
      </c>
      <c r="W98" s="67">
        <f t="shared" si="44"/>
        <v>427.9</v>
      </c>
      <c r="X98" s="67">
        <f t="shared" si="44"/>
        <v>404.90000000000003</v>
      </c>
      <c r="Y98" s="67">
        <f t="shared" si="44"/>
        <v>388</v>
      </c>
      <c r="Z98" s="67">
        <f t="shared" si="44"/>
        <v>424.3</v>
      </c>
      <c r="AA98" s="67">
        <f t="shared" si="44"/>
        <v>409.29999999999995</v>
      </c>
      <c r="AB98" s="67">
        <f t="shared" si="44"/>
        <v>435.8</v>
      </c>
      <c r="AC98" s="67">
        <f t="shared" si="44"/>
        <v>408</v>
      </c>
      <c r="AD98" s="67">
        <f t="shared" si="44"/>
        <v>414</v>
      </c>
      <c r="AE98" s="67">
        <f t="shared" si="44"/>
        <v>433.6</v>
      </c>
      <c r="AF98" s="67">
        <f t="shared" si="44"/>
        <v>414.5</v>
      </c>
      <c r="AG98" s="95"/>
      <c r="AH98" s="52">
        <f t="shared" si="24"/>
        <v>478.90000000000003</v>
      </c>
      <c r="AI98" s="53">
        <f t="shared" si="25"/>
        <v>388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49.99</v>
      </c>
      <c r="C99" s="108">
        <v>50.02</v>
      </c>
      <c r="D99" s="108">
        <v>49.96</v>
      </c>
      <c r="E99" s="108">
        <v>49.96</v>
      </c>
      <c r="F99" s="108">
        <v>50.07</v>
      </c>
      <c r="G99" s="108">
        <v>49.96</v>
      </c>
      <c r="H99" s="108">
        <v>49.96</v>
      </c>
      <c r="I99" s="108">
        <v>49.96</v>
      </c>
      <c r="J99" s="108">
        <v>49.96</v>
      </c>
      <c r="K99" s="108">
        <v>49.96</v>
      </c>
      <c r="L99" s="108">
        <v>49.98</v>
      </c>
      <c r="M99" s="108">
        <v>49.914999999999999</v>
      </c>
      <c r="N99" s="108">
        <v>49.979700000000001</v>
      </c>
      <c r="O99" s="108">
        <v>50.158999999999999</v>
      </c>
      <c r="P99" s="108">
        <v>49.997999999999998</v>
      </c>
      <c r="Q99" s="108">
        <v>49.976999999999997</v>
      </c>
      <c r="R99" s="108">
        <v>49.859000000000002</v>
      </c>
      <c r="S99" s="108">
        <v>49.933999999999997</v>
      </c>
      <c r="T99" s="108">
        <v>49.923000000000002</v>
      </c>
      <c r="U99" s="108">
        <v>49.863999999999997</v>
      </c>
      <c r="V99" s="108">
        <v>49.908999999999999</v>
      </c>
      <c r="W99" s="108">
        <v>50.072000000000003</v>
      </c>
      <c r="X99" s="108">
        <v>50.006</v>
      </c>
      <c r="Y99" s="108">
        <v>49.970999999999997</v>
      </c>
      <c r="Z99" s="108">
        <v>50.076000000000001</v>
      </c>
      <c r="AA99" s="108">
        <v>50</v>
      </c>
      <c r="AB99" s="108">
        <v>50.079000000000001</v>
      </c>
      <c r="AC99" s="108">
        <v>50.045999999999999</v>
      </c>
      <c r="AD99" s="108">
        <v>50.05</v>
      </c>
      <c r="AE99" s="108">
        <v>50.000999999999998</v>
      </c>
      <c r="AF99" s="108">
        <v>50.000999999999998</v>
      </c>
      <c r="AG99" s="109"/>
      <c r="AH99" s="52">
        <f t="shared" si="24"/>
        <v>50.158999999999999</v>
      </c>
      <c r="AI99" s="53">
        <f t="shared" si="25"/>
        <v>49.859000000000002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128</v>
      </c>
      <c r="C100" s="72">
        <v>128</v>
      </c>
      <c r="D100" s="72">
        <v>129</v>
      </c>
      <c r="E100" s="72">
        <v>129</v>
      </c>
      <c r="F100" s="72">
        <v>128.80000000000001</v>
      </c>
      <c r="G100" s="72">
        <v>129</v>
      </c>
      <c r="H100" s="72">
        <v>129</v>
      </c>
      <c r="I100" s="72">
        <v>129</v>
      </c>
      <c r="J100" s="72">
        <v>129</v>
      </c>
      <c r="K100" s="72">
        <v>127.4</v>
      </c>
      <c r="L100" s="72">
        <v>127.5</v>
      </c>
      <c r="M100" s="72">
        <v>125.8</v>
      </c>
      <c r="N100" s="72">
        <v>126</v>
      </c>
      <c r="O100" s="72">
        <v>125</v>
      </c>
      <c r="P100" s="72">
        <v>124.7</v>
      </c>
      <c r="Q100" s="72">
        <v>125</v>
      </c>
      <c r="R100" s="72">
        <v>125</v>
      </c>
      <c r="S100" s="72">
        <v>127</v>
      </c>
      <c r="T100" s="72">
        <v>126.1</v>
      </c>
      <c r="U100" s="72">
        <v>126.5</v>
      </c>
      <c r="V100" s="72">
        <v>126.5</v>
      </c>
      <c r="W100" s="72">
        <v>128.80000000000001</v>
      </c>
      <c r="X100" s="72">
        <v>129.5</v>
      </c>
      <c r="Y100" s="72">
        <v>129.19999999999999</v>
      </c>
      <c r="Z100" s="72">
        <v>128.69999999999999</v>
      </c>
      <c r="AA100" s="72">
        <v>128.69999999999999</v>
      </c>
      <c r="AB100" s="72">
        <v>129.80000000000001</v>
      </c>
      <c r="AC100" s="72">
        <v>129.80000000000001</v>
      </c>
      <c r="AD100" s="72">
        <v>129</v>
      </c>
      <c r="AE100" s="72">
        <v>128.4</v>
      </c>
      <c r="AF100" s="72">
        <v>128.4</v>
      </c>
      <c r="AG100" s="111"/>
      <c r="AH100" s="52">
        <f t="shared" si="24"/>
        <v>129.80000000000001</v>
      </c>
      <c r="AI100" s="53">
        <f t="shared" si="25"/>
        <v>124.7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</v>
      </c>
      <c r="C101" s="72">
        <v>132</v>
      </c>
      <c r="D101" s="72">
        <v>133</v>
      </c>
      <c r="E101" s="72">
        <v>133</v>
      </c>
      <c r="F101" s="72">
        <v>132.69999999999999</v>
      </c>
      <c r="G101" s="72">
        <v>133</v>
      </c>
      <c r="H101" s="72">
        <v>133</v>
      </c>
      <c r="I101" s="72">
        <v>133</v>
      </c>
      <c r="J101" s="72">
        <v>133</v>
      </c>
      <c r="K101" s="72">
        <v>130.5</v>
      </c>
      <c r="L101" s="72">
        <v>129.4</v>
      </c>
      <c r="M101" s="72">
        <v>128</v>
      </c>
      <c r="N101" s="72">
        <v>129</v>
      </c>
      <c r="O101" s="72">
        <v>129</v>
      </c>
      <c r="P101" s="72">
        <v>128</v>
      </c>
      <c r="Q101" s="72">
        <v>128.80000000000001</v>
      </c>
      <c r="R101" s="72">
        <v>128.80000000000001</v>
      </c>
      <c r="S101" s="72">
        <v>129.69999999999999</v>
      </c>
      <c r="T101" s="72">
        <v>129</v>
      </c>
      <c r="U101" s="72">
        <v>129.4</v>
      </c>
      <c r="V101" s="72">
        <v>129.4</v>
      </c>
      <c r="W101" s="72">
        <v>131.19999999999999</v>
      </c>
      <c r="X101" s="72">
        <v>131.6</v>
      </c>
      <c r="Y101" s="72">
        <v>130.69999999999999</v>
      </c>
      <c r="Z101" s="72">
        <v>130.69999999999999</v>
      </c>
      <c r="AA101" s="72">
        <v>131</v>
      </c>
      <c r="AB101" s="72">
        <v>132</v>
      </c>
      <c r="AC101" s="72">
        <v>132</v>
      </c>
      <c r="AD101" s="72">
        <v>131.9</v>
      </c>
      <c r="AE101" s="72">
        <v>131.5</v>
      </c>
      <c r="AF101" s="72">
        <v>131.5</v>
      </c>
      <c r="AG101" s="111"/>
      <c r="AH101" s="52">
        <f t="shared" si="24"/>
        <v>133</v>
      </c>
      <c r="AI101" s="53">
        <f t="shared" si="25"/>
        <v>128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131</v>
      </c>
      <c r="C102" s="72">
        <v>131</v>
      </c>
      <c r="D102" s="72">
        <v>130</v>
      </c>
      <c r="E102" s="72">
        <v>130</v>
      </c>
      <c r="F102" s="72">
        <v>132.1</v>
      </c>
      <c r="G102" s="72">
        <v>130</v>
      </c>
      <c r="H102" s="72">
        <v>130</v>
      </c>
      <c r="I102" s="72">
        <v>130</v>
      </c>
      <c r="J102" s="72">
        <v>130</v>
      </c>
      <c r="K102" s="72">
        <v>129.6</v>
      </c>
      <c r="L102" s="72">
        <v>128.80000000000001</v>
      </c>
      <c r="M102" s="72">
        <v>128.69999999999999</v>
      </c>
      <c r="N102" s="72">
        <v>129</v>
      </c>
      <c r="O102" s="72">
        <v>129</v>
      </c>
      <c r="P102" s="72">
        <v>127.5</v>
      </c>
      <c r="Q102" s="72">
        <v>129.4</v>
      </c>
      <c r="R102" s="72">
        <v>129.4</v>
      </c>
      <c r="S102" s="72">
        <v>126.9</v>
      </c>
      <c r="T102" s="72">
        <v>128.19999999999999</v>
      </c>
      <c r="U102" s="72">
        <v>130.1</v>
      </c>
      <c r="V102" s="72">
        <v>130.1</v>
      </c>
      <c r="W102" s="72">
        <v>131.69999999999999</v>
      </c>
      <c r="X102" s="72">
        <v>131.80000000000001</v>
      </c>
      <c r="Y102" s="72">
        <v>127.3</v>
      </c>
      <c r="Z102" s="72">
        <v>130</v>
      </c>
      <c r="AA102" s="72">
        <v>132.19999999999999</v>
      </c>
      <c r="AB102" s="72">
        <v>130.69999999999999</v>
      </c>
      <c r="AC102" s="72">
        <v>130.69999999999999</v>
      </c>
      <c r="AD102" s="72">
        <v>130.4</v>
      </c>
      <c r="AE102" s="72">
        <v>132.19999999999999</v>
      </c>
      <c r="AF102" s="72">
        <v>132.19999999999999</v>
      </c>
      <c r="AG102" s="111"/>
      <c r="AH102" s="52">
        <f t="shared" si="24"/>
        <v>132.19999999999999</v>
      </c>
      <c r="AI102" s="53">
        <f t="shared" si="25"/>
        <v>126.9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4"/>
        <v>0</v>
      </c>
      <c r="AI103" s="53">
        <f t="shared" si="25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132.69999999999999</v>
      </c>
      <c r="C104" s="113">
        <v>132.69999999999999</v>
      </c>
      <c r="D104" s="113">
        <v>134.6</v>
      </c>
      <c r="E104" s="113">
        <v>134.6</v>
      </c>
      <c r="F104" s="113">
        <v>135.6</v>
      </c>
      <c r="G104" s="113">
        <v>134.6</v>
      </c>
      <c r="H104" s="113">
        <v>134.6</v>
      </c>
      <c r="I104" s="113">
        <v>134.6</v>
      </c>
      <c r="J104" s="113">
        <v>134.6</v>
      </c>
      <c r="K104" s="113">
        <v>131.69999999999999</v>
      </c>
      <c r="L104" s="113">
        <v>133.30000000000001</v>
      </c>
      <c r="M104" s="113">
        <v>132.6</v>
      </c>
      <c r="N104" s="113">
        <v>135</v>
      </c>
      <c r="O104" s="113">
        <v>135</v>
      </c>
      <c r="P104" s="113">
        <v>132.6</v>
      </c>
      <c r="Q104" s="113">
        <v>134.80000000000001</v>
      </c>
      <c r="R104" s="113">
        <v>134.80000000000001</v>
      </c>
      <c r="S104" s="113">
        <v>132.5</v>
      </c>
      <c r="T104" s="113">
        <v>133.6</v>
      </c>
      <c r="U104" s="113">
        <v>132.9</v>
      </c>
      <c r="V104" s="113">
        <v>132.9</v>
      </c>
      <c r="W104" s="113">
        <v>135.19999999999999</v>
      </c>
      <c r="X104" s="113">
        <v>137.19999999999999</v>
      </c>
      <c r="Y104" s="113">
        <v>136.30000000000001</v>
      </c>
      <c r="Z104" s="113">
        <v>135.19999999999999</v>
      </c>
      <c r="AA104" s="113">
        <v>132.4</v>
      </c>
      <c r="AB104" s="113">
        <v>134</v>
      </c>
      <c r="AC104" s="113">
        <v>134</v>
      </c>
      <c r="AD104" s="113">
        <v>132.9</v>
      </c>
      <c r="AE104" s="113">
        <v>131.1</v>
      </c>
      <c r="AF104" s="113">
        <v>131.1</v>
      </c>
      <c r="AG104" s="114"/>
      <c r="AH104" s="52">
        <f t="shared" si="24"/>
        <v>137.19999999999999</v>
      </c>
      <c r="AI104" s="53">
        <f t="shared" si="25"/>
        <v>131.1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136</v>
      </c>
      <c r="C105" s="72">
        <v>136</v>
      </c>
      <c r="D105" s="72">
        <v>125</v>
      </c>
      <c r="E105" s="72">
        <v>125</v>
      </c>
      <c r="F105" s="72">
        <v>128.80000000000001</v>
      </c>
      <c r="G105" s="72">
        <v>125</v>
      </c>
      <c r="H105" s="72">
        <v>125</v>
      </c>
      <c r="I105" s="72">
        <v>125</v>
      </c>
      <c r="J105" s="72">
        <v>125</v>
      </c>
      <c r="K105" s="72">
        <v>126.5</v>
      </c>
      <c r="L105" s="72">
        <v>132.9</v>
      </c>
      <c r="M105" s="72">
        <v>130</v>
      </c>
      <c r="N105" s="72">
        <v>129</v>
      </c>
      <c r="O105" s="72">
        <v>129</v>
      </c>
      <c r="P105" s="72">
        <v>131.69999999999999</v>
      </c>
      <c r="Q105" s="72"/>
      <c r="R105" s="72"/>
      <c r="S105" s="72">
        <v>127</v>
      </c>
      <c r="T105" s="72">
        <v>129.5</v>
      </c>
      <c r="U105" s="72">
        <v>126</v>
      </c>
      <c r="V105" s="72">
        <v>126</v>
      </c>
      <c r="W105" s="72">
        <v>130.1</v>
      </c>
      <c r="X105" s="72">
        <v>133</v>
      </c>
      <c r="Y105" s="72">
        <v>131.30000000000001</v>
      </c>
      <c r="Z105" s="72">
        <v>128.6</v>
      </c>
      <c r="AA105" s="72">
        <v>133.69999999999999</v>
      </c>
      <c r="AB105" s="72">
        <v>132.9</v>
      </c>
      <c r="AC105" s="72">
        <v>132.9</v>
      </c>
      <c r="AD105" s="72">
        <v>134.30000000000001</v>
      </c>
      <c r="AE105" s="72">
        <v>134.4</v>
      </c>
      <c r="AF105" s="72">
        <v>134.4</v>
      </c>
      <c r="AG105" s="111"/>
      <c r="AH105" s="52">
        <f t="shared" si="24"/>
        <v>136</v>
      </c>
      <c r="AI105" s="53">
        <f t="shared" si="25"/>
        <v>125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66.099999999999994</v>
      </c>
      <c r="C106" s="99">
        <v>66.099999999999994</v>
      </c>
      <c r="D106" s="99">
        <v>66.7</v>
      </c>
      <c r="E106" s="99">
        <v>66.7</v>
      </c>
      <c r="F106" s="99">
        <v>66.7</v>
      </c>
      <c r="G106" s="99">
        <v>66.7</v>
      </c>
      <c r="H106" s="99">
        <v>66.7</v>
      </c>
      <c r="I106" s="99">
        <v>66.7</v>
      </c>
      <c r="J106" s="99">
        <v>66.7</v>
      </c>
      <c r="K106" s="99">
        <v>65.400000000000006</v>
      </c>
      <c r="L106" s="99">
        <v>64.8</v>
      </c>
      <c r="M106" s="99">
        <v>64</v>
      </c>
      <c r="N106" s="99">
        <v>64.5</v>
      </c>
      <c r="O106" s="99">
        <v>64.5</v>
      </c>
      <c r="P106" s="99">
        <v>64.3</v>
      </c>
      <c r="Q106" s="99">
        <v>64.5</v>
      </c>
      <c r="R106" s="99">
        <v>64.5</v>
      </c>
      <c r="S106" s="99">
        <v>65</v>
      </c>
      <c r="T106" s="99">
        <v>64.599999999999994</v>
      </c>
      <c r="U106" s="99">
        <v>64.8</v>
      </c>
      <c r="V106" s="99">
        <v>64.8</v>
      </c>
      <c r="W106" s="99">
        <v>65.5</v>
      </c>
      <c r="X106" s="99">
        <v>65.8</v>
      </c>
      <c r="Y106" s="99">
        <v>65.3</v>
      </c>
      <c r="Z106" s="99">
        <v>65.3</v>
      </c>
      <c r="AA106" s="99">
        <v>65.5</v>
      </c>
      <c r="AB106" s="99">
        <v>65.900000000000006</v>
      </c>
      <c r="AC106" s="99">
        <v>65.900000000000006</v>
      </c>
      <c r="AD106" s="99">
        <v>66.3</v>
      </c>
      <c r="AE106" s="99">
        <v>66.099999999999994</v>
      </c>
      <c r="AF106" s="99">
        <v>66.099999999999994</v>
      </c>
      <c r="AG106" s="115"/>
      <c r="AH106" s="52">
        <f t="shared" si="24"/>
        <v>66.7</v>
      </c>
      <c r="AI106" s="53">
        <f t="shared" si="25"/>
        <v>64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 t="str">
        <f>IF(Z90=MAX($B$91:$G$91),"PN","")</f>
        <v/>
      </c>
      <c r="AA107" s="99"/>
      <c r="AB107" s="99"/>
      <c r="AC107" s="99"/>
      <c r="AD107" s="99"/>
      <c r="AE107" s="99"/>
      <c r="AF107" s="99"/>
      <c r="AG107" s="115"/>
      <c r="AH107" s="52">
        <f t="shared" si="24"/>
        <v>0</v>
      </c>
      <c r="AI107" s="53">
        <f t="shared" si="25"/>
        <v>0</v>
      </c>
    </row>
    <row r="108" spans="1:88" ht="15.75" thickBot="1" x14ac:dyDescent="0.3">
      <c r="A108" s="117" t="s">
        <v>112</v>
      </c>
      <c r="B108" s="118">
        <f t="shared" ref="B108:AF108" si="48">SUM(B18,B24,B27:B28,B56,B58:B59,B61,B63,B109:B113,B135,B141,B147,B156,B158,B170,B177,B180:B181,B188,B190,B192,B196:B198,B200:B202,B207,B213:B214,B216:B218,B226,B231)</f>
        <v>113.6</v>
      </c>
      <c r="C108" s="118">
        <f t="shared" si="48"/>
        <v>109.24</v>
      </c>
      <c r="D108" s="118">
        <f t="shared" si="48"/>
        <v>103.24</v>
      </c>
      <c r="E108" s="118">
        <f t="shared" ref="E108:G108" si="49">SUM(E18,E24,E27:E28,E56,E58:E59,E61,E63,E109:E113,E135,E141,E147,E156,E158,E170,E177,E180:E181,E188,E190,E192,E196:E198,E200:E202,E207,E213:E214,E216:E218,E226,E231)</f>
        <v>97.24</v>
      </c>
      <c r="F108" s="118">
        <f t="shared" si="49"/>
        <v>95.139999999999986</v>
      </c>
      <c r="G108" s="118">
        <f t="shared" si="49"/>
        <v>113.64</v>
      </c>
      <c r="H108" s="118">
        <f t="shared" ref="H108:I108" si="50">SUM(H18,H24,H27:H28,H56,H58:H59,H61,H63,H109:H113,H135,H141,H147,H156,H158,H170,H177,H180:H181,H188,H190,H192,H196:H198,H200:H202,H207,H213:H214,H216:H218,H226,H231)</f>
        <v>155.54</v>
      </c>
      <c r="I108" s="118">
        <f t="shared" si="50"/>
        <v>180.24</v>
      </c>
      <c r="J108" s="118">
        <f t="shared" ref="J108:L108" si="51">SUM(J18,J24,J27:J28,J56,J58:J59,J61,J63,J109:J113,J135,J141,J147,J156,J158,J170,J177,J180:J181,J188,J190,J192,J196:J198,J200:J202,J207,J213:J214,J216:J218,J226,J231)</f>
        <v>183.23999999999998</v>
      </c>
      <c r="K108" s="118">
        <f t="shared" si="51"/>
        <v>208.64</v>
      </c>
      <c r="L108" s="118">
        <f t="shared" si="51"/>
        <v>274.74</v>
      </c>
      <c r="M108" s="118">
        <f t="shared" si="48"/>
        <v>282.33999999999997</v>
      </c>
      <c r="N108" s="118">
        <f t="shared" si="48"/>
        <v>289.54000000000002</v>
      </c>
      <c r="O108" s="118">
        <f t="shared" si="48"/>
        <v>272.04000000000002</v>
      </c>
      <c r="P108" s="118">
        <v>42</v>
      </c>
      <c r="Q108" s="118">
        <f t="shared" si="48"/>
        <v>263.39999999999998</v>
      </c>
      <c r="R108" s="118">
        <f t="shared" si="48"/>
        <v>256.39999999999998</v>
      </c>
      <c r="S108" s="118">
        <f t="shared" si="48"/>
        <v>264.39999999999998</v>
      </c>
      <c r="T108" s="118">
        <f t="shared" si="48"/>
        <v>271.8</v>
      </c>
      <c r="U108" s="118">
        <f t="shared" si="48"/>
        <v>276.60000000000002</v>
      </c>
      <c r="V108" s="118">
        <f t="shared" si="48"/>
        <v>276.60000000000002</v>
      </c>
      <c r="W108" s="118">
        <f t="shared" si="48"/>
        <v>259.10000000000002</v>
      </c>
      <c r="X108" s="118">
        <f t="shared" si="48"/>
        <v>273.2</v>
      </c>
      <c r="Y108" s="118">
        <f t="shared" si="48"/>
        <v>315.79999999999995</v>
      </c>
      <c r="Z108" s="118">
        <f>SUM(Z154,Z109:Z113,Z13,Z22,Z28,Z36,Z38,Z56,Z58:Z59,Z61,Z63)</f>
        <v>394.8</v>
      </c>
      <c r="AA108" s="118">
        <f>SUM(AA18,AA24,AA27:AA28,AA56,AA58:AA59,AA61,AA63,AA109:AA113,AA135,AA141,AA147,AA156,AA158,AA170,AA177,AA180:AA181,AA188,AA190,AA192,AA196:AA198,AA200:AA202,AA207,AA213:AA214,AA216:AA218,AA226,AA231)</f>
        <v>343</v>
      </c>
      <c r="AB108" s="118">
        <f t="shared" si="48"/>
        <v>204</v>
      </c>
      <c r="AC108" s="118">
        <f t="shared" si="48"/>
        <v>235.89999999999998</v>
      </c>
      <c r="AD108" s="118">
        <f t="shared" si="48"/>
        <v>249</v>
      </c>
      <c r="AE108" s="118">
        <f t="shared" si="48"/>
        <v>200.7</v>
      </c>
      <c r="AF108" s="118">
        <f t="shared" si="48"/>
        <v>139.89999999999998</v>
      </c>
      <c r="AG108" s="119"/>
      <c r="AH108" s="52">
        <f t="shared" si="24"/>
        <v>394.8</v>
      </c>
      <c r="AI108" s="53">
        <f t="shared" si="25"/>
        <v>42</v>
      </c>
    </row>
    <row r="109" spans="1:88" x14ac:dyDescent="0.25">
      <c r="A109" s="107" t="s">
        <v>113</v>
      </c>
      <c r="B109" s="120">
        <v>0</v>
      </c>
      <c r="C109" s="120">
        <v>-2</v>
      </c>
      <c r="D109" s="120">
        <v>-11</v>
      </c>
      <c r="E109" s="120">
        <v>-14</v>
      </c>
      <c r="F109" s="120">
        <v>-13.9</v>
      </c>
      <c r="G109" s="120">
        <v>-11</v>
      </c>
      <c r="H109" s="120">
        <v>-6</v>
      </c>
      <c r="I109" s="120">
        <v>-2.2999999999999998</v>
      </c>
      <c r="J109" s="120">
        <v>1.1000000000000001</v>
      </c>
      <c r="K109" s="120">
        <v>0</v>
      </c>
      <c r="L109" s="120">
        <v>16.7</v>
      </c>
      <c r="M109" s="120">
        <v>19</v>
      </c>
      <c r="N109" s="120">
        <v>18</v>
      </c>
      <c r="O109" s="120">
        <v>17.5</v>
      </c>
      <c r="P109" s="120">
        <v>17.3</v>
      </c>
      <c r="Q109" s="120">
        <v>20.8</v>
      </c>
      <c r="R109" s="120">
        <v>18.399999999999999</v>
      </c>
      <c r="S109" s="120">
        <v>18.3</v>
      </c>
      <c r="T109" s="120">
        <v>13.6</v>
      </c>
      <c r="U109" s="120">
        <v>9.1999999999999993</v>
      </c>
      <c r="V109" s="120">
        <v>9.1999999999999993</v>
      </c>
      <c r="W109" s="120">
        <v>10.6</v>
      </c>
      <c r="X109" s="120">
        <v>21.3</v>
      </c>
      <c r="Y109" s="120">
        <v>14.3</v>
      </c>
      <c r="Z109" s="120">
        <v>20.399999999999999</v>
      </c>
      <c r="AA109" s="120">
        <v>15.7</v>
      </c>
      <c r="AB109" s="120">
        <v>8.5</v>
      </c>
      <c r="AC109" s="120">
        <v>6.5</v>
      </c>
      <c r="AD109" s="120">
        <v>-2.2000000000000002</v>
      </c>
      <c r="AE109" s="120">
        <v>-12</v>
      </c>
      <c r="AF109" s="120">
        <v>-24.4</v>
      </c>
      <c r="AG109" s="121">
        <v>75</v>
      </c>
      <c r="AH109" s="52">
        <f t="shared" si="24"/>
        <v>21.3</v>
      </c>
      <c r="AI109" s="53">
        <f t="shared" si="25"/>
        <v>-24.4</v>
      </c>
    </row>
    <row r="110" spans="1:88" x14ac:dyDescent="0.25">
      <c r="A110" s="110" t="s">
        <v>114</v>
      </c>
      <c r="B110" s="186">
        <v>-4</v>
      </c>
      <c r="C110" s="186">
        <v>-4</v>
      </c>
      <c r="D110" s="186">
        <v>-12</v>
      </c>
      <c r="E110" s="186">
        <v>-16</v>
      </c>
      <c r="F110" s="186">
        <v>-15</v>
      </c>
      <c r="G110" s="186">
        <v>-12</v>
      </c>
      <c r="H110" s="186">
        <v>-8.6999999999999993</v>
      </c>
      <c r="I110" s="186">
        <v>2</v>
      </c>
      <c r="J110" s="186">
        <v>1.6</v>
      </c>
      <c r="K110" s="186">
        <v>2.4</v>
      </c>
      <c r="L110" s="186">
        <v>19.8</v>
      </c>
      <c r="M110" s="186">
        <v>22.5</v>
      </c>
      <c r="N110" s="186">
        <v>20</v>
      </c>
      <c r="O110" s="186">
        <v>19.600000000000001</v>
      </c>
      <c r="P110" s="186">
        <v>25.7</v>
      </c>
      <c r="Q110" s="186">
        <v>30</v>
      </c>
      <c r="R110" s="186">
        <v>26.4</v>
      </c>
      <c r="S110" s="186">
        <v>25.1</v>
      </c>
      <c r="T110" s="186">
        <v>19.8</v>
      </c>
      <c r="U110" s="186">
        <v>14.2</v>
      </c>
      <c r="V110" s="186">
        <v>14.2</v>
      </c>
      <c r="W110" s="186">
        <v>11</v>
      </c>
      <c r="X110" s="186">
        <v>26</v>
      </c>
      <c r="Y110" s="186">
        <v>15</v>
      </c>
      <c r="Z110" s="186">
        <v>23.1</v>
      </c>
      <c r="AA110" s="186">
        <v>16.600000000000001</v>
      </c>
      <c r="AB110" s="186">
        <v>7.3</v>
      </c>
      <c r="AC110" s="186">
        <v>7.1</v>
      </c>
      <c r="AD110" s="186">
        <v>-6.3</v>
      </c>
      <c r="AE110" s="186">
        <v>-14</v>
      </c>
      <c r="AF110" s="186">
        <v>-28.9</v>
      </c>
      <c r="AG110" s="121">
        <v>240</v>
      </c>
      <c r="AH110" s="52">
        <f t="shared" si="24"/>
        <v>30</v>
      </c>
      <c r="AI110" s="53">
        <f t="shared" si="25"/>
        <v>-28.9</v>
      </c>
    </row>
    <row r="111" spans="1:88" x14ac:dyDescent="0.25">
      <c r="A111" s="110" t="s">
        <v>115</v>
      </c>
      <c r="B111" s="186">
        <v>-53</v>
      </c>
      <c r="C111" s="186">
        <v>-55</v>
      </c>
      <c r="D111" s="186">
        <v>-48</v>
      </c>
      <c r="E111" s="186">
        <v>-48</v>
      </c>
      <c r="F111" s="186">
        <f>-38.2-24.4</f>
        <v>-62.6</v>
      </c>
      <c r="G111" s="186">
        <v>-48</v>
      </c>
      <c r="H111" s="186">
        <f>-37-6</f>
        <v>-43</v>
      </c>
      <c r="I111" s="186">
        <f>-38-7.7</f>
        <v>-45.7</v>
      </c>
      <c r="J111" s="186">
        <f t="shared" ref="J111" si="52">-38-7.7</f>
        <v>-45.7</v>
      </c>
      <c r="K111" s="186">
        <v>-20</v>
      </c>
      <c r="L111" s="186">
        <f>-4.4+13.5</f>
        <v>9.1</v>
      </c>
      <c r="M111" s="186">
        <v>21.2</v>
      </c>
      <c r="N111" s="186">
        <v>19</v>
      </c>
      <c r="O111" s="186">
        <v>1.9</v>
      </c>
      <c r="P111" s="186">
        <v>-11</v>
      </c>
      <c r="Q111" s="186">
        <v>-17.5</v>
      </c>
      <c r="R111" s="186">
        <v>-22.6</v>
      </c>
      <c r="S111" s="186">
        <v>-6.6</v>
      </c>
      <c r="T111" s="186">
        <v>-7</v>
      </c>
      <c r="U111" s="186">
        <v>4.2</v>
      </c>
      <c r="V111" s="186">
        <v>4.2</v>
      </c>
      <c r="W111" s="186">
        <v>7.6</v>
      </c>
      <c r="X111" s="186">
        <v>16.100000000000001</v>
      </c>
      <c r="Y111" s="186">
        <v>41</v>
      </c>
      <c r="Z111" s="186">
        <v>55</v>
      </c>
      <c r="AA111" s="186">
        <v>58.9</v>
      </c>
      <c r="AB111" s="186">
        <v>-34</v>
      </c>
      <c r="AC111" s="186">
        <v>-3</v>
      </c>
      <c r="AD111" s="186">
        <f>27.1+23.4</f>
        <v>50.5</v>
      </c>
      <c r="AE111" s="186">
        <v>10.199999999999999</v>
      </c>
      <c r="AF111" s="186">
        <f>-6.2-17.4</f>
        <v>-23.599999999999998</v>
      </c>
      <c r="AG111" s="121">
        <v>240</v>
      </c>
      <c r="AH111" s="52">
        <f t="shared" si="24"/>
        <v>58.9</v>
      </c>
      <c r="AI111" s="53">
        <f t="shared" si="25"/>
        <v>-62.6</v>
      </c>
    </row>
    <row r="112" spans="1:88" x14ac:dyDescent="0.25">
      <c r="A112" s="110" t="s">
        <v>116</v>
      </c>
      <c r="B112" s="186">
        <v>12</v>
      </c>
      <c r="C112" s="186">
        <v>12</v>
      </c>
      <c r="D112" s="186">
        <v>14</v>
      </c>
      <c r="E112" s="186">
        <v>14</v>
      </c>
      <c r="F112" s="186">
        <v>16</v>
      </c>
      <c r="G112" s="186">
        <v>14</v>
      </c>
      <c r="H112" s="186">
        <v>32</v>
      </c>
      <c r="I112" s="186">
        <v>41</v>
      </c>
      <c r="J112" s="186">
        <v>41</v>
      </c>
      <c r="K112" s="186">
        <v>41</v>
      </c>
      <c r="L112" s="186">
        <v>32.700000000000003</v>
      </c>
      <c r="M112" s="186">
        <v>24.3</v>
      </c>
      <c r="N112" s="186">
        <v>20</v>
      </c>
      <c r="O112" s="186">
        <v>21.2</v>
      </c>
      <c r="P112" s="186">
        <v>33.200000000000003</v>
      </c>
      <c r="Q112" s="186">
        <v>37.4</v>
      </c>
      <c r="R112" s="186">
        <v>40.299999999999997</v>
      </c>
      <c r="S112" s="186">
        <v>31.8</v>
      </c>
      <c r="T112" s="186">
        <v>41.5</v>
      </c>
      <c r="U112" s="186">
        <v>41.9</v>
      </c>
      <c r="V112" s="186">
        <v>41.9</v>
      </c>
      <c r="W112" s="186">
        <v>39.6</v>
      </c>
      <c r="X112" s="186">
        <v>32.5</v>
      </c>
      <c r="Y112" s="186">
        <v>51.6</v>
      </c>
      <c r="Z112" s="186">
        <v>54.5</v>
      </c>
      <c r="AA112" s="186">
        <v>55.6</v>
      </c>
      <c r="AB112" s="186">
        <v>53.2</v>
      </c>
      <c r="AC112" s="186">
        <v>47.3</v>
      </c>
      <c r="AD112" s="186">
        <v>42.2</v>
      </c>
      <c r="AE112" s="186">
        <v>31</v>
      </c>
      <c r="AF112" s="186">
        <v>26.5</v>
      </c>
      <c r="AG112" s="121">
        <v>60</v>
      </c>
      <c r="AH112" s="52">
        <f t="shared" si="24"/>
        <v>55.6</v>
      </c>
      <c r="AI112" s="53">
        <f t="shared" si="25"/>
        <v>12</v>
      </c>
    </row>
    <row r="113" spans="1:37" x14ac:dyDescent="0.25">
      <c r="A113" s="123" t="s">
        <v>117</v>
      </c>
      <c r="B113" s="124">
        <v>62.3</v>
      </c>
      <c r="C113" s="124">
        <v>61</v>
      </c>
      <c r="D113" s="124">
        <v>63</v>
      </c>
      <c r="E113" s="124">
        <v>64</v>
      </c>
      <c r="F113" s="124">
        <v>73.400000000000006</v>
      </c>
      <c r="G113" s="124">
        <v>73.400000000000006</v>
      </c>
      <c r="H113" s="124">
        <v>84</v>
      </c>
      <c r="I113" s="124">
        <v>88</v>
      </c>
      <c r="J113" s="124">
        <v>88</v>
      </c>
      <c r="K113" s="124">
        <v>88</v>
      </c>
      <c r="L113" s="124">
        <v>99.2</v>
      </c>
      <c r="M113" s="124">
        <v>98.5</v>
      </c>
      <c r="N113" s="124">
        <v>102</v>
      </c>
      <c r="O113" s="124">
        <v>101.2</v>
      </c>
      <c r="P113" s="124">
        <v>95.4</v>
      </c>
      <c r="Q113" s="124">
        <v>86.3</v>
      </c>
      <c r="R113" s="124">
        <v>87.5</v>
      </c>
      <c r="S113" s="124">
        <v>89.4</v>
      </c>
      <c r="T113" s="124">
        <v>98.2</v>
      </c>
      <c r="U113" s="124">
        <v>101.4</v>
      </c>
      <c r="V113" s="124">
        <v>101.4</v>
      </c>
      <c r="W113" s="124">
        <v>98.9</v>
      </c>
      <c r="X113" s="124">
        <v>87.9</v>
      </c>
      <c r="Y113" s="124">
        <v>104.5</v>
      </c>
      <c r="Z113" s="124">
        <v>117</v>
      </c>
      <c r="AA113" s="124">
        <v>103</v>
      </c>
      <c r="AB113" s="124">
        <v>75.8</v>
      </c>
      <c r="AC113" s="124">
        <v>84.8</v>
      </c>
      <c r="AD113" s="124">
        <v>71.2</v>
      </c>
      <c r="AE113" s="124">
        <v>91</v>
      </c>
      <c r="AF113" s="124">
        <v>92.7</v>
      </c>
      <c r="AG113" s="125">
        <v>120</v>
      </c>
      <c r="AH113" s="52">
        <f t="shared" si="24"/>
        <v>117</v>
      </c>
      <c r="AI113" s="53">
        <f t="shared" si="25"/>
        <v>61</v>
      </c>
    </row>
    <row r="114" spans="1:37" x14ac:dyDescent="0.25">
      <c r="A114" s="123" t="s">
        <v>118</v>
      </c>
      <c r="B114" s="124">
        <v>75</v>
      </c>
      <c r="C114" s="124">
        <v>78</v>
      </c>
      <c r="D114" s="124">
        <v>79</v>
      </c>
      <c r="E114" s="124">
        <v>79</v>
      </c>
      <c r="F114" s="124">
        <v>87</v>
      </c>
      <c r="G114" s="124">
        <v>79</v>
      </c>
      <c r="H114" s="124">
        <v>81.7</v>
      </c>
      <c r="I114" s="124">
        <v>76.599999999999994</v>
      </c>
      <c r="J114" s="124">
        <v>76.599999999999994</v>
      </c>
      <c r="K114" s="124">
        <v>76.599999999999994</v>
      </c>
      <c r="L114" s="124">
        <v>79.400000000000006</v>
      </c>
      <c r="M114" s="124">
        <v>80.8</v>
      </c>
      <c r="N114" s="124">
        <v>88</v>
      </c>
      <c r="O114" s="124">
        <v>93.2</v>
      </c>
      <c r="P114" s="124">
        <v>93.6</v>
      </c>
      <c r="Q114" s="124">
        <v>91.7</v>
      </c>
      <c r="R114" s="124">
        <v>91</v>
      </c>
      <c r="S114" s="124">
        <v>91.1</v>
      </c>
      <c r="T114" s="124">
        <v>99</v>
      </c>
      <c r="U114" s="124">
        <v>93.9</v>
      </c>
      <c r="V114" s="124">
        <v>93.9</v>
      </c>
      <c r="W114" s="124">
        <v>92.1</v>
      </c>
      <c r="X114" s="124">
        <v>76</v>
      </c>
      <c r="Y114" s="124">
        <v>76</v>
      </c>
      <c r="Z114" s="124">
        <v>78.099999999999994</v>
      </c>
      <c r="AA114" s="124">
        <v>91.3</v>
      </c>
      <c r="AB114" s="124">
        <v>81.3</v>
      </c>
      <c r="AC114" s="124">
        <v>79.2</v>
      </c>
      <c r="AD114" s="124">
        <v>98.4</v>
      </c>
      <c r="AE114" s="124">
        <v>97.4</v>
      </c>
      <c r="AF114" s="124">
        <v>98.8</v>
      </c>
      <c r="AG114" s="125"/>
      <c r="AH114" s="52">
        <f t="shared" si="24"/>
        <v>99</v>
      </c>
      <c r="AI114" s="53">
        <f t="shared" si="25"/>
        <v>75</v>
      </c>
    </row>
    <row r="115" spans="1:37" x14ac:dyDescent="0.25">
      <c r="A115" s="123" t="s">
        <v>119</v>
      </c>
      <c r="B115" s="124">
        <v>70</v>
      </c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>
        <v>31.8</v>
      </c>
      <c r="V115" s="124">
        <v>31.8</v>
      </c>
      <c r="W115" s="124">
        <v>31.3</v>
      </c>
      <c r="X115" s="124">
        <v>22.3</v>
      </c>
      <c r="Y115" s="124"/>
      <c r="Z115" s="124"/>
      <c r="AA115" s="124">
        <v>41.2</v>
      </c>
      <c r="AB115" s="124">
        <v>37.799999999999997</v>
      </c>
      <c r="AC115" s="124"/>
      <c r="AD115" s="124">
        <v>45.4</v>
      </c>
      <c r="AE115" s="124"/>
      <c r="AF115" s="124"/>
      <c r="AG115" s="126"/>
      <c r="AH115" s="52">
        <f t="shared" si="24"/>
        <v>70</v>
      </c>
      <c r="AI115" s="53">
        <f t="shared" si="25"/>
        <v>22.3</v>
      </c>
    </row>
    <row r="116" spans="1:37" x14ac:dyDescent="0.25">
      <c r="A116" s="127" t="s">
        <v>120</v>
      </c>
      <c r="B116" s="113">
        <v>24</v>
      </c>
      <c r="C116" s="113">
        <v>26</v>
      </c>
      <c r="D116" s="113">
        <v>27</v>
      </c>
      <c r="E116" s="113">
        <v>55</v>
      </c>
      <c r="F116" s="113">
        <v>-53.7</v>
      </c>
      <c r="G116" s="113">
        <f>-7</f>
        <v>-7</v>
      </c>
      <c r="H116" s="113">
        <v>-23.4</v>
      </c>
      <c r="I116" s="113">
        <v>-21</v>
      </c>
      <c r="J116" s="113">
        <v>-21</v>
      </c>
      <c r="K116" s="113">
        <v>-21</v>
      </c>
      <c r="L116" s="113">
        <v>0</v>
      </c>
      <c r="M116" s="113">
        <v>-9.5</v>
      </c>
      <c r="N116" s="113">
        <v>-7</v>
      </c>
      <c r="O116" s="113">
        <v>-1.7</v>
      </c>
      <c r="P116" s="113">
        <v>-2.6</v>
      </c>
      <c r="Q116" s="113">
        <v>-1.2</v>
      </c>
      <c r="R116" s="113">
        <v>3.7</v>
      </c>
      <c r="S116" s="113">
        <v>-10</v>
      </c>
      <c r="T116" s="113">
        <v>1</v>
      </c>
      <c r="U116" s="113">
        <v>-8.3000000000000007</v>
      </c>
      <c r="V116" s="113">
        <v>-8.3000000000000007</v>
      </c>
      <c r="W116" s="113">
        <v>-10.1</v>
      </c>
      <c r="X116" s="113">
        <v>-14.6</v>
      </c>
      <c r="Y116" s="113">
        <v>-41.4</v>
      </c>
      <c r="Z116" s="113">
        <v>-42.9</v>
      </c>
      <c r="AA116" s="113">
        <v>-26.5</v>
      </c>
      <c r="AB116" s="113">
        <v>-7</v>
      </c>
      <c r="AC116" s="113">
        <v>-5.6</v>
      </c>
      <c r="AD116" s="113">
        <v>-2.8</v>
      </c>
      <c r="AE116" s="113">
        <v>5</v>
      </c>
      <c r="AF116" s="113">
        <v>9</v>
      </c>
      <c r="AG116" s="126"/>
      <c r="AH116" s="52">
        <f t="shared" si="24"/>
        <v>55</v>
      </c>
      <c r="AI116" s="53">
        <f t="shared" si="25"/>
        <v>-53.7</v>
      </c>
    </row>
    <row r="117" spans="1:37" ht="15.75" thickBot="1" x14ac:dyDescent="0.3">
      <c r="A117" s="127" t="s">
        <v>121</v>
      </c>
      <c r="B117" s="113">
        <v>60</v>
      </c>
      <c r="C117" s="113">
        <v>59</v>
      </c>
      <c r="D117" s="113">
        <v>55</v>
      </c>
      <c r="E117" s="113">
        <v>46</v>
      </c>
      <c r="F117" s="113">
        <v>47.9</v>
      </c>
      <c r="G117" s="113">
        <v>55</v>
      </c>
      <c r="H117" s="113">
        <v>57</v>
      </c>
      <c r="I117" s="113">
        <v>55</v>
      </c>
      <c r="J117" s="113">
        <v>55</v>
      </c>
      <c r="K117" s="113">
        <v>55</v>
      </c>
      <c r="L117" s="113">
        <v>56.4</v>
      </c>
      <c r="M117" s="113">
        <v>59.6</v>
      </c>
      <c r="N117" s="113">
        <v>60</v>
      </c>
      <c r="O117" s="113">
        <v>69.5</v>
      </c>
      <c r="P117" s="113">
        <v>78.5</v>
      </c>
      <c r="Q117" s="113">
        <v>71.7</v>
      </c>
      <c r="R117" s="113">
        <v>78.2</v>
      </c>
      <c r="S117" s="113">
        <v>90.3</v>
      </c>
      <c r="T117" s="113">
        <v>83.6</v>
      </c>
      <c r="U117" s="113">
        <v>79.3</v>
      </c>
      <c r="V117" s="113">
        <v>79.3</v>
      </c>
      <c r="W117" s="113">
        <v>73.7</v>
      </c>
      <c r="X117" s="113">
        <v>69.900000000000006</v>
      </c>
      <c r="Y117" s="113">
        <v>91</v>
      </c>
      <c r="Z117" s="113">
        <v>97.4</v>
      </c>
      <c r="AA117" s="113">
        <v>90.3</v>
      </c>
      <c r="AB117" s="113">
        <v>87.5</v>
      </c>
      <c r="AC117" s="113">
        <v>89</v>
      </c>
      <c r="AD117" s="113">
        <v>85.5</v>
      </c>
      <c r="AE117" s="113">
        <v>65.400000000000006</v>
      </c>
      <c r="AF117" s="113">
        <v>67.400000000000006</v>
      </c>
      <c r="AG117" s="126"/>
      <c r="AH117" s="52">
        <f t="shared" si="24"/>
        <v>97.4</v>
      </c>
      <c r="AI117" s="53">
        <f t="shared" si="25"/>
        <v>46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53">SUM(B119:B223)</f>
        <v>0</v>
      </c>
      <c r="C224" s="144">
        <f t="shared" si="53"/>
        <v>0</v>
      </c>
      <c r="D224" s="144">
        <f t="shared" si="53"/>
        <v>0</v>
      </c>
      <c r="E224" s="144">
        <f t="shared" si="53"/>
        <v>0</v>
      </c>
      <c r="F224" s="144">
        <f t="shared" si="53"/>
        <v>0</v>
      </c>
      <c r="G224" s="144">
        <f t="shared" si="53"/>
        <v>0</v>
      </c>
      <c r="H224" s="144">
        <f t="shared" si="53"/>
        <v>0</v>
      </c>
      <c r="I224" s="144">
        <f t="shared" si="53"/>
        <v>0</v>
      </c>
      <c r="J224" s="144">
        <f t="shared" si="53"/>
        <v>0</v>
      </c>
      <c r="K224" s="144">
        <f t="shared" si="53"/>
        <v>0</v>
      </c>
      <c r="L224" s="144">
        <f t="shared" si="53"/>
        <v>0</v>
      </c>
      <c r="M224" s="144">
        <f t="shared" si="53"/>
        <v>0</v>
      </c>
      <c r="N224" s="144">
        <f t="shared" si="53"/>
        <v>0</v>
      </c>
      <c r="O224" s="144">
        <f t="shared" si="53"/>
        <v>0</v>
      </c>
      <c r="P224" s="144">
        <f t="shared" si="53"/>
        <v>0</v>
      </c>
      <c r="Q224" s="144">
        <f t="shared" si="53"/>
        <v>0</v>
      </c>
      <c r="R224" s="144">
        <f t="shared" si="53"/>
        <v>0</v>
      </c>
      <c r="S224" s="144">
        <f t="shared" si="53"/>
        <v>0</v>
      </c>
      <c r="T224" s="144">
        <f t="shared" si="53"/>
        <v>0</v>
      </c>
      <c r="U224" s="144">
        <f t="shared" si="53"/>
        <v>0</v>
      </c>
      <c r="V224" s="144">
        <f t="shared" si="53"/>
        <v>0</v>
      </c>
      <c r="W224" s="144">
        <f t="shared" si="53"/>
        <v>0</v>
      </c>
      <c r="X224" s="144">
        <f t="shared" si="53"/>
        <v>0</v>
      </c>
      <c r="Y224" s="144">
        <f t="shared" si="53"/>
        <v>0</v>
      </c>
      <c r="Z224" s="144">
        <f t="shared" si="53"/>
        <v>0</v>
      </c>
      <c r="AA224" s="144">
        <f t="shared" si="53"/>
        <v>0</v>
      </c>
      <c r="AB224" s="144">
        <f t="shared" si="53"/>
        <v>0</v>
      </c>
      <c r="AC224" s="144">
        <f t="shared" si="53"/>
        <v>0</v>
      </c>
      <c r="AD224" s="144">
        <f t="shared" si="53"/>
        <v>0</v>
      </c>
      <c r="AE224" s="144">
        <f t="shared" si="53"/>
        <v>0</v>
      </c>
      <c r="AF224" s="145">
        <f t="shared" si="53"/>
        <v>0</v>
      </c>
      <c r="AG224" s="146">
        <f t="shared" si="53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54">AF226</f>
        <v>0</v>
      </c>
      <c r="C226" s="149">
        <v>0.3</v>
      </c>
      <c r="D226" s="149">
        <f t="shared" ref="D226:P231" si="55">C226</f>
        <v>0.3</v>
      </c>
      <c r="E226" s="149">
        <f t="shared" si="55"/>
        <v>0.3</v>
      </c>
      <c r="F226" s="149">
        <f t="shared" si="55"/>
        <v>0.3</v>
      </c>
      <c r="G226" s="149">
        <f t="shared" si="55"/>
        <v>0.3</v>
      </c>
      <c r="H226" s="149">
        <f t="shared" si="55"/>
        <v>0.3</v>
      </c>
      <c r="I226" s="149">
        <f t="shared" si="55"/>
        <v>0.3</v>
      </c>
      <c r="J226" s="149">
        <f t="shared" si="55"/>
        <v>0.3</v>
      </c>
      <c r="K226" s="149">
        <f t="shared" si="55"/>
        <v>0.3</v>
      </c>
      <c r="L226" s="149">
        <f t="shared" si="55"/>
        <v>0.3</v>
      </c>
      <c r="M226" s="149">
        <f t="shared" si="55"/>
        <v>0.3</v>
      </c>
      <c r="N226" s="149">
        <f t="shared" si="55"/>
        <v>0.3</v>
      </c>
      <c r="O226" s="149">
        <f t="shared" si="55"/>
        <v>0.3</v>
      </c>
      <c r="P226" s="149">
        <f t="shared" si="55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54"/>
        <v>0</v>
      </c>
      <c r="C227" s="136">
        <v>0.4</v>
      </c>
      <c r="D227" s="136">
        <f t="shared" si="55"/>
        <v>0.4</v>
      </c>
      <c r="E227" s="136">
        <f t="shared" si="55"/>
        <v>0.4</v>
      </c>
      <c r="F227" s="136">
        <f t="shared" si="55"/>
        <v>0.4</v>
      </c>
      <c r="G227" s="136">
        <f t="shared" si="55"/>
        <v>0.4</v>
      </c>
      <c r="H227" s="136">
        <f t="shared" si="55"/>
        <v>0.4</v>
      </c>
      <c r="I227" s="136">
        <f t="shared" si="55"/>
        <v>0.4</v>
      </c>
      <c r="J227" s="136">
        <f t="shared" si="55"/>
        <v>0.4</v>
      </c>
      <c r="K227" s="136">
        <f t="shared" si="55"/>
        <v>0.4</v>
      </c>
      <c r="L227" s="136">
        <f t="shared" si="55"/>
        <v>0.4</v>
      </c>
      <c r="M227" s="136">
        <f t="shared" si="55"/>
        <v>0.4</v>
      </c>
      <c r="N227" s="136">
        <f t="shared" si="55"/>
        <v>0.4</v>
      </c>
      <c r="O227" s="136">
        <f t="shared" si="55"/>
        <v>0.4</v>
      </c>
      <c r="P227" s="136">
        <f t="shared" si="55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54"/>
        <v>0</v>
      </c>
      <c r="C228" s="136">
        <v>1.5</v>
      </c>
      <c r="D228" s="136">
        <f t="shared" si="55"/>
        <v>1.5</v>
      </c>
      <c r="E228" s="136">
        <f t="shared" si="55"/>
        <v>1.5</v>
      </c>
      <c r="F228" s="136">
        <f t="shared" si="55"/>
        <v>1.5</v>
      </c>
      <c r="G228" s="136">
        <f t="shared" si="55"/>
        <v>1.5</v>
      </c>
      <c r="H228" s="136">
        <f t="shared" si="55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55"/>
        <v>1.5</v>
      </c>
      <c r="K228" s="136">
        <f t="shared" ca="1" si="55"/>
        <v>1.5</v>
      </c>
      <c r="L228" s="136">
        <f t="shared" ca="1" si="55"/>
        <v>1.5</v>
      </c>
      <c r="M228" s="136">
        <f t="shared" ca="1" si="55"/>
        <v>1.5</v>
      </c>
      <c r="N228" s="136">
        <f t="shared" ca="1" si="55"/>
        <v>1.5</v>
      </c>
      <c r="O228" s="136">
        <f t="shared" ca="1" si="55"/>
        <v>1.5</v>
      </c>
      <c r="P228" s="136">
        <f t="shared" ca="1" si="55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54"/>
        <v>0</v>
      </c>
      <c r="C229" s="136">
        <v>0.3</v>
      </c>
      <c r="D229" s="136">
        <f t="shared" si="55"/>
        <v>0.3</v>
      </c>
      <c r="E229" s="136">
        <f t="shared" si="55"/>
        <v>0.3</v>
      </c>
      <c r="F229" s="136">
        <f t="shared" si="55"/>
        <v>0.3</v>
      </c>
      <c r="G229" s="136">
        <f t="shared" si="55"/>
        <v>0.3</v>
      </c>
      <c r="H229" s="136">
        <f t="shared" si="55"/>
        <v>0.3</v>
      </c>
      <c r="I229" s="136">
        <f t="shared" si="55"/>
        <v>0.3</v>
      </c>
      <c r="J229" s="136">
        <f t="shared" si="55"/>
        <v>0.3</v>
      </c>
      <c r="K229" s="136">
        <f t="shared" si="55"/>
        <v>0.3</v>
      </c>
      <c r="L229" s="136">
        <f t="shared" si="55"/>
        <v>0.3</v>
      </c>
      <c r="M229" s="136">
        <f t="shared" si="55"/>
        <v>0.3</v>
      </c>
      <c r="N229" s="136">
        <f t="shared" si="55"/>
        <v>0.3</v>
      </c>
      <c r="O229" s="136">
        <f t="shared" si="55"/>
        <v>0.3</v>
      </c>
      <c r="P229" s="136">
        <f t="shared" si="55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54"/>
        <v>0</v>
      </c>
      <c r="C230" s="136">
        <v>0.4</v>
      </c>
      <c r="D230" s="136">
        <f t="shared" si="55"/>
        <v>0.4</v>
      </c>
      <c r="E230" s="136">
        <f t="shared" si="55"/>
        <v>0.4</v>
      </c>
      <c r="F230" s="136">
        <f t="shared" si="55"/>
        <v>0.4</v>
      </c>
      <c r="G230" s="136">
        <f t="shared" si="55"/>
        <v>0.4</v>
      </c>
      <c r="H230" s="136">
        <f t="shared" si="55"/>
        <v>0.4</v>
      </c>
      <c r="I230" s="136">
        <f t="shared" si="55"/>
        <v>0.4</v>
      </c>
      <c r="J230" s="136">
        <f t="shared" si="55"/>
        <v>0.4</v>
      </c>
      <c r="K230" s="136">
        <f t="shared" si="55"/>
        <v>0.4</v>
      </c>
      <c r="L230" s="136">
        <f t="shared" si="55"/>
        <v>0.4</v>
      </c>
      <c r="M230" s="136">
        <f t="shared" si="55"/>
        <v>0.4</v>
      </c>
      <c r="N230" s="136">
        <f t="shared" si="55"/>
        <v>0.4</v>
      </c>
      <c r="O230" s="136">
        <f t="shared" si="55"/>
        <v>0.4</v>
      </c>
      <c r="P230" s="136">
        <f t="shared" si="55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54"/>
        <v>0</v>
      </c>
      <c r="C231" s="140">
        <v>0.64</v>
      </c>
      <c r="D231" s="140">
        <f t="shared" si="55"/>
        <v>0.64</v>
      </c>
      <c r="E231" s="140">
        <f t="shared" si="55"/>
        <v>0.64</v>
      </c>
      <c r="F231" s="140">
        <f t="shared" si="55"/>
        <v>0.64</v>
      </c>
      <c r="G231" s="140">
        <f t="shared" si="55"/>
        <v>0.64</v>
      </c>
      <c r="H231" s="140">
        <f t="shared" si="55"/>
        <v>0.64</v>
      </c>
      <c r="I231" s="140">
        <f t="shared" si="55"/>
        <v>0.64</v>
      </c>
      <c r="J231" s="140">
        <f t="shared" si="55"/>
        <v>0.64</v>
      </c>
      <c r="K231" s="140">
        <f t="shared" si="55"/>
        <v>0.64</v>
      </c>
      <c r="L231" s="140">
        <f t="shared" si="55"/>
        <v>0.64</v>
      </c>
      <c r="M231" s="140">
        <f t="shared" si="55"/>
        <v>0.64</v>
      </c>
      <c r="N231" s="140">
        <f t="shared" si="55"/>
        <v>0.64</v>
      </c>
      <c r="O231" s="140">
        <f t="shared" si="55"/>
        <v>0.64</v>
      </c>
      <c r="P231" s="140">
        <f t="shared" si="55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56">SUM(B226:B231)</f>
        <v>0</v>
      </c>
      <c r="C232" s="144">
        <f t="shared" si="56"/>
        <v>3.54</v>
      </c>
      <c r="D232" s="144">
        <f t="shared" si="56"/>
        <v>3.54</v>
      </c>
      <c r="E232" s="144">
        <f t="shared" si="56"/>
        <v>3.54</v>
      </c>
      <c r="F232" s="144">
        <f t="shared" si="56"/>
        <v>3.54</v>
      </c>
      <c r="G232" s="144">
        <f t="shared" si="56"/>
        <v>3.54</v>
      </c>
      <c r="H232" s="144">
        <f t="shared" si="56"/>
        <v>3.54</v>
      </c>
      <c r="I232" s="144">
        <f t="shared" ca="1" si="56"/>
        <v>3.54</v>
      </c>
      <c r="J232" s="144">
        <f t="shared" ca="1" si="56"/>
        <v>3.54</v>
      </c>
      <c r="K232" s="144">
        <f t="shared" ca="1" si="56"/>
        <v>3.54</v>
      </c>
      <c r="L232" s="144">
        <f t="shared" ca="1" si="56"/>
        <v>3.54</v>
      </c>
      <c r="M232" s="144">
        <f t="shared" ca="1" si="56"/>
        <v>3.54</v>
      </c>
      <c r="N232" s="144">
        <f t="shared" ca="1" si="56"/>
        <v>3.54</v>
      </c>
      <c r="O232" s="144">
        <f t="shared" ca="1" si="56"/>
        <v>3.54</v>
      </c>
      <c r="P232" s="144">
        <f t="shared" ca="1" si="56"/>
        <v>3.54</v>
      </c>
      <c r="Q232" s="144">
        <f t="shared" si="56"/>
        <v>0</v>
      </c>
      <c r="R232" s="144">
        <f t="shared" si="56"/>
        <v>0</v>
      </c>
      <c r="S232" s="144">
        <f t="shared" si="56"/>
        <v>0</v>
      </c>
      <c r="T232" s="144">
        <f t="shared" si="56"/>
        <v>0</v>
      </c>
      <c r="U232" s="144">
        <f t="shared" si="56"/>
        <v>0</v>
      </c>
      <c r="V232" s="144">
        <f t="shared" si="56"/>
        <v>0</v>
      </c>
      <c r="W232" s="144">
        <f t="shared" si="56"/>
        <v>0</v>
      </c>
      <c r="X232" s="144">
        <f t="shared" si="56"/>
        <v>0</v>
      </c>
      <c r="Y232" s="144">
        <f t="shared" si="56"/>
        <v>0</v>
      </c>
      <c r="Z232" s="144">
        <f t="shared" si="56"/>
        <v>0</v>
      </c>
      <c r="AA232" s="144">
        <f t="shared" si="56"/>
        <v>0</v>
      </c>
      <c r="AB232" s="144">
        <f t="shared" si="56"/>
        <v>0</v>
      </c>
      <c r="AC232" s="144">
        <f t="shared" si="56"/>
        <v>0</v>
      </c>
      <c r="AD232" s="144">
        <f t="shared" si="56"/>
        <v>0</v>
      </c>
      <c r="AE232" s="144">
        <f t="shared" si="56"/>
        <v>0</v>
      </c>
      <c r="AF232" s="144">
        <f t="shared" si="56"/>
        <v>0</v>
      </c>
      <c r="AG232" s="154">
        <f t="shared" si="56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1315.14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22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2079/12/22)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2079/12/22)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57">B89</f>
        <v>1065.6399999999999</v>
      </c>
      <c r="U246" s="180">
        <f t="shared" si="57"/>
        <v>985.64</v>
      </c>
      <c r="V246" s="180">
        <f t="shared" si="57"/>
        <v>938.64</v>
      </c>
      <c r="W246" s="180">
        <f t="shared" si="57"/>
        <v>937.64</v>
      </c>
      <c r="X246" s="180">
        <f t="shared" si="57"/>
        <v>942.64</v>
      </c>
      <c r="Y246" s="180">
        <f t="shared" si="57"/>
        <v>931.64</v>
      </c>
      <c r="Z246" s="180">
        <f t="shared" si="57"/>
        <v>931.64</v>
      </c>
      <c r="AA246" s="180">
        <f t="shared" si="57"/>
        <v>921.64</v>
      </c>
      <c r="AB246" s="180">
        <f t="shared" si="57"/>
        <v>1005.64</v>
      </c>
      <c r="AC246" s="180">
        <f t="shared" si="57"/>
        <v>1260.6399999999999</v>
      </c>
      <c r="AD246" s="180">
        <f t="shared" si="57"/>
        <v>1282.8399999999999</v>
      </c>
      <c r="AE246" s="180">
        <f t="shared" si="57"/>
        <v>1315.14</v>
      </c>
      <c r="AF246" s="180">
        <f t="shared" si="57"/>
        <v>1298.1399999999999</v>
      </c>
      <c r="AG246" s="180">
        <f t="shared" si="57"/>
        <v>1355.44</v>
      </c>
      <c r="AH246" s="180">
        <f t="shared" si="57"/>
        <v>1316.8400000000001</v>
      </c>
      <c r="AI246" s="180">
        <f t="shared" si="57"/>
        <v>1316.2400000000002</v>
      </c>
      <c r="AJ246" s="180">
        <f t="shared" si="57"/>
        <v>1322.8400000000001</v>
      </c>
      <c r="AK246" s="180">
        <f t="shared" si="57"/>
        <v>1342.44</v>
      </c>
      <c r="AL246" s="180">
        <f t="shared" si="57"/>
        <v>1353.24</v>
      </c>
      <c r="AM246" s="180">
        <f t="shared" si="57"/>
        <v>1366.74</v>
      </c>
      <c r="AN246" s="180">
        <f t="shared" si="57"/>
        <v>1329.44</v>
      </c>
      <c r="AO246" s="180">
        <f t="shared" si="57"/>
        <v>1334.3400000000001</v>
      </c>
      <c r="AP246" s="180">
        <f t="shared" si="57"/>
        <v>1374.44</v>
      </c>
      <c r="AQ246" s="180">
        <f t="shared" si="57"/>
        <v>1454.44</v>
      </c>
      <c r="AR246" s="180">
        <f t="shared" si="57"/>
        <v>1594.74</v>
      </c>
      <c r="AS246" s="180">
        <f t="shared" si="57"/>
        <v>1544.34</v>
      </c>
      <c r="AT246" s="180">
        <f t="shared" si="57"/>
        <v>1495.84</v>
      </c>
      <c r="AU246" s="180">
        <f t="shared" si="57"/>
        <v>1484.14</v>
      </c>
      <c r="AV246" s="180">
        <f t="shared" si="57"/>
        <v>1367.1399999999999</v>
      </c>
      <c r="AW246" s="180">
        <f t="shared" si="57"/>
        <v>1294.54</v>
      </c>
      <c r="AX246" s="180">
        <f t="shared" si="57"/>
        <v>1148.44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58">C231</f>
        <v>0.64</v>
      </c>
      <c r="C267" s="183">
        <f t="shared" si="58"/>
        <v>0.64</v>
      </c>
      <c r="D267" s="183">
        <f t="shared" si="58"/>
        <v>0.64</v>
      </c>
      <c r="E267" s="183">
        <f t="shared" si="58"/>
        <v>0.64</v>
      </c>
      <c r="F267" s="183">
        <f t="shared" si="58"/>
        <v>0.64</v>
      </c>
      <c r="G267" s="183">
        <f t="shared" si="58"/>
        <v>0.64</v>
      </c>
      <c r="H267" s="183">
        <f t="shared" si="58"/>
        <v>0.64</v>
      </c>
      <c r="I267" s="183">
        <f t="shared" si="58"/>
        <v>0.64</v>
      </c>
      <c r="J267" s="183">
        <f t="shared" si="58"/>
        <v>0.64</v>
      </c>
      <c r="K267" s="183">
        <f t="shared" si="58"/>
        <v>0.64</v>
      </c>
      <c r="L267" s="183">
        <f t="shared" si="58"/>
        <v>0.64</v>
      </c>
      <c r="M267" s="183">
        <f t="shared" si="58"/>
        <v>0.64</v>
      </c>
      <c r="N267" s="183">
        <f t="shared" si="58"/>
        <v>0.64</v>
      </c>
      <c r="O267" s="183">
        <f t="shared" si="58"/>
        <v>0.64</v>
      </c>
      <c r="P267" s="183">
        <f t="shared" si="58"/>
        <v>0</v>
      </c>
      <c r="Q267" s="183">
        <f t="shared" si="58"/>
        <v>0</v>
      </c>
      <c r="R267" s="183">
        <f t="shared" si="58"/>
        <v>0</v>
      </c>
      <c r="S267" s="183">
        <f t="shared" si="58"/>
        <v>0</v>
      </c>
      <c r="T267" s="183">
        <f t="shared" si="58"/>
        <v>0</v>
      </c>
      <c r="U267" s="183">
        <f t="shared" si="58"/>
        <v>0</v>
      </c>
      <c r="V267" s="183">
        <f t="shared" si="58"/>
        <v>0</v>
      </c>
      <c r="W267" s="183">
        <f t="shared" si="58"/>
        <v>0</v>
      </c>
      <c r="X267" s="183">
        <f t="shared" si="58"/>
        <v>0</v>
      </c>
      <c r="Y267" s="183">
        <f t="shared" si="58"/>
        <v>0</v>
      </c>
      <c r="Z267" s="183">
        <f t="shared" si="58"/>
        <v>0</v>
      </c>
      <c r="AA267" s="183">
        <f t="shared" si="58"/>
        <v>0</v>
      </c>
      <c r="AB267" s="183">
        <f t="shared" si="58"/>
        <v>0</v>
      </c>
      <c r="AC267" s="183">
        <f t="shared" si="58"/>
        <v>0</v>
      </c>
      <c r="AD267" s="183">
        <f t="shared" si="58"/>
        <v>0</v>
      </c>
      <c r="AE267" s="183">
        <f t="shared" si="58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59">IF(B235&lt;100,"",B235-520)</f>
        <v/>
      </c>
      <c r="C268" s="184" t="str">
        <f t="shared" si="59"/>
        <v/>
      </c>
      <c r="D268" s="184" t="str">
        <f t="shared" si="59"/>
        <v/>
      </c>
      <c r="E268" s="184" t="str">
        <f t="shared" si="59"/>
        <v/>
      </c>
      <c r="F268" s="184" t="str">
        <f t="shared" si="59"/>
        <v/>
      </c>
      <c r="G268" s="184" t="str">
        <f t="shared" si="59"/>
        <v/>
      </c>
      <c r="H268" s="184" t="str">
        <f t="shared" si="59"/>
        <v/>
      </c>
      <c r="I268" s="184" t="str">
        <f t="shared" si="59"/>
        <v/>
      </c>
      <c r="J268" s="184" t="str">
        <f t="shared" si="59"/>
        <v/>
      </c>
      <c r="K268" s="184" t="str">
        <f t="shared" si="59"/>
        <v/>
      </c>
      <c r="L268" s="184" t="str">
        <f t="shared" si="59"/>
        <v/>
      </c>
      <c r="M268" s="184" t="str">
        <f t="shared" si="59"/>
        <v/>
      </c>
      <c r="N268" s="184" t="str">
        <f t="shared" si="59"/>
        <v/>
      </c>
      <c r="O268" s="184" t="str">
        <f t="shared" si="59"/>
        <v/>
      </c>
      <c r="P268" s="184" t="str">
        <f t="shared" si="59"/>
        <v/>
      </c>
      <c r="Q268" s="184" t="str">
        <f t="shared" si="59"/>
        <v/>
      </c>
      <c r="R268" s="184" t="str">
        <f t="shared" si="59"/>
        <v/>
      </c>
      <c r="S268" s="184" t="str">
        <f t="shared" si="59"/>
        <v/>
      </c>
      <c r="T268" s="184" t="str">
        <f t="shared" si="59"/>
        <v/>
      </c>
      <c r="U268" s="184" t="str">
        <f t="shared" si="59"/>
        <v/>
      </c>
      <c r="V268" s="184" t="str">
        <f t="shared" si="59"/>
        <v/>
      </c>
      <c r="W268" s="184" t="str">
        <f t="shared" si="59"/>
        <v/>
      </c>
      <c r="X268" s="184" t="str">
        <f t="shared" si="59"/>
        <v/>
      </c>
      <c r="Y268" s="184" t="str">
        <f t="shared" si="59"/>
        <v/>
      </c>
      <c r="Z268" s="184" t="str">
        <f t="shared" si="59"/>
        <v/>
      </c>
      <c r="AA268" s="184" t="str">
        <f t="shared" si="59"/>
        <v/>
      </c>
      <c r="AB268" s="184" t="str">
        <f t="shared" si="59"/>
        <v/>
      </c>
      <c r="AC268" s="184" t="str">
        <f t="shared" si="59"/>
        <v/>
      </c>
      <c r="AD268" s="184" t="str">
        <f t="shared" si="59"/>
        <v/>
      </c>
      <c r="AE268" s="184" t="str">
        <f t="shared" si="59"/>
        <v/>
      </c>
      <c r="AF268" s="184" t="str">
        <f t="shared" si="59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60">IF(B236&lt;100,"",B236-620)</f>
        <v/>
      </c>
      <c r="C269" s="184" t="str">
        <f t="shared" si="60"/>
        <v/>
      </c>
      <c r="D269" s="184" t="str">
        <f t="shared" si="60"/>
        <v/>
      </c>
      <c r="E269" s="184" t="str">
        <f t="shared" si="60"/>
        <v/>
      </c>
      <c r="F269" s="184" t="str">
        <f t="shared" si="60"/>
        <v/>
      </c>
      <c r="G269" s="184" t="str">
        <f t="shared" si="60"/>
        <v/>
      </c>
      <c r="H269" s="184" t="str">
        <f t="shared" si="60"/>
        <v/>
      </c>
      <c r="I269" s="184" t="str">
        <f t="shared" si="60"/>
        <v/>
      </c>
      <c r="J269" s="184" t="str">
        <f t="shared" si="60"/>
        <v/>
      </c>
      <c r="K269" s="184" t="str">
        <f t="shared" si="60"/>
        <v/>
      </c>
      <c r="L269" s="184" t="str">
        <f t="shared" si="60"/>
        <v/>
      </c>
      <c r="M269" s="184" t="str">
        <f t="shared" si="60"/>
        <v/>
      </c>
      <c r="N269" s="184" t="str">
        <f t="shared" si="60"/>
        <v/>
      </c>
      <c r="O269" s="184" t="str">
        <f t="shared" si="60"/>
        <v/>
      </c>
      <c r="P269" s="184" t="str">
        <f t="shared" si="60"/>
        <v/>
      </c>
      <c r="Q269" s="184" t="str">
        <f t="shared" si="60"/>
        <v/>
      </c>
      <c r="R269" s="184" t="str">
        <f t="shared" si="60"/>
        <v/>
      </c>
      <c r="S269" s="184" t="str">
        <f t="shared" si="60"/>
        <v/>
      </c>
      <c r="T269" s="184" t="str">
        <f t="shared" si="60"/>
        <v/>
      </c>
      <c r="U269" s="184" t="str">
        <f t="shared" si="60"/>
        <v/>
      </c>
      <c r="V269" s="184" t="str">
        <f t="shared" si="60"/>
        <v/>
      </c>
      <c r="W269" s="184" t="str">
        <f t="shared" si="60"/>
        <v/>
      </c>
      <c r="X269" s="184" t="str">
        <f t="shared" si="60"/>
        <v/>
      </c>
      <c r="Y269" s="184" t="str">
        <f t="shared" si="60"/>
        <v/>
      </c>
      <c r="Z269" s="184" t="str">
        <f t="shared" si="60"/>
        <v/>
      </c>
      <c r="AA269" s="184" t="str">
        <f t="shared" si="60"/>
        <v/>
      </c>
      <c r="AB269" s="184" t="str">
        <f t="shared" si="60"/>
        <v/>
      </c>
      <c r="AC269" s="184" t="str">
        <f t="shared" si="60"/>
        <v/>
      </c>
      <c r="AD269" s="184" t="str">
        <f t="shared" si="60"/>
        <v/>
      </c>
      <c r="AE269" s="184" t="str">
        <f t="shared" si="60"/>
        <v/>
      </c>
      <c r="AF269" s="184" t="str">
        <f t="shared" si="60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61">IF(B237&lt;100,"",B237-330)</f>
        <v/>
      </c>
      <c r="C270" s="184" t="str">
        <f t="shared" si="61"/>
        <v/>
      </c>
      <c r="D270" s="184" t="str">
        <f t="shared" si="61"/>
        <v/>
      </c>
      <c r="E270" s="184" t="str">
        <f t="shared" si="61"/>
        <v/>
      </c>
      <c r="F270" s="184" t="str">
        <f t="shared" si="61"/>
        <v/>
      </c>
      <c r="G270" s="184" t="str">
        <f t="shared" si="61"/>
        <v/>
      </c>
      <c r="H270" s="184" t="str">
        <f t="shared" si="61"/>
        <v/>
      </c>
      <c r="I270" s="184" t="str">
        <f t="shared" si="61"/>
        <v/>
      </c>
      <c r="J270" s="184" t="str">
        <f t="shared" si="61"/>
        <v/>
      </c>
      <c r="K270" s="184" t="str">
        <f t="shared" si="61"/>
        <v/>
      </c>
      <c r="L270" s="184" t="str">
        <f t="shared" si="61"/>
        <v/>
      </c>
      <c r="M270" s="184" t="str">
        <f t="shared" si="61"/>
        <v/>
      </c>
      <c r="N270" s="184" t="str">
        <f t="shared" si="61"/>
        <v/>
      </c>
      <c r="O270" s="184" t="str">
        <f t="shared" si="61"/>
        <v/>
      </c>
      <c r="P270" s="184" t="str">
        <f t="shared" si="61"/>
        <v/>
      </c>
      <c r="Q270" s="184" t="str">
        <f t="shared" si="61"/>
        <v/>
      </c>
      <c r="R270" s="184" t="str">
        <f t="shared" si="61"/>
        <v/>
      </c>
      <c r="S270" s="184" t="str">
        <f t="shared" si="61"/>
        <v/>
      </c>
      <c r="T270" s="184" t="str">
        <f t="shared" si="61"/>
        <v/>
      </c>
      <c r="U270" s="184" t="str">
        <f t="shared" si="61"/>
        <v/>
      </c>
      <c r="V270" s="184" t="str">
        <f t="shared" si="61"/>
        <v/>
      </c>
      <c r="W270" s="184" t="str">
        <f t="shared" si="61"/>
        <v/>
      </c>
      <c r="X270" s="184" t="str">
        <f t="shared" si="61"/>
        <v/>
      </c>
      <c r="Y270" s="184" t="str">
        <f t="shared" si="61"/>
        <v/>
      </c>
      <c r="Z270" s="184" t="str">
        <f t="shared" si="61"/>
        <v/>
      </c>
      <c r="AA270" s="184" t="str">
        <f t="shared" si="61"/>
        <v/>
      </c>
      <c r="AB270" s="184" t="str">
        <f t="shared" si="61"/>
        <v/>
      </c>
      <c r="AC270" s="184" t="str">
        <f t="shared" si="61"/>
        <v/>
      </c>
      <c r="AD270" s="184" t="str">
        <f t="shared" si="61"/>
        <v/>
      </c>
      <c r="AE270" s="184" t="str">
        <f t="shared" si="61"/>
        <v/>
      </c>
      <c r="AF270" s="184" t="str">
        <f t="shared" si="61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62">IF(B238&lt;100,"",B238-1500)</f>
        <v/>
      </c>
      <c r="C271" s="184" t="str">
        <f t="shared" si="62"/>
        <v/>
      </c>
      <c r="D271" s="184" t="str">
        <f t="shared" si="62"/>
        <v/>
      </c>
      <c r="E271" s="184" t="str">
        <f t="shared" si="62"/>
        <v/>
      </c>
      <c r="F271" s="184" t="str">
        <f t="shared" si="62"/>
        <v/>
      </c>
      <c r="G271" s="184" t="str">
        <f t="shared" si="62"/>
        <v/>
      </c>
      <c r="H271" s="184" t="str">
        <f t="shared" si="62"/>
        <v/>
      </c>
      <c r="I271" s="184" t="str">
        <f t="shared" si="62"/>
        <v/>
      </c>
      <c r="J271" s="184" t="str">
        <f t="shared" si="62"/>
        <v/>
      </c>
      <c r="K271" s="184" t="str">
        <f t="shared" si="62"/>
        <v/>
      </c>
      <c r="L271" s="184" t="str">
        <f t="shared" si="62"/>
        <v/>
      </c>
      <c r="M271" s="184" t="str">
        <f t="shared" si="62"/>
        <v/>
      </c>
      <c r="N271" s="184" t="str">
        <f t="shared" si="62"/>
        <v/>
      </c>
      <c r="O271" s="184" t="str">
        <f t="shared" si="62"/>
        <v/>
      </c>
      <c r="P271" s="184" t="str">
        <f t="shared" si="62"/>
        <v/>
      </c>
      <c r="Q271" s="184" t="str">
        <f t="shared" si="62"/>
        <v/>
      </c>
      <c r="R271" s="184" t="str">
        <f t="shared" si="62"/>
        <v/>
      </c>
      <c r="S271" s="184" t="str">
        <f t="shared" si="62"/>
        <v/>
      </c>
      <c r="T271" s="184" t="str">
        <f t="shared" si="62"/>
        <v/>
      </c>
      <c r="U271" s="184" t="str">
        <f t="shared" si="62"/>
        <v/>
      </c>
      <c r="V271" s="184" t="str">
        <f t="shared" si="62"/>
        <v/>
      </c>
      <c r="W271" s="184" t="str">
        <f t="shared" si="62"/>
        <v/>
      </c>
      <c r="X271" s="184" t="str">
        <f t="shared" si="62"/>
        <v/>
      </c>
      <c r="Y271" s="184" t="str">
        <f t="shared" si="62"/>
        <v/>
      </c>
      <c r="Z271" s="184" t="str">
        <f t="shared" si="62"/>
        <v/>
      </c>
      <c r="AA271" s="184" t="str">
        <f t="shared" si="62"/>
        <v/>
      </c>
      <c r="AB271" s="184" t="str">
        <f t="shared" si="62"/>
        <v/>
      </c>
      <c r="AC271" s="184" t="str">
        <f t="shared" si="62"/>
        <v/>
      </c>
      <c r="AD271" s="184" t="str">
        <f t="shared" si="62"/>
        <v/>
      </c>
      <c r="AE271" s="184" t="str">
        <f t="shared" si="62"/>
        <v/>
      </c>
      <c r="AF271" s="184" t="str">
        <f t="shared" si="62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9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Y109 D111:Y116 AA111:AF116 AA109:AF109">
    <cfRule type="expression" dxfId="4308" priority="494">
      <formula>B$9&gt;=20/24</formula>
    </cfRule>
    <cfRule type="expression" dxfId="4307" priority="495">
      <formula>AND(B$9&gt;=14/24,B$9&lt;20/24)</formula>
    </cfRule>
    <cfRule type="expression" dxfId="4306" priority="496">
      <formula>AND(B$9&gt;=8/24,B$9&lt;14/24)</formula>
    </cfRule>
    <cfRule type="expression" dxfId="4305" priority="497">
      <formula>B$9&lt;8/24</formula>
    </cfRule>
  </conditionalFormatting>
  <conditionalFormatting sqref="AL4:AL6">
    <cfRule type="iconSet" priority="49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4304" priority="49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4303" priority="491">
      <formula>$AH12=0</formula>
    </cfRule>
  </conditionalFormatting>
  <conditionalFormatting sqref="A114">
    <cfRule type="expression" dxfId="4302" priority="490">
      <formula>$AH114=0</formula>
    </cfRule>
  </conditionalFormatting>
  <conditionalFormatting sqref="AL42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4301" priority="488">
      <formula>$AH45=0</formula>
    </cfRule>
  </conditionalFormatting>
  <conditionalFormatting sqref="A98">
    <cfRule type="expression" dxfId="4300" priority="487">
      <formula>$AH98=0</formula>
    </cfRule>
  </conditionalFormatting>
  <conditionalFormatting sqref="A18">
    <cfRule type="expression" dxfId="4299" priority="486">
      <formula>$AH18=0</formula>
    </cfRule>
  </conditionalFormatting>
  <conditionalFormatting sqref="A196:A201">
    <cfRule type="expression" dxfId="4298" priority="485">
      <formula>$AH196=0</formula>
    </cfRule>
  </conditionalFormatting>
  <conditionalFormatting sqref="A190:A195">
    <cfRule type="expression" dxfId="4297" priority="484">
      <formula>$AH190=0</formula>
    </cfRule>
  </conditionalFormatting>
  <conditionalFormatting sqref="A58">
    <cfRule type="expression" dxfId="4296" priority="483">
      <formula>$AH58=0</formula>
    </cfRule>
  </conditionalFormatting>
  <conditionalFormatting sqref="A94">
    <cfRule type="expression" dxfId="4295" priority="482">
      <formula>$AH94=0</formula>
    </cfRule>
  </conditionalFormatting>
  <conditionalFormatting sqref="M99:X99 AD99:AF99">
    <cfRule type="expression" dxfId="4294" priority="478">
      <formula>M$9&gt;=20/24</formula>
    </cfRule>
    <cfRule type="expression" dxfId="4293" priority="479">
      <formula>AND(M$9&gt;=14/24,M$9&lt;20/24)</formula>
    </cfRule>
    <cfRule type="expression" dxfId="4292" priority="480">
      <formula>AND(M$9&gt;=8/24,M$9&lt;14/24)</formula>
    </cfRule>
    <cfRule type="expression" dxfId="4291" priority="481">
      <formula>M$9&lt;8/24</formula>
    </cfRule>
  </conditionalFormatting>
  <conditionalFormatting sqref="AL43">
    <cfRule type="iconSet" priority="47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290" priority="500">
      <formula>C$9&gt;=20/24</formula>
    </cfRule>
    <cfRule type="expression" dxfId="4289" priority="501">
      <formula>AND(C$9&gt;=14/24,C$9&lt;20/24)</formula>
    </cfRule>
    <cfRule type="expression" dxfId="4288" priority="502">
      <formula>AND(C$9&gt;=8/24,C$9&lt;14/24)</formula>
    </cfRule>
    <cfRule type="expression" dxfId="4287" priority="503">
      <formula>C$9&lt;8/24</formula>
    </cfRule>
  </conditionalFormatting>
  <conditionalFormatting sqref="A233">
    <cfRule type="expression" dxfId="4286" priority="504">
      <formula>$AH233=0</formula>
    </cfRule>
  </conditionalFormatting>
  <conditionalFormatting sqref="AG245">
    <cfRule type="expression" dxfId="4285" priority="505">
      <formula>B$9&gt;=20/24</formula>
    </cfRule>
    <cfRule type="expression" dxfId="4284" priority="506">
      <formula>AND(B$9&gt;=14/24,B$9&lt;20/24)</formula>
    </cfRule>
    <cfRule type="expression" dxfId="4283" priority="507">
      <formula>AND(B$9&gt;=8/24,B$9&lt;14/24)</formula>
    </cfRule>
    <cfRule type="expression" dxfId="4282" priority="508">
      <formula>B$9&lt;8/24</formula>
    </cfRule>
  </conditionalFormatting>
  <conditionalFormatting sqref="S8">
    <cfRule type="expression" dxfId="4281" priority="473">
      <formula>U$9&gt;=20/24</formula>
    </cfRule>
    <cfRule type="expression" dxfId="4280" priority="474">
      <formula>AND(U$9&gt;=14/24,U$9&lt;20/24)</formula>
    </cfRule>
    <cfRule type="expression" dxfId="4279" priority="475">
      <formula>AND(U$9&gt;=8/24,U$9&lt;14/24)</formula>
    </cfRule>
    <cfRule type="expression" dxfId="4278" priority="476">
      <formula>U$9&lt;8/24</formula>
    </cfRule>
  </conditionalFormatting>
  <conditionalFormatting sqref="AB8">
    <cfRule type="expression" dxfId="4277" priority="469">
      <formula>AD$9&gt;=20/24</formula>
    </cfRule>
    <cfRule type="expression" dxfId="4276" priority="470">
      <formula>AND(AD$9&gt;=14/24,AD$9&lt;20/24)</formula>
    </cfRule>
    <cfRule type="expression" dxfId="4275" priority="471">
      <formula>AND(AD$9&gt;=8/24,AD$9&lt;14/24)</formula>
    </cfRule>
    <cfRule type="expression" dxfId="4274" priority="472">
      <formula>AD$9&lt;8/24</formula>
    </cfRule>
  </conditionalFormatting>
  <conditionalFormatting sqref="AH245:AX245">
    <cfRule type="expression" dxfId="4273" priority="509">
      <formula>AG$9&gt;=20/24</formula>
    </cfRule>
    <cfRule type="expression" dxfId="4272" priority="510">
      <formula>AND(AG$9&gt;=14/24,AG$9&lt;20/24)</formula>
    </cfRule>
    <cfRule type="expression" dxfId="4271" priority="511">
      <formula>AND(AG$9&gt;=8/24,AG$9&lt;14/24)</formula>
    </cfRule>
    <cfRule type="expression" dxfId="4270" priority="512">
      <formula>AG$9&lt;8/24</formula>
    </cfRule>
  </conditionalFormatting>
  <conditionalFormatting sqref="T245">
    <cfRule type="expression" dxfId="4269" priority="513">
      <formula>AX$9&gt;=20/24</formula>
    </cfRule>
    <cfRule type="expression" dxfId="4268" priority="514">
      <formula>AND(AX$9&gt;=14/24,AX$9&lt;20/24)</formula>
    </cfRule>
    <cfRule type="expression" dxfId="4267" priority="515">
      <formula>AND(AX$9&gt;=8/24,AX$9&lt;14/24)</formula>
    </cfRule>
    <cfRule type="expression" dxfId="4266" priority="516">
      <formula>AX$9&lt;8/24</formula>
    </cfRule>
  </conditionalFormatting>
  <conditionalFormatting sqref="A115:A116">
    <cfRule type="expression" dxfId="4265" priority="468">
      <formula>$AH115=0</formula>
    </cfRule>
  </conditionalFormatting>
  <conditionalFormatting sqref="M71:Y71 M54:Q58 R58:V58 AA71:AF71 AD54:AF57">
    <cfRule type="expression" dxfId="4264" priority="464">
      <formula>M$9&gt;=20/24</formula>
    </cfRule>
    <cfRule type="expression" dxfId="4263" priority="465">
      <formula>AND(M$9&gt;=14/24,M$9&lt;20/24)</formula>
    </cfRule>
    <cfRule type="expression" dxfId="4262" priority="466">
      <formula>AND(M$9&gt;=8/24,M$9&lt;14/24)</formula>
    </cfRule>
    <cfRule type="expression" dxfId="4261" priority="467">
      <formula>M$9&lt;8/24</formula>
    </cfRule>
  </conditionalFormatting>
  <conditionalFormatting sqref="AC53:AF53 M53:Q53">
    <cfRule type="expression" dxfId="4260" priority="460">
      <formula>M$9&gt;=20/24</formula>
    </cfRule>
    <cfRule type="expression" dxfId="4259" priority="461">
      <formula>AND(M$9&gt;=14/24,M$9&lt;20/24)</formula>
    </cfRule>
    <cfRule type="expression" dxfId="4258" priority="462">
      <formula>AND(M$9&gt;=8/24,M$9&lt;14/24)</formula>
    </cfRule>
    <cfRule type="expression" dxfId="4257" priority="463">
      <formula>M$9&lt;8/24</formula>
    </cfRule>
  </conditionalFormatting>
  <conditionalFormatting sqref="AC53:AF53 M53:Q58 R58:V58 AD54:AF57">
    <cfRule type="expression" dxfId="4256" priority="459">
      <formula>M53&gt;$AG53</formula>
    </cfRule>
  </conditionalFormatting>
  <conditionalFormatting sqref="X96:Y96 M72:Y73 X47:Y47 X67:Y69 D86:Y86 M100:X106 AA86:AF86 AC67:AF69 AA47:AF47 AA72:AF74 AA96:AF96 AD100:AF106">
    <cfRule type="expression" dxfId="4255" priority="455">
      <formula>D$9&gt;=20/24</formula>
    </cfRule>
    <cfRule type="expression" dxfId="4254" priority="456">
      <formula>AND(D$9&gt;=14/24,D$9&lt;20/24)</formula>
    </cfRule>
    <cfRule type="expression" dxfId="4253" priority="457">
      <formula>AND(D$9&gt;=8/24,D$9&lt;14/24)</formula>
    </cfRule>
    <cfRule type="expression" dxfId="4252" priority="458">
      <formula>D$9&lt;8/24</formula>
    </cfRule>
  </conditionalFormatting>
  <conditionalFormatting sqref="X47:Y47 X67:Y69 AC67:AF69 AA47:AF47">
    <cfRule type="expression" dxfId="4251" priority="454">
      <formula>X47&gt;$AG47</formula>
    </cfRule>
  </conditionalFormatting>
  <conditionalFormatting sqref="T53:Y55 R53:S57 T56:V57 W56:Y58 AA53:AB55 AC54:AC55 AA57:AC57">
    <cfRule type="expression" dxfId="4250" priority="450">
      <formula>R$9&gt;=20/24</formula>
    </cfRule>
    <cfRule type="expression" dxfId="4249" priority="451">
      <formula>AND(R$9&gt;=14/24,R$9&lt;20/24)</formula>
    </cfRule>
    <cfRule type="expression" dxfId="4248" priority="452">
      <formula>AND(R$9&gt;=8/24,R$9&lt;14/24)</formula>
    </cfRule>
    <cfRule type="expression" dxfId="4247" priority="453">
      <formula>R$9&lt;8/24</formula>
    </cfRule>
  </conditionalFormatting>
  <conditionalFormatting sqref="T53:Y55 R53:S57 T56:V57 W56:Y58 AA53:AB55 AC54:AC55 AA57:AC57">
    <cfRule type="expression" dxfId="4246" priority="449">
      <formula>R53&gt;$AG53</formula>
    </cfRule>
  </conditionalFormatting>
  <conditionalFormatting sqref="C97:Y97 D88:Y88 AB88:AF88 AA97:AF97">
    <cfRule type="expression" dxfId="4245" priority="445">
      <formula>C$9&gt;=20/24</formula>
    </cfRule>
    <cfRule type="expression" dxfId="4244" priority="446">
      <formula>AND(C$9&gt;=14/24,C$9&lt;20/24)</formula>
    </cfRule>
    <cfRule type="expression" dxfId="4243" priority="447">
      <formula>AND(C$9&gt;=8/24,C$9&lt;14/24)</formula>
    </cfRule>
    <cfRule type="expression" dxfId="4242" priority="448">
      <formula>C$9&lt;8/24</formula>
    </cfRule>
  </conditionalFormatting>
  <conditionalFormatting sqref="T47:W47">
    <cfRule type="expression" dxfId="4241" priority="441">
      <formula>T$9&gt;=20/24</formula>
    </cfRule>
    <cfRule type="expression" dxfId="4240" priority="442">
      <formula>AND(T$9&gt;=14/24,T$9&lt;20/24)</formula>
    </cfRule>
    <cfRule type="expression" dxfId="4239" priority="443">
      <formula>AND(T$9&gt;=8/24,T$9&lt;14/24)</formula>
    </cfRule>
    <cfRule type="expression" dxfId="4238" priority="444">
      <formula>T$9&lt;8/24</formula>
    </cfRule>
  </conditionalFormatting>
  <conditionalFormatting sqref="T47:W47">
    <cfRule type="expression" dxfId="4237" priority="440">
      <formula>T47&gt;$AG47</formula>
    </cfRule>
  </conditionalFormatting>
  <conditionalFormatting sqref="AG70 AG87 Q67:W69">
    <cfRule type="expression" dxfId="4236" priority="427">
      <formula>Q$9&gt;=20/24</formula>
    </cfRule>
    <cfRule type="expression" dxfId="4235" priority="428">
      <formula>AND(Q$9&gt;=14/24,Q$9&lt;20/24)</formula>
    </cfRule>
    <cfRule type="expression" dxfId="4234" priority="429">
      <formula>AND(Q$9&gt;=8/24,Q$9&lt;14/24)</formula>
    </cfRule>
    <cfRule type="expression" dxfId="4233" priority="430">
      <formula>Q$9&lt;8/24</formula>
    </cfRule>
  </conditionalFormatting>
  <conditionalFormatting sqref="AG48 AG66 AG70 Q67:W69">
    <cfRule type="expression" dxfId="4232" priority="426">
      <formula>Q48&gt;$AG48</formula>
    </cfRule>
  </conditionalFormatting>
  <conditionalFormatting sqref="AD58:AF58">
    <cfRule type="expression" dxfId="4231" priority="422">
      <formula>AD$9&gt;=20/24</formula>
    </cfRule>
    <cfRule type="expression" dxfId="4230" priority="423">
      <formula>AND(AD$9&gt;=14/24,AD$9&lt;20/24)</formula>
    </cfRule>
    <cfRule type="expression" dxfId="4229" priority="424">
      <formula>AND(AD$9&gt;=8/24,AD$9&lt;14/24)</formula>
    </cfRule>
    <cfRule type="expression" dxfId="4228" priority="425">
      <formula>AD$9&lt;8/24</formula>
    </cfRule>
  </conditionalFormatting>
  <conditionalFormatting sqref="AD58:AF58">
    <cfRule type="expression" dxfId="4227" priority="421">
      <formula>AD58&gt;$AG58</formula>
    </cfRule>
  </conditionalFormatting>
  <conditionalFormatting sqref="A43">
    <cfRule type="expression" dxfId="4226" priority="420">
      <formula>$AH43=0</formula>
    </cfRule>
  </conditionalFormatting>
  <conditionalFormatting sqref="X91:Y95 AA91:AF95">
    <cfRule type="expression" dxfId="4225" priority="416">
      <formula>X$9&gt;=20/24</formula>
    </cfRule>
    <cfRule type="expression" dxfId="4224" priority="417">
      <formula>AND(X$9&gt;=14/24,X$9&lt;20/24)</formula>
    </cfRule>
    <cfRule type="expression" dxfId="4223" priority="418">
      <formula>AND(X$9&gt;=8/24,X$9&lt;14/24)</formula>
    </cfRule>
    <cfRule type="expression" dxfId="4222" priority="419">
      <formula>X$9&lt;8/24</formula>
    </cfRule>
  </conditionalFormatting>
  <conditionalFormatting sqref="AL45 AL41 AL22:AL32 AL38:AL39 AL7:AL15 AL17:AL20 AL34:AL36">
    <cfRule type="iconSet" priority="517">
      <iconSet iconSet="3TrafficLights2" reverse="1">
        <cfvo type="percent" val="0"/>
        <cfvo type="num" val="1"/>
        <cfvo type="num" val="1"/>
      </iconSet>
    </cfRule>
  </conditionalFormatting>
  <conditionalFormatting sqref="M49:Y51 AD49:AF51 AA49:AC49">
    <cfRule type="expression" dxfId="4221" priority="412">
      <formula>M$9&gt;=20/24</formula>
    </cfRule>
    <cfRule type="expression" dxfId="4220" priority="413">
      <formula>AND(M$9&gt;=14/24,M$9&lt;20/24)</formula>
    </cfRule>
    <cfRule type="expression" dxfId="4219" priority="414">
      <formula>AND(M$9&gt;=8/24,M$9&lt;14/24)</formula>
    </cfRule>
    <cfRule type="expression" dxfId="4218" priority="415">
      <formula>M$9&lt;8/24</formula>
    </cfRule>
  </conditionalFormatting>
  <conditionalFormatting sqref="M49:Y51 AD49:AF51 AA49:AC49">
    <cfRule type="expression" dxfId="4217" priority="411">
      <formula>M49&gt;$AG49</formula>
    </cfRule>
  </conditionalFormatting>
  <conditionalFormatting sqref="AG52">
    <cfRule type="expression" dxfId="4216" priority="407">
      <formula>AG$9&gt;=20/24</formula>
    </cfRule>
    <cfRule type="expression" dxfId="4215" priority="408">
      <formula>AND(AG$9&gt;=14/24,AG$9&lt;20/24)</formula>
    </cfRule>
    <cfRule type="expression" dxfId="4214" priority="409">
      <formula>AND(AG$9&gt;=8/24,AG$9&lt;14/24)</formula>
    </cfRule>
    <cfRule type="expression" dxfId="4213" priority="410">
      <formula>AG$9&lt;8/24</formula>
    </cfRule>
  </conditionalFormatting>
  <conditionalFormatting sqref="AG52">
    <cfRule type="expression" dxfId="4212" priority="406">
      <formula>AG52&gt;$AG52</formula>
    </cfRule>
  </conditionalFormatting>
  <conditionalFormatting sqref="C107:Y107 AA107:AF107">
    <cfRule type="expression" dxfId="4211" priority="402">
      <formula>C$9&gt;=20/24</formula>
    </cfRule>
    <cfRule type="expression" dxfId="4210" priority="403">
      <formula>AND(C$9&gt;=14/24,C$9&lt;20/24)</formula>
    </cfRule>
    <cfRule type="expression" dxfId="4209" priority="404">
      <formula>AND(C$9&gt;=8/24,C$9&lt;14/24)</formula>
    </cfRule>
    <cfRule type="expression" dxfId="4208" priority="405">
      <formula>C$9&lt;8/24</formula>
    </cfRule>
  </conditionalFormatting>
  <conditionalFormatting sqref="AL40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207" priority="400">
      <formula>$AH40=0</formula>
    </cfRule>
  </conditionalFormatting>
  <conditionalFormatting sqref="A90">
    <cfRule type="expression" dxfId="4206" priority="398">
      <formula>$AH90=0</formula>
    </cfRule>
  </conditionalFormatting>
  <conditionalFormatting sqref="A87">
    <cfRule type="expression" dxfId="4205" priority="399">
      <formula>$AH87=0</formula>
    </cfRule>
  </conditionalFormatting>
  <conditionalFormatting sqref="D110:Y110 AA110:AF110">
    <cfRule type="expression" dxfId="4204" priority="394">
      <formula>D$9&gt;=20/24</formula>
    </cfRule>
    <cfRule type="expression" dxfId="4203" priority="395">
      <formula>AND(D$9&gt;=14/24,D$9&lt;20/24)</formula>
    </cfRule>
    <cfRule type="expression" dxfId="4202" priority="396">
      <formula>AND(D$9&gt;=8/24,D$9&lt;14/24)</formula>
    </cfRule>
    <cfRule type="expression" dxfId="4201" priority="397">
      <formula>D$9&lt;8/24</formula>
    </cfRule>
  </conditionalFormatting>
  <conditionalFormatting sqref="A110">
    <cfRule type="expression" dxfId="4200" priority="393">
      <formula>$AH110=0</formula>
    </cfRule>
  </conditionalFormatting>
  <conditionalFormatting sqref="A21">
    <cfRule type="expression" dxfId="4199" priority="391">
      <formula>$AH21=0</formula>
    </cfRule>
  </conditionalFormatting>
  <conditionalFormatting sqref="AL21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198" priority="389">
      <formula>$AH37=0</formula>
    </cfRule>
  </conditionalFormatting>
  <conditionalFormatting sqref="AL37">
    <cfRule type="iconSet" priority="390">
      <iconSet iconSet="3TrafficLights2" reverse="1">
        <cfvo type="percent" val="0"/>
        <cfvo type="num" val="1"/>
        <cfvo type="num" val="1"/>
      </iconSet>
    </cfRule>
  </conditionalFormatting>
  <conditionalFormatting sqref="Y99 AA99:AC99">
    <cfRule type="expression" dxfId="4197" priority="385">
      <formula>Y$9&gt;=20/24</formula>
    </cfRule>
    <cfRule type="expression" dxfId="4196" priority="386">
      <formula>AND(Y$9&gt;=14/24,Y$9&lt;20/24)</formula>
    </cfRule>
    <cfRule type="expression" dxfId="4195" priority="387">
      <formula>AND(Y$9&gt;=8/24,Y$9&lt;14/24)</formula>
    </cfRule>
    <cfRule type="expression" dxfId="4194" priority="388">
      <formula>Y$9&lt;8/24</formula>
    </cfRule>
  </conditionalFormatting>
  <conditionalFormatting sqref="Y100:Y106 AA100:AC106">
    <cfRule type="expression" dxfId="4193" priority="381">
      <formula>Y$9&gt;=20/24</formula>
    </cfRule>
    <cfRule type="expression" dxfId="4192" priority="382">
      <formula>AND(Y$9&gt;=14/24,Y$9&lt;20/24)</formula>
    </cfRule>
    <cfRule type="expression" dxfId="4191" priority="383">
      <formula>AND(Y$9&gt;=8/24,Y$9&lt;14/24)</formula>
    </cfRule>
    <cfRule type="expression" dxfId="4190" priority="384">
      <formula>Y$9&lt;8/24</formula>
    </cfRule>
  </conditionalFormatting>
  <conditionalFormatting sqref="C109 C111:C116 AD17:AF26">
    <cfRule type="expression" dxfId="4189" priority="377">
      <formula>C$9&gt;=20/24</formula>
    </cfRule>
    <cfRule type="expression" dxfId="4188" priority="378">
      <formula>AND(C$9&gt;=14/24,C$9&lt;20/24)</formula>
    </cfRule>
    <cfRule type="expression" dxfId="4187" priority="379">
      <formula>AND(C$9&gt;=8/24,C$9&lt;14/24)</formula>
    </cfRule>
    <cfRule type="expression" dxfId="4186" priority="380">
      <formula>C$9&lt;8/24</formula>
    </cfRule>
  </conditionalFormatting>
  <conditionalFormatting sqref="C47:S47">
    <cfRule type="expression" dxfId="4185" priority="373">
      <formula>C$9&gt;=20/24</formula>
    </cfRule>
    <cfRule type="expression" dxfId="4184" priority="374">
      <formula>AND(C$9&gt;=14/24,C$9&lt;20/24)</formula>
    </cfRule>
    <cfRule type="expression" dxfId="4183" priority="375">
      <formula>AND(C$9&gt;=8/24,C$9&lt;14/24)</formula>
    </cfRule>
    <cfRule type="expression" dxfId="4182" priority="376">
      <formula>C$9&lt;8/24</formula>
    </cfRule>
  </conditionalFormatting>
  <conditionalFormatting sqref="C47:S47 AD17:AF26">
    <cfRule type="expression" dxfId="4181" priority="372">
      <formula>C17&gt;$AG17</formula>
    </cfRule>
  </conditionalFormatting>
  <conditionalFormatting sqref="C99:L99">
    <cfRule type="expression" dxfId="4180" priority="368">
      <formula>C$9&gt;=20/24</formula>
    </cfRule>
    <cfRule type="expression" dxfId="4179" priority="369">
      <formula>AND(C$9&gt;=14/24,C$9&lt;20/24)</formula>
    </cfRule>
    <cfRule type="expression" dxfId="4178" priority="370">
      <formula>AND(C$9&gt;=8/24,C$9&lt;14/24)</formula>
    </cfRule>
    <cfRule type="expression" dxfId="4177" priority="371">
      <formula>C$9&lt;8/24</formula>
    </cfRule>
  </conditionalFormatting>
  <conditionalFormatting sqref="C86 M67:P69 AA75:AF75 C96:W96 C83:Y85 D100:L106 M74:Y75 AA83:AF85 AC76:AF76">
    <cfRule type="expression" dxfId="4176" priority="364">
      <formula>C$9&gt;=20/24</formula>
    </cfRule>
    <cfRule type="expression" dxfId="4175" priority="365">
      <formula>AND(C$9&gt;=14/24,C$9&lt;20/24)</formula>
    </cfRule>
    <cfRule type="expression" dxfId="4174" priority="366">
      <formula>AND(C$9&gt;=8/24,C$9&lt;14/24)</formula>
    </cfRule>
    <cfRule type="expression" dxfId="4173" priority="367">
      <formula>C$9&lt;8/24</formula>
    </cfRule>
  </conditionalFormatting>
  <conditionalFormatting sqref="M67:P69">
    <cfRule type="expression" dxfId="4172" priority="363">
      <formula>M67&gt;$AG67</formula>
    </cfRule>
  </conditionalFormatting>
  <conditionalFormatting sqref="B71:L71 B54:L57">
    <cfRule type="expression" dxfId="4171" priority="282">
      <formula>B$9&gt;=20/24</formula>
    </cfRule>
    <cfRule type="expression" dxfId="4170" priority="283">
      <formula>AND(B$9&gt;=14/24,B$9&lt;20/24)</formula>
    </cfRule>
    <cfRule type="expression" dxfId="4169" priority="284">
      <formula>AND(B$9&gt;=8/24,B$9&lt;14/24)</formula>
    </cfRule>
    <cfRule type="expression" dxfId="4168" priority="285">
      <formula>B$9&lt;8/24</formula>
    </cfRule>
  </conditionalFormatting>
  <conditionalFormatting sqref="S46:Y46 AA46:AF46">
    <cfRule type="expression" dxfId="4167" priority="354">
      <formula>S$9&gt;=20/24</formula>
    </cfRule>
    <cfRule type="expression" dxfId="4166" priority="355">
      <formula>AND(S$9&gt;=14/24,S$9&lt;20/24)</formula>
    </cfRule>
    <cfRule type="expression" dxfId="4165" priority="356">
      <formula>AND(S$9&gt;=8/24,S$9&lt;14/24)</formula>
    </cfRule>
    <cfRule type="expression" dxfId="4164" priority="357">
      <formula>S$9&lt;8/24</formula>
    </cfRule>
  </conditionalFormatting>
  <conditionalFormatting sqref="S46:Y46 AA46:AF46">
    <cfRule type="expression" dxfId="4163" priority="353">
      <formula>S46&gt;$AG46</formula>
    </cfRule>
  </conditionalFormatting>
  <conditionalFormatting sqref="C87:Y87 C89:Y89 C98:Y98 C70:Y70 AA70:AF70 AA98:AF98 AA89:AF89 AA87:AF87">
    <cfRule type="expression" dxfId="4162" priority="349">
      <formula>C$9&gt;=20/24</formula>
    </cfRule>
    <cfRule type="expression" dxfId="4161" priority="350">
      <formula>AND(C$9&gt;=14/24,C$9&lt;20/24)</formula>
    </cfRule>
    <cfRule type="expression" dxfId="4160" priority="351">
      <formula>AND(C$9&gt;=8/24,C$9&lt;14/24)</formula>
    </cfRule>
    <cfRule type="expression" dxfId="4159" priority="352">
      <formula>C$9&lt;8/24</formula>
    </cfRule>
  </conditionalFormatting>
  <conditionalFormatting sqref="C70:Y70 C65:Y66 C48:Y48 AA48:AF48 AA65:AF66 AA70:AF70">
    <cfRule type="expression" dxfId="4158" priority="348">
      <formula>C48&gt;$AG48</formula>
    </cfRule>
  </conditionalFormatting>
  <conditionalFormatting sqref="C82:Y82 AA82:AF82">
    <cfRule type="expression" dxfId="4157" priority="344">
      <formula>C$9&gt;=20/24</formula>
    </cfRule>
    <cfRule type="expression" dxfId="4156" priority="345">
      <formula>AND(C$9&gt;=14/24,C$9&lt;20/24)</formula>
    </cfRule>
    <cfRule type="expression" dxfId="4155" priority="346">
      <formula>AND(C$9&gt;=8/24,C$9&lt;14/24)</formula>
    </cfRule>
    <cfRule type="expression" dxfId="4154" priority="347">
      <formula>C$9&lt;8/24</formula>
    </cfRule>
  </conditionalFormatting>
  <conditionalFormatting sqref="C91:W95">
    <cfRule type="expression" dxfId="4153" priority="340">
      <formula>C$9&gt;=20/24</formula>
    </cfRule>
    <cfRule type="expression" dxfId="4152" priority="341">
      <formula>AND(C$9&gt;=14/24,C$9&lt;20/24)</formula>
    </cfRule>
    <cfRule type="expression" dxfId="4151" priority="342">
      <formula>AND(C$9&gt;=8/24,C$9&lt;14/24)</formula>
    </cfRule>
    <cfRule type="expression" dxfId="4150" priority="343">
      <formula>C$9&lt;8/24</formula>
    </cfRule>
  </conditionalFormatting>
  <conditionalFormatting sqref="C52:Y52 AA52:AF52">
    <cfRule type="expression" dxfId="4149" priority="336">
      <formula>C$9&gt;=20/24</formula>
    </cfRule>
    <cfRule type="expression" dxfId="4148" priority="337">
      <formula>AND(C$9&gt;=14/24,C$9&lt;20/24)</formula>
    </cfRule>
    <cfRule type="expression" dxfId="4147" priority="338">
      <formula>AND(C$9&gt;=8/24,C$9&lt;14/24)</formula>
    </cfRule>
    <cfRule type="expression" dxfId="4146" priority="339">
      <formula>C$9&lt;8/24</formula>
    </cfRule>
  </conditionalFormatting>
  <conditionalFormatting sqref="C52:Y52 AA52:AF52">
    <cfRule type="expression" dxfId="4145" priority="335">
      <formula>C52&gt;$AG52</formula>
    </cfRule>
  </conditionalFormatting>
  <conditionalFormatting sqref="B49:L51">
    <cfRule type="expression" dxfId="4144" priority="250">
      <formula>B$9&gt;=20/24</formula>
    </cfRule>
    <cfRule type="expression" dxfId="4143" priority="251">
      <formula>AND(B$9&gt;=14/24,B$9&lt;20/24)</formula>
    </cfRule>
    <cfRule type="expression" dxfId="4142" priority="252">
      <formula>AND(B$9&gt;=8/24,B$9&lt;14/24)</formula>
    </cfRule>
    <cfRule type="expression" dxfId="4141" priority="253">
      <formula>B$9&lt;8/24</formula>
    </cfRule>
  </conditionalFormatting>
  <conditionalFormatting sqref="C110">
    <cfRule type="expression" dxfId="4140" priority="327">
      <formula>C$9&gt;=20/24</formula>
    </cfRule>
    <cfRule type="expression" dxfId="4139" priority="328">
      <formula>AND(C$9&gt;=14/24,C$9&lt;20/24)</formula>
    </cfRule>
    <cfRule type="expression" dxfId="4138" priority="329">
      <formula>AND(C$9&gt;=8/24,C$9&lt;14/24)</formula>
    </cfRule>
    <cfRule type="expression" dxfId="4137" priority="330">
      <formula>C$9&lt;8/24</formula>
    </cfRule>
  </conditionalFormatting>
  <conditionalFormatting sqref="M59:Y64 AD59:AF64">
    <cfRule type="expression" dxfId="4136" priority="323">
      <formula>M$9&gt;=20/24</formula>
    </cfRule>
    <cfRule type="expression" dxfId="4135" priority="324">
      <formula>AND(M$9&gt;=14/24,M$9&lt;20/24)</formula>
    </cfRule>
    <cfRule type="expression" dxfId="4134" priority="325">
      <formula>AND(M$9&gt;=8/24,M$9&lt;14/24)</formula>
    </cfRule>
    <cfRule type="expression" dxfId="4133" priority="326">
      <formula>M$9&lt;8/24</formula>
    </cfRule>
  </conditionalFormatting>
  <conditionalFormatting sqref="M59:Y64 AD59:AF64">
    <cfRule type="expression" dxfId="4132" priority="322">
      <formula>M59&gt;$AG59</formula>
    </cfRule>
  </conditionalFormatting>
  <conditionalFormatting sqref="AD13:AF15">
    <cfRule type="expression" dxfId="4131" priority="321">
      <formula>AD13&gt;$AG13</formula>
    </cfRule>
  </conditionalFormatting>
  <conditionalFormatting sqref="AD12:AF12">
    <cfRule type="expression" dxfId="4130" priority="317">
      <formula>AD$9&gt;=20/24</formula>
    </cfRule>
    <cfRule type="expression" dxfId="4129" priority="318">
      <formula>AND(AD$9&gt;=14/24,AD$9&lt;20/24)</formula>
    </cfRule>
    <cfRule type="expression" dxfId="4128" priority="319">
      <formula>AND(AD$9&gt;=8/24,AD$9&lt;14/24)</formula>
    </cfRule>
    <cfRule type="expression" dxfId="4127" priority="320">
      <formula>AD$9&lt;8/24</formula>
    </cfRule>
  </conditionalFormatting>
  <conditionalFormatting sqref="AD12:AF12">
    <cfRule type="expression" dxfId="4126" priority="316">
      <formula>AD12&gt;$AG12</formula>
    </cfRule>
  </conditionalFormatting>
  <conditionalFormatting sqref="AD13:AF15">
    <cfRule type="expression" dxfId="4125" priority="312">
      <formula>AD$9&gt;=20/24</formula>
    </cfRule>
    <cfRule type="expression" dxfId="4124" priority="313">
      <formula>AND(AD$9&gt;=14/24,AD$9&lt;20/24)</formula>
    </cfRule>
    <cfRule type="expression" dxfId="4123" priority="314">
      <formula>AND(AD$9&gt;=8/24,AD$9&lt;14/24)</formula>
    </cfRule>
    <cfRule type="expression" dxfId="4122" priority="315">
      <formula>AD$9&lt;8/24</formula>
    </cfRule>
  </conditionalFormatting>
  <conditionalFormatting sqref="AC77:AF81">
    <cfRule type="expression" dxfId="4121" priority="304">
      <formula>AC$9&gt;=20/24</formula>
    </cfRule>
    <cfRule type="expression" dxfId="4120" priority="305">
      <formula>AND(AC$9&gt;=14/24,AC$9&lt;20/24)</formula>
    </cfRule>
    <cfRule type="expression" dxfId="4119" priority="306">
      <formula>AND(AC$9&gt;=8/24,AC$9&lt;14/24)</formula>
    </cfRule>
    <cfRule type="expression" dxfId="4118" priority="307">
      <formula>AC$9&lt;8/24</formula>
    </cfRule>
  </conditionalFormatting>
  <conditionalFormatting sqref="AL78:AN78 AL84:AN84 AN79:AN80">
    <cfRule type="expression" dxfId="4117" priority="300">
      <formula>AL$9&gt;=20/24</formula>
    </cfRule>
    <cfRule type="expression" dxfId="4116" priority="301">
      <formula>AND(AL$9&gt;=14/24,AL$9&lt;20/24)</formula>
    </cfRule>
    <cfRule type="expression" dxfId="4115" priority="302">
      <formula>AND(AL$9&gt;=8/24,AL$9&lt;14/24)</formula>
    </cfRule>
    <cfRule type="expression" dxfId="4114" priority="303">
      <formula>AL$9&lt;8/24</formula>
    </cfRule>
  </conditionalFormatting>
  <conditionalFormatting sqref="AN81:AN82">
    <cfRule type="expression" dxfId="4113" priority="296">
      <formula>AN$9&gt;=20/24</formula>
    </cfRule>
    <cfRule type="expression" dxfId="4112" priority="297">
      <formula>AND(AN$9&gt;=14/24,AN$9&lt;20/24)</formula>
    </cfRule>
    <cfRule type="expression" dxfId="4111" priority="298">
      <formula>AND(AN$9&gt;=8/24,AN$9&lt;14/24)</formula>
    </cfRule>
    <cfRule type="expression" dxfId="4110" priority="299">
      <formula>AN$9&lt;8/24</formula>
    </cfRule>
  </conditionalFormatting>
  <conditionalFormatting sqref="AL79:AM83">
    <cfRule type="expression" dxfId="4109" priority="518">
      <formula>AJ$9&gt;=20/24</formula>
    </cfRule>
    <cfRule type="expression" dxfId="4108" priority="519">
      <formula>AND(AJ$9&gt;=14/24,AJ$9&lt;20/24)</formula>
    </cfRule>
    <cfRule type="expression" dxfId="4107" priority="520">
      <formula>AND(AJ$9&gt;=8/24,AJ$9&lt;14/24)</formula>
    </cfRule>
    <cfRule type="expression" dxfId="4106" priority="521">
      <formula>AJ$9&lt;8/24</formula>
    </cfRule>
  </conditionalFormatting>
  <conditionalFormatting sqref="A117">
    <cfRule type="expression" dxfId="4105" priority="295">
      <formula>$AH117=0</formula>
    </cfRule>
  </conditionalFormatting>
  <conditionalFormatting sqref="B109 B111:B116 B12:Y15 B17:Y32 B34:Y43 B45:Y45">
    <cfRule type="expression" dxfId="4104" priority="291">
      <formula>B$9&gt;=20/24</formula>
    </cfRule>
    <cfRule type="expression" dxfId="4103" priority="292">
      <formula>AND(B$9&gt;=14/24,B$9&lt;20/24)</formula>
    </cfRule>
    <cfRule type="expression" dxfId="4102" priority="293">
      <formula>AND(B$9&gt;=8/24,B$9&lt;14/24)</formula>
    </cfRule>
    <cfRule type="expression" dxfId="4101" priority="294">
      <formula>B$9&lt;8/24</formula>
    </cfRule>
  </conditionalFormatting>
  <conditionalFormatting sqref="B12:Y15 B17:Y32 B34:Y43 B45:Y45">
    <cfRule type="expression" dxfId="4100" priority="290">
      <formula>B12&gt;$AG12</formula>
    </cfRule>
  </conditionalFormatting>
  <conditionalFormatting sqref="B99">
    <cfRule type="expression" dxfId="4099" priority="286">
      <formula>B$9&gt;=20/24</formula>
    </cfRule>
    <cfRule type="expression" dxfId="4098" priority="287">
      <formula>AND(B$9&gt;=14/24,B$9&lt;20/24)</formula>
    </cfRule>
    <cfRule type="expression" dxfId="4097" priority="288">
      <formula>AND(B$9&gt;=8/24,B$9&lt;14/24)</formula>
    </cfRule>
    <cfRule type="expression" dxfId="4096" priority="289">
      <formula>B$9&lt;8/24</formula>
    </cfRule>
  </conditionalFormatting>
  <conditionalFormatting sqref="B53:L53">
    <cfRule type="expression" dxfId="4095" priority="278">
      <formula>B$9&gt;=20/24</formula>
    </cfRule>
    <cfRule type="expression" dxfId="4094" priority="279">
      <formula>AND(B$9&gt;=14/24,B$9&lt;20/24)</formula>
    </cfRule>
    <cfRule type="expression" dxfId="4093" priority="280">
      <formula>AND(B$9&gt;=8/24,B$9&lt;14/24)</formula>
    </cfRule>
    <cfRule type="expression" dxfId="4092" priority="281">
      <formula>B$9&lt;8/24</formula>
    </cfRule>
  </conditionalFormatting>
  <conditionalFormatting sqref="B53:L57">
    <cfRule type="expression" dxfId="4091" priority="277">
      <formula>B53&gt;$AG53</formula>
    </cfRule>
  </conditionalFormatting>
  <conditionalFormatting sqref="B96 B86 B47 B100:C106 B67:L69 B72:L74">
    <cfRule type="expression" dxfId="4090" priority="273">
      <formula>B$9&gt;=20/24</formula>
    </cfRule>
    <cfRule type="expression" dxfId="4089" priority="274">
      <formula>AND(B$9&gt;=14/24,B$9&lt;20/24)</formula>
    </cfRule>
    <cfRule type="expression" dxfId="4088" priority="275">
      <formula>AND(B$9&gt;=8/24,B$9&lt;14/24)</formula>
    </cfRule>
    <cfRule type="expression" dxfId="4087" priority="276">
      <formula>B$9&lt;8/24</formula>
    </cfRule>
  </conditionalFormatting>
  <conditionalFormatting sqref="B47 B67:L69">
    <cfRule type="expression" dxfId="4086" priority="272">
      <formula>B47&gt;$AG47</formula>
    </cfRule>
  </conditionalFormatting>
  <conditionalFormatting sqref="B97 B88:C88">
    <cfRule type="expression" dxfId="4085" priority="268">
      <formula>B$9&gt;=20/24</formula>
    </cfRule>
    <cfRule type="expression" dxfId="4084" priority="269">
      <formula>AND(B$9&gt;=14/24,B$9&lt;20/24)</formula>
    </cfRule>
    <cfRule type="expression" dxfId="4083" priority="270">
      <formula>AND(B$9&gt;=8/24,B$9&lt;14/24)</formula>
    </cfRule>
    <cfRule type="expression" dxfId="4082" priority="271">
      <formula>B$9&lt;8/24</formula>
    </cfRule>
  </conditionalFormatting>
  <conditionalFormatting sqref="B46:R46">
    <cfRule type="expression" dxfId="4081" priority="264">
      <formula>B$9&gt;=20/24</formula>
    </cfRule>
    <cfRule type="expression" dxfId="4080" priority="265">
      <formula>AND(B$9&gt;=14/24,B$9&lt;20/24)</formula>
    </cfRule>
    <cfRule type="expression" dxfId="4079" priority="266">
      <formula>AND(B$9&gt;=8/24,B$9&lt;14/24)</formula>
    </cfRule>
    <cfRule type="expression" dxfId="4078" priority="267">
      <formula>B$9&lt;8/24</formula>
    </cfRule>
  </conditionalFormatting>
  <conditionalFormatting sqref="B46:R46">
    <cfRule type="expression" dxfId="4077" priority="263">
      <formula>B46&gt;$AG46</formula>
    </cfRule>
  </conditionalFormatting>
  <conditionalFormatting sqref="B58:L58">
    <cfRule type="expression" dxfId="4076" priority="259">
      <formula>B$9&gt;=20/24</formula>
    </cfRule>
    <cfRule type="expression" dxfId="4075" priority="260">
      <formula>AND(B$9&gt;=14/24,B$9&lt;20/24)</formula>
    </cfRule>
    <cfRule type="expression" dxfId="4074" priority="261">
      <formula>AND(B$9&gt;=8/24,B$9&lt;14/24)</formula>
    </cfRule>
    <cfRule type="expression" dxfId="4073" priority="262">
      <formula>B$9&lt;8/24</formula>
    </cfRule>
  </conditionalFormatting>
  <conditionalFormatting sqref="B58:L58">
    <cfRule type="expression" dxfId="4072" priority="258">
      <formula>B58&gt;$AG58</formula>
    </cfRule>
  </conditionalFormatting>
  <conditionalFormatting sqref="B91:B95">
    <cfRule type="expression" dxfId="4071" priority="254">
      <formula>B$9&gt;=20/24</formula>
    </cfRule>
    <cfRule type="expression" dxfId="4070" priority="255">
      <formula>AND(B$9&gt;=14/24,B$9&lt;20/24)</formula>
    </cfRule>
    <cfRule type="expression" dxfId="4069" priority="256">
      <formula>AND(B$9&gt;=8/24,B$9&lt;14/24)</formula>
    </cfRule>
    <cfRule type="expression" dxfId="4068" priority="257">
      <formula>B$9&lt;8/24</formula>
    </cfRule>
  </conditionalFormatting>
  <conditionalFormatting sqref="B49:L51">
    <cfRule type="expression" dxfId="4067" priority="249">
      <formula>B49&gt;$AG49</formula>
    </cfRule>
  </conditionalFormatting>
  <conditionalFormatting sqref="B107">
    <cfRule type="expression" dxfId="4066" priority="245">
      <formula>B$9&gt;=20/24</formula>
    </cfRule>
    <cfRule type="expression" dxfId="4065" priority="246">
      <formula>AND(B$9&gt;=14/24,B$9&lt;20/24)</formula>
    </cfRule>
    <cfRule type="expression" dxfId="4064" priority="247">
      <formula>AND(B$9&gt;=8/24,B$9&lt;14/24)</formula>
    </cfRule>
    <cfRule type="expression" dxfId="4063" priority="248">
      <formula>B$9&lt;8/24</formula>
    </cfRule>
  </conditionalFormatting>
  <conditionalFormatting sqref="B110">
    <cfRule type="expression" dxfId="4062" priority="241">
      <formula>B$9&gt;=20/24</formula>
    </cfRule>
    <cfRule type="expression" dxfId="4061" priority="242">
      <formula>AND(B$9&gt;=14/24,B$9&lt;20/24)</formula>
    </cfRule>
    <cfRule type="expression" dxfId="4060" priority="243">
      <formula>AND(B$9&gt;=8/24,B$9&lt;14/24)</formula>
    </cfRule>
    <cfRule type="expression" dxfId="4059" priority="244">
      <formula>B$9&lt;8/24</formula>
    </cfRule>
  </conditionalFormatting>
  <conditionalFormatting sqref="B83:B85 B75:L76 M76:Y76">
    <cfRule type="expression" dxfId="4058" priority="237">
      <formula>B$9&gt;=20/24</formula>
    </cfRule>
    <cfRule type="expression" dxfId="4057" priority="238">
      <formula>AND(B$9&gt;=14/24,B$9&lt;20/24)</formula>
    </cfRule>
    <cfRule type="expression" dxfId="4056" priority="239">
      <formula>AND(B$9&gt;=8/24,B$9&lt;14/24)</formula>
    </cfRule>
    <cfRule type="expression" dxfId="4055" priority="240">
      <formula>B$9&lt;8/24</formula>
    </cfRule>
  </conditionalFormatting>
  <conditionalFormatting sqref="B89 B98 B70 B87">
    <cfRule type="expression" dxfId="4054" priority="233">
      <formula>B$9&gt;=20/24</formula>
    </cfRule>
    <cfRule type="expression" dxfId="4053" priority="234">
      <formula>AND(B$9&gt;=14/24,B$9&lt;20/24)</formula>
    </cfRule>
    <cfRule type="expression" dxfId="4052" priority="235">
      <formula>AND(B$9&gt;=8/24,B$9&lt;14/24)</formula>
    </cfRule>
    <cfRule type="expression" dxfId="4051" priority="236">
      <formula>B$9&lt;8/24</formula>
    </cfRule>
  </conditionalFormatting>
  <conditionalFormatting sqref="B48 B65:B66 B70">
    <cfRule type="expression" dxfId="4050" priority="232">
      <formula>B48&gt;$AG48</formula>
    </cfRule>
  </conditionalFormatting>
  <conditionalFormatting sqref="B82">
    <cfRule type="expression" dxfId="4049" priority="228">
      <formula>B$9&gt;=20/24</formula>
    </cfRule>
    <cfRule type="expression" dxfId="4048" priority="229">
      <formula>AND(B$9&gt;=14/24,B$9&lt;20/24)</formula>
    </cfRule>
    <cfRule type="expression" dxfId="4047" priority="230">
      <formula>AND(B$9&gt;=8/24,B$9&lt;14/24)</formula>
    </cfRule>
    <cfRule type="expression" dxfId="4046" priority="231">
      <formula>B$9&lt;8/24</formula>
    </cfRule>
  </conditionalFormatting>
  <conditionalFormatting sqref="B52">
    <cfRule type="expression" dxfId="4045" priority="224">
      <formula>B$9&gt;=20/24</formula>
    </cfRule>
    <cfRule type="expression" dxfId="4044" priority="225">
      <formula>AND(B$9&gt;=14/24,B$9&lt;20/24)</formula>
    </cfRule>
    <cfRule type="expression" dxfId="4043" priority="226">
      <formula>AND(B$9&gt;=8/24,B$9&lt;14/24)</formula>
    </cfRule>
    <cfRule type="expression" dxfId="4042" priority="227">
      <formula>B$9&lt;8/24</formula>
    </cfRule>
  </conditionalFormatting>
  <conditionalFormatting sqref="B52">
    <cfRule type="expression" dxfId="4041" priority="223">
      <formula>B52&gt;$AG52</formula>
    </cfRule>
  </conditionalFormatting>
  <conditionalFormatting sqref="B59:L64">
    <cfRule type="expression" dxfId="4040" priority="215">
      <formula>B$9&gt;=20/24</formula>
    </cfRule>
    <cfRule type="expression" dxfId="4039" priority="216">
      <formula>AND(B$9&gt;=14/24,B$9&lt;20/24)</formula>
    </cfRule>
    <cfRule type="expression" dxfId="4038" priority="217">
      <formula>AND(B$9&gt;=8/24,B$9&lt;14/24)</formula>
    </cfRule>
    <cfRule type="expression" dxfId="4037" priority="218">
      <formula>B$9&lt;8/24</formula>
    </cfRule>
  </conditionalFormatting>
  <conditionalFormatting sqref="B59:L64">
    <cfRule type="expression" dxfId="4036" priority="214">
      <formula>B59&gt;$AG59</formula>
    </cfRule>
  </conditionalFormatting>
  <conditionalFormatting sqref="B77:Y81">
    <cfRule type="expression" dxfId="4035" priority="210">
      <formula>B$9&gt;=20/24</formula>
    </cfRule>
    <cfRule type="expression" dxfId="4034" priority="211">
      <formula>AND(B$9&gt;=14/24,B$9&lt;20/24)</formula>
    </cfRule>
    <cfRule type="expression" dxfId="4033" priority="212">
      <formula>AND(B$9&gt;=8/24,B$9&lt;14/24)</formula>
    </cfRule>
    <cfRule type="expression" dxfId="4032" priority="213">
      <formula>B$9&lt;8/24</formula>
    </cfRule>
  </conditionalFormatting>
  <conditionalFormatting sqref="A11">
    <cfRule type="expression" dxfId="4031" priority="209">
      <formula>$AH11=0</formula>
    </cfRule>
  </conditionalFormatting>
  <conditionalFormatting sqref="AD11:AF11">
    <cfRule type="expression" dxfId="4030" priority="205">
      <formula>AD$9&gt;=20/24</formula>
    </cfRule>
    <cfRule type="expression" dxfId="4029" priority="206">
      <formula>AND(AD$9&gt;=14/24,AD$9&lt;20/24)</formula>
    </cfRule>
    <cfRule type="expression" dxfId="4028" priority="207">
      <formula>AND(AD$9&gt;=8/24,AD$9&lt;14/24)</formula>
    </cfRule>
    <cfRule type="expression" dxfId="4027" priority="208">
      <formula>AD$9&lt;8/24</formula>
    </cfRule>
  </conditionalFormatting>
  <conditionalFormatting sqref="AD11:AF11">
    <cfRule type="expression" dxfId="4026" priority="204">
      <formula>AD11&gt;$AG11</formula>
    </cfRule>
  </conditionalFormatting>
  <conditionalFormatting sqref="B11:Y11">
    <cfRule type="expression" dxfId="4025" priority="200">
      <formula>B$9&gt;=20/24</formula>
    </cfRule>
    <cfRule type="expression" dxfId="4024" priority="201">
      <formula>AND(B$9&gt;=14/24,B$9&lt;20/24)</formula>
    </cfRule>
    <cfRule type="expression" dxfId="4023" priority="202">
      <formula>AND(B$9&gt;=8/24,B$9&lt;14/24)</formula>
    </cfRule>
    <cfRule type="expression" dxfId="4022" priority="203">
      <formula>B$9&lt;8/24</formula>
    </cfRule>
  </conditionalFormatting>
  <conditionalFormatting sqref="B11:Y11">
    <cfRule type="expression" dxfId="4021" priority="199">
      <formula>B11&gt;$AG11</formula>
    </cfRule>
  </conditionalFormatting>
  <conditionalFormatting sqref="A16">
    <cfRule type="expression" dxfId="4020" priority="197">
      <formula>$AH16=0</formula>
    </cfRule>
  </conditionalFormatting>
  <conditionalFormatting sqref="AL16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D16:AF16">
    <cfRule type="expression" dxfId="4019" priority="193">
      <formula>AD$9&gt;=20/24</formula>
    </cfRule>
    <cfRule type="expression" dxfId="4018" priority="194">
      <formula>AND(AD$9&gt;=14/24,AD$9&lt;20/24)</formula>
    </cfRule>
    <cfRule type="expression" dxfId="4017" priority="195">
      <formula>AND(AD$9&gt;=8/24,AD$9&lt;14/24)</formula>
    </cfRule>
    <cfRule type="expression" dxfId="4016" priority="196">
      <formula>AD$9&lt;8/24</formula>
    </cfRule>
  </conditionalFormatting>
  <conditionalFormatting sqref="AD16:AF16">
    <cfRule type="expression" dxfId="4015" priority="192">
      <formula>AD16&gt;$AG16</formula>
    </cfRule>
  </conditionalFormatting>
  <conditionalFormatting sqref="B16:Y16">
    <cfRule type="expression" dxfId="4014" priority="188">
      <formula>B$9&gt;=20/24</formula>
    </cfRule>
    <cfRule type="expression" dxfId="4013" priority="189">
      <formula>AND(B$9&gt;=14/24,B$9&lt;20/24)</formula>
    </cfRule>
    <cfRule type="expression" dxfId="4012" priority="190">
      <formula>AND(B$9&gt;=8/24,B$9&lt;14/24)</formula>
    </cfRule>
    <cfRule type="expression" dxfId="4011" priority="191">
      <formula>B$9&lt;8/24</formula>
    </cfRule>
  </conditionalFormatting>
  <conditionalFormatting sqref="B16:Y16">
    <cfRule type="expression" dxfId="4010" priority="187">
      <formula>B16&gt;$AG16</formula>
    </cfRule>
  </conditionalFormatting>
  <conditionalFormatting sqref="A33">
    <cfRule type="expression" dxfId="4009" priority="185">
      <formula>$AH33=0</formula>
    </cfRule>
  </conditionalFormatting>
  <conditionalFormatting sqref="AL33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B33:Y33">
    <cfRule type="expression" dxfId="4008" priority="176">
      <formula>B$9&gt;=20/24</formula>
    </cfRule>
    <cfRule type="expression" dxfId="4007" priority="177">
      <formula>AND(B$9&gt;=14/24,B$9&lt;20/24)</formula>
    </cfRule>
    <cfRule type="expression" dxfId="4006" priority="178">
      <formula>AND(B$9&gt;=8/24,B$9&lt;14/24)</formula>
    </cfRule>
    <cfRule type="expression" dxfId="4005" priority="179">
      <formula>B$9&lt;8/24</formula>
    </cfRule>
  </conditionalFormatting>
  <conditionalFormatting sqref="B33:Y33">
    <cfRule type="expression" dxfId="4004" priority="175">
      <formula>B33&gt;$AG33</formula>
    </cfRule>
  </conditionalFormatting>
  <conditionalFormatting sqref="A44">
    <cfRule type="expression" dxfId="4003" priority="173">
      <formula>$AH44=0</formula>
    </cfRule>
  </conditionalFormatting>
  <conditionalFormatting sqref="AL44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B44:Y44">
    <cfRule type="expression" dxfId="4002" priority="164">
      <formula>B$9&gt;=20/24</formula>
    </cfRule>
    <cfRule type="expression" dxfId="4001" priority="165">
      <formula>AND(B$9&gt;=14/24,B$9&lt;20/24)</formula>
    </cfRule>
    <cfRule type="expression" dxfId="4000" priority="166">
      <formula>AND(B$9&gt;=8/24,B$9&lt;14/24)</formula>
    </cfRule>
    <cfRule type="expression" dxfId="3999" priority="167">
      <formula>B$9&lt;8/24</formula>
    </cfRule>
  </conditionalFormatting>
  <conditionalFormatting sqref="B44:Y44">
    <cfRule type="expression" dxfId="3998" priority="163">
      <formula>B44&gt;$AG44</formula>
    </cfRule>
  </conditionalFormatting>
  <conditionalFormatting sqref="B117">
    <cfRule type="expression" dxfId="3997" priority="151">
      <formula>B$9&gt;=20/24</formula>
    </cfRule>
    <cfRule type="expression" dxfId="3996" priority="152">
      <formula>AND(B$9&gt;=14/24,B$9&lt;20/24)</formula>
    </cfRule>
    <cfRule type="expression" dxfId="3995" priority="153">
      <formula>AND(B$9&gt;=8/24,B$9&lt;14/24)</formula>
    </cfRule>
    <cfRule type="expression" dxfId="3994" priority="154">
      <formula>B$9&lt;8/24</formula>
    </cfRule>
  </conditionalFormatting>
  <conditionalFormatting sqref="D117:Y117 AA117:AF117">
    <cfRule type="expression" dxfId="3993" priority="159">
      <formula>D$9&gt;=20/24</formula>
    </cfRule>
    <cfRule type="expression" dxfId="3992" priority="160">
      <formula>AND(D$9&gt;=14/24,D$9&lt;20/24)</formula>
    </cfRule>
    <cfRule type="expression" dxfId="3991" priority="161">
      <formula>AND(D$9&gt;=8/24,D$9&lt;14/24)</formula>
    </cfRule>
    <cfRule type="expression" dxfId="3990" priority="162">
      <formula>D$9&lt;8/24</formula>
    </cfRule>
  </conditionalFormatting>
  <conditionalFormatting sqref="C117">
    <cfRule type="expression" dxfId="3989" priority="155">
      <formula>C$9&gt;=20/24</formula>
    </cfRule>
    <cfRule type="expression" dxfId="3988" priority="156">
      <formula>AND(C$9&gt;=14/24,C$9&lt;20/24)</formula>
    </cfRule>
    <cfRule type="expression" dxfId="3987" priority="157">
      <formula>AND(C$9&gt;=8/24,C$9&lt;14/24)</formula>
    </cfRule>
    <cfRule type="expression" dxfId="3986" priority="158">
      <formula>C$9&lt;8/24</formula>
    </cfRule>
  </conditionalFormatting>
  <conditionalFormatting sqref="Z109 Z111:Z116">
    <cfRule type="expression" dxfId="3985" priority="113">
      <formula>Z$9&gt;=20/24</formula>
    </cfRule>
    <cfRule type="expression" dxfId="3984" priority="114">
      <formula>AND(Z$9&gt;=14/24,Z$9&lt;20/24)</formula>
    </cfRule>
    <cfRule type="expression" dxfId="3983" priority="115">
      <formula>AND(Z$9&gt;=8/24,Z$9&lt;14/24)</formula>
    </cfRule>
    <cfRule type="expression" dxfId="3982" priority="116">
      <formula>Z$9&lt;8/24</formula>
    </cfRule>
  </conditionalFormatting>
  <conditionalFormatting sqref="Z71">
    <cfRule type="expression" dxfId="3981" priority="109">
      <formula>Z$9&gt;=20/24</formula>
    </cfRule>
    <cfRule type="expression" dxfId="3980" priority="110">
      <formula>AND(Z$9&gt;=14/24,Z$9&lt;20/24)</formula>
    </cfRule>
    <cfRule type="expression" dxfId="3979" priority="111">
      <formula>AND(Z$9&gt;=8/24,Z$9&lt;14/24)</formula>
    </cfRule>
    <cfRule type="expression" dxfId="3978" priority="112">
      <formula>Z$9&lt;8/24</formula>
    </cfRule>
  </conditionalFormatting>
  <conditionalFormatting sqref="Z96 Z72:Z73 Z47 Z86 Z67:AB69">
    <cfRule type="expression" dxfId="3977" priority="105">
      <formula>Z$9&gt;=20/24</formula>
    </cfRule>
    <cfRule type="expression" dxfId="3976" priority="106">
      <formula>AND(Z$9&gt;=14/24,Z$9&lt;20/24)</formula>
    </cfRule>
    <cfRule type="expression" dxfId="3975" priority="107">
      <formula>AND(Z$9&gt;=8/24,Z$9&lt;14/24)</formula>
    </cfRule>
    <cfRule type="expression" dxfId="3974" priority="108">
      <formula>Z$9&lt;8/24</formula>
    </cfRule>
  </conditionalFormatting>
  <conditionalFormatting sqref="Z47 Z67:AB69">
    <cfRule type="expression" dxfId="3973" priority="104">
      <formula>Z47&gt;$AG47</formula>
    </cfRule>
  </conditionalFormatting>
  <conditionalFormatting sqref="Z53:Z58 AA56:AC56 AA58:AC58">
    <cfRule type="expression" dxfId="3972" priority="100">
      <formula>Z$9&gt;=20/24</formula>
    </cfRule>
    <cfRule type="expression" dxfId="3971" priority="101">
      <formula>AND(Z$9&gt;=14/24,Z$9&lt;20/24)</formula>
    </cfRule>
    <cfRule type="expression" dxfId="3970" priority="102">
      <formula>AND(Z$9&gt;=8/24,Z$9&lt;14/24)</formula>
    </cfRule>
    <cfRule type="expression" dxfId="3969" priority="103">
      <formula>Z$9&lt;8/24</formula>
    </cfRule>
  </conditionalFormatting>
  <conditionalFormatting sqref="Z53:Z58 AA56:AC56 AA58:AC58">
    <cfRule type="expression" dxfId="3968" priority="99">
      <formula>Z53&gt;$AG53</formula>
    </cfRule>
  </conditionalFormatting>
  <conditionalFormatting sqref="Z97 Z88:AA88">
    <cfRule type="expression" dxfId="3967" priority="95">
      <formula>Z$9&gt;=20/24</formula>
    </cfRule>
    <cfRule type="expression" dxfId="3966" priority="96">
      <formula>AND(Z$9&gt;=14/24,Z$9&lt;20/24)</formula>
    </cfRule>
    <cfRule type="expression" dxfId="3965" priority="97">
      <formula>AND(Z$9&gt;=8/24,Z$9&lt;14/24)</formula>
    </cfRule>
    <cfRule type="expression" dxfId="3964" priority="98">
      <formula>Z$9&lt;8/24</formula>
    </cfRule>
  </conditionalFormatting>
  <conditionalFormatting sqref="Z91:Z95">
    <cfRule type="expression" dxfId="3963" priority="91">
      <formula>Z$9&gt;=20/24</formula>
    </cfRule>
    <cfRule type="expression" dxfId="3962" priority="92">
      <formula>AND(Z$9&gt;=14/24,Z$9&lt;20/24)</formula>
    </cfRule>
    <cfRule type="expression" dxfId="3961" priority="93">
      <formula>AND(Z$9&gt;=8/24,Z$9&lt;14/24)</formula>
    </cfRule>
    <cfRule type="expression" dxfId="3960" priority="94">
      <formula>Z$9&lt;8/24</formula>
    </cfRule>
  </conditionalFormatting>
  <conditionalFormatting sqref="Z49:Z51 AA50:AC51">
    <cfRule type="expression" dxfId="3959" priority="87">
      <formula>Z$9&gt;=20/24</formula>
    </cfRule>
    <cfRule type="expression" dxfId="3958" priority="88">
      <formula>AND(Z$9&gt;=14/24,Z$9&lt;20/24)</formula>
    </cfRule>
    <cfRule type="expression" dxfId="3957" priority="89">
      <formula>AND(Z$9&gt;=8/24,Z$9&lt;14/24)</formula>
    </cfRule>
    <cfRule type="expression" dxfId="3956" priority="90">
      <formula>Z$9&lt;8/24</formula>
    </cfRule>
  </conditionalFormatting>
  <conditionalFormatting sqref="Z49:Z51 AA50:AC51">
    <cfRule type="expression" dxfId="3955" priority="86">
      <formula>Z49&gt;$AG49</formula>
    </cfRule>
  </conditionalFormatting>
  <conditionalFormatting sqref="Z107">
    <cfRule type="expression" dxfId="3954" priority="82">
      <formula>Z$9&gt;=20/24</formula>
    </cfRule>
    <cfRule type="expression" dxfId="3953" priority="83">
      <formula>AND(Z$9&gt;=14/24,Z$9&lt;20/24)</formula>
    </cfRule>
    <cfRule type="expression" dxfId="3952" priority="84">
      <formula>AND(Z$9&gt;=8/24,Z$9&lt;14/24)</formula>
    </cfRule>
    <cfRule type="expression" dxfId="3951" priority="85">
      <formula>Z$9&lt;8/24</formula>
    </cfRule>
  </conditionalFormatting>
  <conditionalFormatting sqref="Z110">
    <cfRule type="expression" dxfId="3950" priority="78">
      <formula>Z$9&gt;=20/24</formula>
    </cfRule>
    <cfRule type="expression" dxfId="3949" priority="79">
      <formula>AND(Z$9&gt;=14/24,Z$9&lt;20/24)</formula>
    </cfRule>
    <cfRule type="expression" dxfId="3948" priority="80">
      <formula>AND(Z$9&gt;=8/24,Z$9&lt;14/24)</formula>
    </cfRule>
    <cfRule type="expression" dxfId="3947" priority="81">
      <formula>Z$9&lt;8/24</formula>
    </cfRule>
  </conditionalFormatting>
  <conditionalFormatting sqref="Z99">
    <cfRule type="expression" dxfId="3946" priority="74">
      <formula>Z$9&gt;=20/24</formula>
    </cfRule>
    <cfRule type="expression" dxfId="3945" priority="75">
      <formula>AND(Z$9&gt;=14/24,Z$9&lt;20/24)</formula>
    </cfRule>
    <cfRule type="expression" dxfId="3944" priority="76">
      <formula>AND(Z$9&gt;=8/24,Z$9&lt;14/24)</formula>
    </cfRule>
    <cfRule type="expression" dxfId="3943" priority="77">
      <formula>Z$9&lt;8/24</formula>
    </cfRule>
  </conditionalFormatting>
  <conditionalFormatting sqref="Z100:Z106">
    <cfRule type="expression" dxfId="3942" priority="70">
      <formula>Z$9&gt;=20/24</formula>
    </cfRule>
    <cfRule type="expression" dxfId="3941" priority="71">
      <formula>AND(Z$9&gt;=14/24,Z$9&lt;20/24)</formula>
    </cfRule>
    <cfRule type="expression" dxfId="3940" priority="72">
      <formula>AND(Z$9&gt;=8/24,Z$9&lt;14/24)</formula>
    </cfRule>
    <cfRule type="expression" dxfId="3939" priority="73">
      <formula>Z$9&lt;8/24</formula>
    </cfRule>
  </conditionalFormatting>
  <conditionalFormatting sqref="Z83:Z85 Z74:Z75">
    <cfRule type="expression" dxfId="3938" priority="66">
      <formula>Z$9&gt;=20/24</formula>
    </cfRule>
    <cfRule type="expression" dxfId="3937" priority="67">
      <formula>AND(Z$9&gt;=14/24,Z$9&lt;20/24)</formula>
    </cfRule>
    <cfRule type="expression" dxfId="3936" priority="68">
      <formula>AND(Z$9&gt;=8/24,Z$9&lt;14/24)</formula>
    </cfRule>
    <cfRule type="expression" dxfId="3935" priority="69">
      <formula>Z$9&lt;8/24</formula>
    </cfRule>
  </conditionalFormatting>
  <conditionalFormatting sqref="Z46">
    <cfRule type="expression" dxfId="3934" priority="62">
      <formula>Z$9&gt;=20/24</formula>
    </cfRule>
    <cfRule type="expression" dxfId="3933" priority="63">
      <formula>AND(Z$9&gt;=14/24,Z$9&lt;20/24)</formula>
    </cfRule>
    <cfRule type="expression" dxfId="3932" priority="64">
      <formula>AND(Z$9&gt;=8/24,Z$9&lt;14/24)</formula>
    </cfRule>
    <cfRule type="expression" dxfId="3931" priority="65">
      <formula>Z$9&lt;8/24</formula>
    </cfRule>
  </conditionalFormatting>
  <conditionalFormatting sqref="Z46">
    <cfRule type="expression" dxfId="3930" priority="61">
      <formula>Z46&gt;$AG46</formula>
    </cfRule>
  </conditionalFormatting>
  <conditionalFormatting sqref="Z87 Z89 Z98 Z70">
    <cfRule type="expression" dxfId="3929" priority="57">
      <formula>Z$9&gt;=20/24</formula>
    </cfRule>
    <cfRule type="expression" dxfId="3928" priority="58">
      <formula>AND(Z$9&gt;=14/24,Z$9&lt;20/24)</formula>
    </cfRule>
    <cfRule type="expression" dxfId="3927" priority="59">
      <formula>AND(Z$9&gt;=8/24,Z$9&lt;14/24)</formula>
    </cfRule>
    <cfRule type="expression" dxfId="3926" priority="60">
      <formula>Z$9&lt;8/24</formula>
    </cfRule>
  </conditionalFormatting>
  <conditionalFormatting sqref="Z70 Z65:Z66 Z48">
    <cfRule type="expression" dxfId="3925" priority="56">
      <formula>Z48&gt;$AG48</formula>
    </cfRule>
  </conditionalFormatting>
  <conditionalFormatting sqref="Z82">
    <cfRule type="expression" dxfId="3924" priority="52">
      <formula>Z$9&gt;=20/24</formula>
    </cfRule>
    <cfRule type="expression" dxfId="3923" priority="53">
      <formula>AND(Z$9&gt;=14/24,Z$9&lt;20/24)</formula>
    </cfRule>
    <cfRule type="expression" dxfId="3922" priority="54">
      <formula>AND(Z$9&gt;=8/24,Z$9&lt;14/24)</formula>
    </cfRule>
    <cfRule type="expression" dxfId="3921" priority="55">
      <formula>Z$9&lt;8/24</formula>
    </cfRule>
  </conditionalFormatting>
  <conditionalFormatting sqref="Z52">
    <cfRule type="expression" dxfId="3920" priority="48">
      <formula>Z$9&gt;=20/24</formula>
    </cfRule>
    <cfRule type="expression" dxfId="3919" priority="49">
      <formula>AND(Z$9&gt;=14/24,Z$9&lt;20/24)</formula>
    </cfRule>
    <cfRule type="expression" dxfId="3918" priority="50">
      <formula>AND(Z$9&gt;=8/24,Z$9&lt;14/24)</formula>
    </cfRule>
    <cfRule type="expression" dxfId="3917" priority="51">
      <formula>Z$9&lt;8/24</formula>
    </cfRule>
  </conditionalFormatting>
  <conditionalFormatting sqref="Z52">
    <cfRule type="expression" dxfId="3916" priority="47">
      <formula>Z52&gt;$AG52</formula>
    </cfRule>
  </conditionalFormatting>
  <conditionalFormatting sqref="Z59:AC64">
    <cfRule type="expression" dxfId="3915" priority="39">
      <formula>Z$9&gt;=20/24</formula>
    </cfRule>
    <cfRule type="expression" dxfId="3914" priority="40">
      <formula>AND(Z$9&gt;=14/24,Z$9&lt;20/24)</formula>
    </cfRule>
    <cfRule type="expression" dxfId="3913" priority="41">
      <formula>AND(Z$9&gt;=8/24,Z$9&lt;14/24)</formula>
    </cfRule>
    <cfRule type="expression" dxfId="3912" priority="42">
      <formula>Z$9&lt;8/24</formula>
    </cfRule>
  </conditionalFormatting>
  <conditionalFormatting sqref="Z59:AC64">
    <cfRule type="expression" dxfId="3911" priority="38">
      <formula>Z59&gt;$AG59</formula>
    </cfRule>
  </conditionalFormatting>
  <conditionalFormatting sqref="Z12:AC15 Z17:AC32 AD27:AF32 Z34:AF43 Z45:AF45">
    <cfRule type="expression" dxfId="3910" priority="34">
      <formula>Z$9&gt;=20/24</formula>
    </cfRule>
    <cfRule type="expression" dxfId="3909" priority="35">
      <formula>AND(Z$9&gt;=14/24,Z$9&lt;20/24)</formula>
    </cfRule>
    <cfRule type="expression" dxfId="3908" priority="36">
      <formula>AND(Z$9&gt;=8/24,Z$9&lt;14/24)</formula>
    </cfRule>
    <cfRule type="expression" dxfId="3907" priority="37">
      <formula>Z$9&lt;8/24</formula>
    </cfRule>
  </conditionalFormatting>
  <conditionalFormatting sqref="Z12:AC15 Z17:AC32 AD27:AF32 Z34:AF43 Z45:AF45">
    <cfRule type="expression" dxfId="3906" priority="33">
      <formula>Z12&gt;$AG12</formula>
    </cfRule>
  </conditionalFormatting>
  <conditionalFormatting sqref="Z76:AB76">
    <cfRule type="expression" dxfId="3905" priority="29">
      <formula>Z$9&gt;=20/24</formula>
    </cfRule>
    <cfRule type="expression" dxfId="3904" priority="30">
      <formula>AND(Z$9&gt;=14/24,Z$9&lt;20/24)</formula>
    </cfRule>
    <cfRule type="expression" dxfId="3903" priority="31">
      <formula>AND(Z$9&gt;=8/24,Z$9&lt;14/24)</formula>
    </cfRule>
    <cfRule type="expression" dxfId="3902" priority="32">
      <formula>Z$9&lt;8/24</formula>
    </cfRule>
  </conditionalFormatting>
  <conditionalFormatting sqref="Z77:AB81">
    <cfRule type="expression" dxfId="3901" priority="25">
      <formula>Z$9&gt;=20/24</formula>
    </cfRule>
    <cfRule type="expression" dxfId="3900" priority="26">
      <formula>AND(Z$9&gt;=14/24,Z$9&lt;20/24)</formula>
    </cfRule>
    <cfRule type="expression" dxfId="3899" priority="27">
      <formula>AND(Z$9&gt;=8/24,Z$9&lt;14/24)</formula>
    </cfRule>
    <cfRule type="expression" dxfId="3898" priority="28">
      <formula>Z$9&lt;8/24</formula>
    </cfRule>
  </conditionalFormatting>
  <conditionalFormatting sqref="Z11:AC11">
    <cfRule type="expression" dxfId="3897" priority="21">
      <formula>Z$9&gt;=20/24</formula>
    </cfRule>
    <cfRule type="expression" dxfId="3896" priority="22">
      <formula>AND(Z$9&gt;=14/24,Z$9&lt;20/24)</formula>
    </cfRule>
    <cfRule type="expression" dxfId="3895" priority="23">
      <formula>AND(Z$9&gt;=8/24,Z$9&lt;14/24)</formula>
    </cfRule>
    <cfRule type="expression" dxfId="3894" priority="24">
      <formula>Z$9&lt;8/24</formula>
    </cfRule>
  </conditionalFormatting>
  <conditionalFormatting sqref="Z11:AC11">
    <cfRule type="expression" dxfId="3893" priority="20">
      <formula>Z11&gt;$AG11</formula>
    </cfRule>
  </conditionalFormatting>
  <conditionalFormatting sqref="Z16:AC16">
    <cfRule type="expression" dxfId="3892" priority="16">
      <formula>Z$9&gt;=20/24</formula>
    </cfRule>
    <cfRule type="expression" dxfId="3891" priority="17">
      <formula>AND(Z$9&gt;=14/24,Z$9&lt;20/24)</formula>
    </cfRule>
    <cfRule type="expression" dxfId="3890" priority="18">
      <formula>AND(Z$9&gt;=8/24,Z$9&lt;14/24)</formula>
    </cfRule>
    <cfRule type="expression" dxfId="3889" priority="19">
      <formula>Z$9&lt;8/24</formula>
    </cfRule>
  </conditionalFormatting>
  <conditionalFormatting sqref="Z16:AC16">
    <cfRule type="expression" dxfId="3888" priority="15">
      <formula>Z16&gt;$AG16</formula>
    </cfRule>
  </conditionalFormatting>
  <conditionalFormatting sqref="Z33:AF33">
    <cfRule type="expression" dxfId="3887" priority="11">
      <formula>Z$9&gt;=20/24</formula>
    </cfRule>
    <cfRule type="expression" dxfId="3886" priority="12">
      <formula>AND(Z$9&gt;=14/24,Z$9&lt;20/24)</formula>
    </cfRule>
    <cfRule type="expression" dxfId="3885" priority="13">
      <formula>AND(Z$9&gt;=8/24,Z$9&lt;14/24)</formula>
    </cfRule>
    <cfRule type="expression" dxfId="3884" priority="14">
      <formula>Z$9&lt;8/24</formula>
    </cfRule>
  </conditionalFormatting>
  <conditionalFormatting sqref="Z33:AF33">
    <cfRule type="expression" dxfId="3883" priority="10">
      <formula>Z33&gt;$AG33</formula>
    </cfRule>
  </conditionalFormatting>
  <conditionalFormatting sqref="Z44:AF44">
    <cfRule type="expression" dxfId="3882" priority="6">
      <formula>Z$9&gt;=20/24</formula>
    </cfRule>
    <cfRule type="expression" dxfId="3881" priority="7">
      <formula>AND(Z$9&gt;=14/24,Z$9&lt;20/24)</formula>
    </cfRule>
    <cfRule type="expression" dxfId="3880" priority="8">
      <formula>AND(Z$9&gt;=8/24,Z$9&lt;14/24)</formula>
    </cfRule>
    <cfRule type="expression" dxfId="3879" priority="9">
      <formula>Z$9&lt;8/24</formula>
    </cfRule>
  </conditionalFormatting>
  <conditionalFormatting sqref="Z44:AF44">
    <cfRule type="expression" dxfId="3878" priority="5">
      <formula>Z44&gt;$AG44</formula>
    </cfRule>
  </conditionalFormatting>
  <conditionalFormatting sqref="Z117">
    <cfRule type="expression" dxfId="3877" priority="1">
      <formula>Z$9&gt;=20/24</formula>
    </cfRule>
    <cfRule type="expression" dxfId="3876" priority="2">
      <formula>AND(Z$9&gt;=14/24,Z$9&lt;20/24)</formula>
    </cfRule>
    <cfRule type="expression" dxfId="3875" priority="3">
      <formula>AND(Z$9&gt;=8/24,Z$9&lt;14/24)</formula>
    </cfRule>
    <cfRule type="expression" dxfId="3874" priority="4">
      <formula>Z$9&lt;8/24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1" id="{EEC95291-EE58-4E2C-A7BB-21F0B5407BB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32" id="{634C238A-12B7-4878-85D4-4EA04484780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33" id="{376FB55E-82EA-4C20-A644-43BB918297C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34" id="{45AA9134-6603-4845-9E0A-1B0F2A5AF6B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C90:Y90 AA90:AF90</xm:sqref>
        </x14:conditionalFormatting>
        <x14:conditionalFormatting xmlns:xm="http://schemas.microsoft.com/office/excel/2006/main">
          <x14:cfRule type="expression" priority="219" id="{69E67B34-7AC2-4EE3-90C8-EC3F8209FC2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0" id="{03427EB0-0FED-4F58-B879-748BB03D0D7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1" id="{C4B76137-1F8F-43CE-A3DF-4226C533D26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2" id="{20D864F4-1645-48EA-9ECA-3696C5AD931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  <x14:conditionalFormatting xmlns:xm="http://schemas.microsoft.com/office/excel/2006/main">
          <x14:cfRule type="expression" priority="43" id="{04EF3F2D-334A-476F-A115-E7671DAAE7B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4" id="{864DA7AD-D43F-4D69-B8CD-8F26A58AFC4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5" id="{0E14BF12-DEB8-4C47-8C77-CB3093CBAFC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6" id="{22D91D8C-C704-48C7-844B-E6D42B13D74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Z90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90" activePane="bottomLeft" state="frozen"/>
      <selection activeCell="Z85" sqref="Z85"/>
      <selection pane="bottomLeft" activeCell="Y116" sqref="Y116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2079/12/23</v>
      </c>
      <c r="C4" s="196"/>
      <c r="D4" s="196"/>
      <c r="E4" s="197" t="str">
        <f ca="1">"2079/"&amp;"12/"&amp;INT(MID(CELL("filename",G6),FIND("]",CELL("filename",G6))+1,200))</f>
        <v>2079/12/23</v>
      </c>
      <c r="F4" s="197"/>
      <c r="G4" s="197"/>
      <c r="H4" s="197" t="str">
        <f ca="1">TEXT(E4,"dddd")</f>
        <v>Saturday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445.1</v>
      </c>
      <c r="C5" s="33">
        <f t="shared" si="0"/>
        <v>453.59999999999997</v>
      </c>
      <c r="D5" s="33">
        <f t="shared" si="0"/>
        <v>447.1</v>
      </c>
      <c r="E5" s="33">
        <f t="shared" si="0"/>
        <v>455.8</v>
      </c>
      <c r="F5" s="33">
        <f t="shared" si="0"/>
        <v>473.2</v>
      </c>
      <c r="G5" s="33">
        <f t="shared" si="0"/>
        <v>460.7</v>
      </c>
      <c r="H5" s="33">
        <f t="shared" si="0"/>
        <v>427.90000000000003</v>
      </c>
      <c r="I5" s="33">
        <f t="shared" si="0"/>
        <v>404.5</v>
      </c>
      <c r="J5" s="33">
        <f t="shared" si="0"/>
        <v>417.8</v>
      </c>
      <c r="K5" s="33">
        <f t="shared" si="0"/>
        <v>418.09999999999997</v>
      </c>
      <c r="L5" s="33">
        <f t="shared" si="0"/>
        <v>440.3</v>
      </c>
      <c r="M5" s="33">
        <f t="shared" si="0"/>
        <v>426</v>
      </c>
      <c r="N5" s="33">
        <f t="shared" si="0"/>
        <v>440.90000000000003</v>
      </c>
      <c r="O5" s="33">
        <f t="shared" si="0"/>
        <v>483.2</v>
      </c>
      <c r="P5" s="33">
        <f t="shared" si="0"/>
        <v>451</v>
      </c>
      <c r="Q5" s="33">
        <f t="shared" si="0"/>
        <v>468</v>
      </c>
      <c r="R5" s="33">
        <f t="shared" si="0"/>
        <v>498</v>
      </c>
      <c r="S5" s="33">
        <f t="shared" si="0"/>
        <v>495.20000000000005</v>
      </c>
      <c r="T5" s="33">
        <f t="shared" si="0"/>
        <v>453.7</v>
      </c>
      <c r="U5" s="33">
        <f t="shared" si="0"/>
        <v>473</v>
      </c>
      <c r="V5" s="33">
        <f t="shared" si="0"/>
        <v>498.5</v>
      </c>
      <c r="W5" s="33">
        <f t="shared" si="0"/>
        <v>459.34000000000003</v>
      </c>
      <c r="X5" s="33">
        <f t="shared" si="0"/>
        <v>452.90000000000003</v>
      </c>
      <c r="Y5" s="33">
        <f t="shared" si="0"/>
        <v>425.3</v>
      </c>
      <c r="Z5" s="33">
        <f t="shared" si="0"/>
        <v>414.1</v>
      </c>
      <c r="AA5" s="33">
        <f t="shared" si="0"/>
        <v>414.4</v>
      </c>
      <c r="AB5" s="33">
        <f t="shared" si="0"/>
        <v>433</v>
      </c>
      <c r="AC5" s="33">
        <f t="shared" si="0"/>
        <v>400</v>
      </c>
      <c r="AD5" s="33">
        <f t="shared" si="0"/>
        <v>396</v>
      </c>
      <c r="AE5" s="33">
        <f t="shared" si="0"/>
        <v>410</v>
      </c>
      <c r="AF5" s="33">
        <f>B82</f>
        <v>429.2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1425MW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Load=1086</v>
      </c>
      <c r="B7" s="38">
        <f t="shared" ref="B7:AF7" si="1">B89</f>
        <v>1222.3399999999999</v>
      </c>
      <c r="C7" s="38">
        <f t="shared" si="1"/>
        <v>1178.8399999999999</v>
      </c>
      <c r="D7" s="38">
        <f t="shared" si="1"/>
        <v>1160.74</v>
      </c>
      <c r="E7" s="38">
        <f t="shared" si="1"/>
        <v>1140.2399999999998</v>
      </c>
      <c r="F7" s="38">
        <f t="shared" si="1"/>
        <v>1148.24</v>
      </c>
      <c r="G7" s="38">
        <f t="shared" si="1"/>
        <v>1180.9399999999998</v>
      </c>
      <c r="H7" s="38">
        <f t="shared" si="1"/>
        <v>1216.74</v>
      </c>
      <c r="I7" s="38">
        <f t="shared" si="1"/>
        <v>1085.94</v>
      </c>
      <c r="J7" s="38">
        <f t="shared" si="1"/>
        <v>1269.04</v>
      </c>
      <c r="K7" s="38">
        <f t="shared" si="1"/>
        <v>1304.3399999999999</v>
      </c>
      <c r="L7" s="38">
        <f t="shared" si="1"/>
        <v>1408.34</v>
      </c>
      <c r="M7" s="38">
        <f t="shared" si="1"/>
        <v>1424.6399999999999</v>
      </c>
      <c r="N7" s="38">
        <f>N89</f>
        <v>1382.3400000000001</v>
      </c>
      <c r="O7" s="38">
        <f t="shared" si="1"/>
        <v>1441.64</v>
      </c>
      <c r="P7" s="38">
        <f t="shared" si="1"/>
        <v>1408.74</v>
      </c>
      <c r="Q7" s="38">
        <f t="shared" si="1"/>
        <v>1387.04</v>
      </c>
      <c r="R7" s="38">
        <f t="shared" si="1"/>
        <v>1389.84</v>
      </c>
      <c r="S7" s="38">
        <f t="shared" si="1"/>
        <v>1422.3400000000001</v>
      </c>
      <c r="T7" s="38">
        <f t="shared" si="1"/>
        <v>1434.54</v>
      </c>
      <c r="U7" s="38">
        <f t="shared" si="1"/>
        <v>1448.64</v>
      </c>
      <c r="V7" s="38">
        <f t="shared" si="1"/>
        <v>1378.77</v>
      </c>
      <c r="W7" s="38">
        <f t="shared" si="1"/>
        <v>1379.98</v>
      </c>
      <c r="X7" s="38">
        <f t="shared" si="1"/>
        <v>1338.71</v>
      </c>
      <c r="Y7" s="38">
        <f t="shared" si="1"/>
        <v>1592.3400000000001</v>
      </c>
      <c r="Z7" s="38">
        <f t="shared" si="1"/>
        <v>1676.64</v>
      </c>
      <c r="AA7" s="38">
        <f t="shared" si="1"/>
        <v>1535.44</v>
      </c>
      <c r="AB7" s="38">
        <f t="shared" si="1"/>
        <v>1483.04</v>
      </c>
      <c r="AC7" s="38">
        <f t="shared" si="1"/>
        <v>1346.24</v>
      </c>
      <c r="AD7" s="38">
        <f t="shared" si="1"/>
        <v>1283.8400000000001</v>
      </c>
      <c r="AE7" s="38">
        <f t="shared" si="1"/>
        <v>1253.6399999999999</v>
      </c>
      <c r="AF7" s="38">
        <f t="shared" si="1"/>
        <v>1161.94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26</v>
      </c>
      <c r="C11" s="50">
        <v>26</v>
      </c>
      <c r="D11" s="50">
        <v>26</v>
      </c>
      <c r="E11" s="50">
        <v>26</v>
      </c>
      <c r="F11" s="50">
        <v>26</v>
      </c>
      <c r="G11" s="50">
        <v>26</v>
      </c>
      <c r="H11" s="50">
        <v>26</v>
      </c>
      <c r="I11" s="50">
        <v>26</v>
      </c>
      <c r="J11" s="50">
        <v>26</v>
      </c>
      <c r="K11" s="50">
        <v>26</v>
      </c>
      <c r="L11" s="50">
        <v>26</v>
      </c>
      <c r="M11" s="50">
        <v>26</v>
      </c>
      <c r="N11" s="50">
        <v>26</v>
      </c>
      <c r="O11" s="50">
        <v>26</v>
      </c>
      <c r="P11" s="50">
        <v>26</v>
      </c>
      <c r="Q11" s="50">
        <v>26</v>
      </c>
      <c r="R11" s="50">
        <v>26</v>
      </c>
      <c r="S11" s="50">
        <v>28</v>
      </c>
      <c r="T11" s="50">
        <v>28</v>
      </c>
      <c r="U11" s="50">
        <v>28</v>
      </c>
      <c r="V11" s="50">
        <v>28</v>
      </c>
      <c r="W11" s="50">
        <v>28</v>
      </c>
      <c r="X11" s="50">
        <v>28</v>
      </c>
      <c r="Y11" s="50">
        <v>28</v>
      </c>
      <c r="Z11" s="50">
        <v>28</v>
      </c>
      <c r="AA11" s="50">
        <v>28</v>
      </c>
      <c r="AB11" s="50">
        <v>28</v>
      </c>
      <c r="AC11" s="50">
        <v>20</v>
      </c>
      <c r="AD11" s="50">
        <v>22</v>
      </c>
      <c r="AE11" s="50">
        <v>22</v>
      </c>
      <c r="AF11" s="50">
        <v>22</v>
      </c>
      <c r="AG11" s="51">
        <v>86</v>
      </c>
      <c r="AH11" s="52">
        <f t="shared" ref="AH11:AH74" si="2">MAX(B11:AF11)</f>
        <v>28</v>
      </c>
      <c r="AI11" s="53">
        <f t="shared" ref="AI11:AI74" si="3">MIN(B11:AF11)</f>
        <v>20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16</v>
      </c>
      <c r="C12" s="50">
        <v>14.6</v>
      </c>
      <c r="D12" s="50">
        <v>14.5</v>
      </c>
      <c r="E12" s="50">
        <v>14.5</v>
      </c>
      <c r="F12" s="50">
        <v>14.5</v>
      </c>
      <c r="G12" s="50">
        <v>14.5</v>
      </c>
      <c r="H12" s="50">
        <v>14.5</v>
      </c>
      <c r="I12" s="50">
        <v>14.5</v>
      </c>
      <c r="J12" s="50">
        <v>14.5</v>
      </c>
      <c r="K12" s="50">
        <v>14.5</v>
      </c>
      <c r="L12" s="50">
        <v>14.5</v>
      </c>
      <c r="M12" s="50">
        <v>14.5</v>
      </c>
      <c r="N12" s="50">
        <v>14.5</v>
      </c>
      <c r="O12" s="50">
        <v>14.5</v>
      </c>
      <c r="P12" s="50">
        <v>14.5</v>
      </c>
      <c r="Q12" s="50">
        <v>14.5</v>
      </c>
      <c r="R12" s="50">
        <v>14.5</v>
      </c>
      <c r="S12" s="50">
        <v>14.5</v>
      </c>
      <c r="T12" s="50">
        <v>14.5</v>
      </c>
      <c r="U12" s="50">
        <v>14.5</v>
      </c>
      <c r="V12" s="50">
        <v>14.5</v>
      </c>
      <c r="W12" s="50">
        <v>14.5</v>
      </c>
      <c r="X12" s="50">
        <v>14.5</v>
      </c>
      <c r="Y12" s="50">
        <v>14.5</v>
      </c>
      <c r="Z12" s="50">
        <v>14.5</v>
      </c>
      <c r="AA12" s="50">
        <v>14.5</v>
      </c>
      <c r="AB12" s="50">
        <v>14.5</v>
      </c>
      <c r="AC12" s="50">
        <v>14.5</v>
      </c>
      <c r="AD12" s="50">
        <v>14.5</v>
      </c>
      <c r="AE12" s="50">
        <v>14.5</v>
      </c>
      <c r="AF12" s="50">
        <v>14.5</v>
      </c>
      <c r="AG12" s="51">
        <v>52.4</v>
      </c>
      <c r="AH12" s="52">
        <f t="shared" si="2"/>
        <v>16</v>
      </c>
      <c r="AI12" s="53">
        <f t="shared" si="3"/>
        <v>14.5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29</v>
      </c>
      <c r="C13" s="50">
        <v>28.8</v>
      </c>
      <c r="D13" s="50">
        <v>28.8</v>
      </c>
      <c r="E13" s="50">
        <v>28.8</v>
      </c>
      <c r="F13" s="50">
        <v>28.8</v>
      </c>
      <c r="G13" s="50">
        <v>28.8</v>
      </c>
      <c r="H13" s="50">
        <v>28.8</v>
      </c>
      <c r="I13" s="50">
        <v>28.8</v>
      </c>
      <c r="J13" s="50">
        <v>28.8</v>
      </c>
      <c r="K13" s="50">
        <v>28.8</v>
      </c>
      <c r="L13" s="50">
        <v>28.8</v>
      </c>
      <c r="M13" s="50">
        <v>28.8</v>
      </c>
      <c r="N13" s="50">
        <v>28.8</v>
      </c>
      <c r="O13" s="50">
        <v>28.8</v>
      </c>
      <c r="P13" s="50">
        <v>28.8</v>
      </c>
      <c r="Q13" s="50">
        <v>28.8</v>
      </c>
      <c r="R13" s="50">
        <v>28.8</v>
      </c>
      <c r="S13" s="50">
        <v>28.8</v>
      </c>
      <c r="T13" s="50">
        <v>28.8</v>
      </c>
      <c r="U13" s="50">
        <v>28.8</v>
      </c>
      <c r="V13" s="50">
        <v>28.8</v>
      </c>
      <c r="W13" s="50">
        <v>28.8</v>
      </c>
      <c r="X13" s="50">
        <v>28.8</v>
      </c>
      <c r="Y13" s="50">
        <v>28.8</v>
      </c>
      <c r="Z13" s="50">
        <v>28.8</v>
      </c>
      <c r="AA13" s="50">
        <v>28.8</v>
      </c>
      <c r="AB13" s="50">
        <v>28.8</v>
      </c>
      <c r="AC13" s="50">
        <v>28.8</v>
      </c>
      <c r="AD13" s="50">
        <v>28.8</v>
      </c>
      <c r="AE13" s="50">
        <v>28.8</v>
      </c>
      <c r="AF13" s="50">
        <v>28.8</v>
      </c>
      <c r="AG13" s="55">
        <v>50</v>
      </c>
      <c r="AH13" s="52">
        <f t="shared" si="2"/>
        <v>29</v>
      </c>
      <c r="AI13" s="53">
        <f t="shared" si="3"/>
        <v>28.8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17.8</v>
      </c>
      <c r="C14" s="50">
        <v>17.899999999999999</v>
      </c>
      <c r="D14" s="50">
        <v>17.899999999999999</v>
      </c>
      <c r="E14" s="50">
        <v>17.899999999999999</v>
      </c>
      <c r="F14" s="50">
        <v>17.899999999999999</v>
      </c>
      <c r="G14" s="50">
        <v>17.899999999999999</v>
      </c>
      <c r="H14" s="50">
        <v>17.899999999999999</v>
      </c>
      <c r="I14" s="50">
        <v>17.899999999999999</v>
      </c>
      <c r="J14" s="50">
        <v>17.899999999999999</v>
      </c>
      <c r="K14" s="50">
        <v>17.899999999999999</v>
      </c>
      <c r="L14" s="50">
        <v>17.899999999999999</v>
      </c>
      <c r="M14" s="50">
        <v>17.899999999999999</v>
      </c>
      <c r="N14" s="50">
        <v>17.899999999999999</v>
      </c>
      <c r="O14" s="50">
        <v>17.899999999999999</v>
      </c>
      <c r="P14" s="50">
        <v>17.899999999999999</v>
      </c>
      <c r="Q14" s="50">
        <v>17.899999999999999</v>
      </c>
      <c r="R14" s="50">
        <v>17.899999999999999</v>
      </c>
      <c r="S14" s="50">
        <v>17.899999999999999</v>
      </c>
      <c r="T14" s="50">
        <v>17.899999999999999</v>
      </c>
      <c r="U14" s="50">
        <v>17.899999999999999</v>
      </c>
      <c r="V14" s="50">
        <v>17.899999999999999</v>
      </c>
      <c r="W14" s="50">
        <v>17.899999999999999</v>
      </c>
      <c r="X14" s="50">
        <v>17.899999999999999</v>
      </c>
      <c r="Y14" s="50">
        <v>17.899999999999999</v>
      </c>
      <c r="Z14" s="50">
        <v>17.899999999999999</v>
      </c>
      <c r="AA14" s="50">
        <v>17.899999999999999</v>
      </c>
      <c r="AB14" s="50">
        <v>17.899999999999999</v>
      </c>
      <c r="AC14" s="50">
        <v>17.899999999999999</v>
      </c>
      <c r="AD14" s="50">
        <v>17.899999999999999</v>
      </c>
      <c r="AE14" s="50">
        <v>17.899999999999999</v>
      </c>
      <c r="AF14" s="50">
        <v>17.899999999999999</v>
      </c>
      <c r="AG14" s="55">
        <v>45</v>
      </c>
      <c r="AH14" s="52">
        <f t="shared" si="2"/>
        <v>17.899999999999999</v>
      </c>
      <c r="AI14" s="53">
        <f t="shared" si="3"/>
        <v>17.8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9</v>
      </c>
      <c r="N15" s="50">
        <v>9</v>
      </c>
      <c r="O15" s="50">
        <v>9</v>
      </c>
      <c r="P15" s="50">
        <v>9</v>
      </c>
      <c r="Q15" s="50">
        <v>9</v>
      </c>
      <c r="R15" s="50">
        <v>9</v>
      </c>
      <c r="S15" s="50">
        <v>9</v>
      </c>
      <c r="T15" s="50">
        <v>9</v>
      </c>
      <c r="U15" s="50">
        <v>9</v>
      </c>
      <c r="V15" s="50">
        <v>9</v>
      </c>
      <c r="W15" s="50">
        <v>9</v>
      </c>
      <c r="X15" s="50">
        <v>9</v>
      </c>
      <c r="Y15" s="50">
        <v>9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9</v>
      </c>
      <c r="AF15" s="50">
        <v>9</v>
      </c>
      <c r="AG15" s="55">
        <v>42</v>
      </c>
      <c r="AH15" s="52">
        <f t="shared" si="2"/>
        <v>9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10.3</v>
      </c>
      <c r="C18" s="50">
        <v>9.8000000000000007</v>
      </c>
      <c r="D18" s="50">
        <v>9</v>
      </c>
      <c r="E18" s="50">
        <v>9</v>
      </c>
      <c r="F18" s="50">
        <v>9</v>
      </c>
      <c r="G18" s="50">
        <v>9</v>
      </c>
      <c r="H18" s="50">
        <v>9</v>
      </c>
      <c r="I18" s="50">
        <v>9</v>
      </c>
      <c r="J18" s="50">
        <v>9</v>
      </c>
      <c r="K18" s="50">
        <v>9</v>
      </c>
      <c r="L18" s="50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50">
        <v>9</v>
      </c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6">
        <v>30</v>
      </c>
      <c r="AH18" s="52">
        <f t="shared" si="2"/>
        <v>10.3</v>
      </c>
      <c r="AI18" s="53">
        <f t="shared" si="3"/>
        <v>9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7.6</v>
      </c>
      <c r="C19" s="50">
        <v>7.8</v>
      </c>
      <c r="D19" s="50">
        <v>8</v>
      </c>
      <c r="E19" s="50">
        <v>8</v>
      </c>
      <c r="F19" s="50">
        <v>8</v>
      </c>
      <c r="G19" s="50">
        <v>8</v>
      </c>
      <c r="H19" s="50">
        <v>8</v>
      </c>
      <c r="I19" s="50">
        <v>8</v>
      </c>
      <c r="J19" s="50">
        <v>8</v>
      </c>
      <c r="K19" s="50">
        <v>8</v>
      </c>
      <c r="L19" s="50">
        <v>8</v>
      </c>
      <c r="M19" s="50">
        <v>8</v>
      </c>
      <c r="N19" s="50">
        <v>8</v>
      </c>
      <c r="O19" s="50">
        <v>8</v>
      </c>
      <c r="P19" s="50">
        <v>8</v>
      </c>
      <c r="Q19" s="50">
        <v>8</v>
      </c>
      <c r="R19" s="50">
        <v>8</v>
      </c>
      <c r="S19" s="50">
        <v>8</v>
      </c>
      <c r="T19" s="50">
        <v>8</v>
      </c>
      <c r="U19" s="50">
        <v>8</v>
      </c>
      <c r="V19" s="50">
        <v>8</v>
      </c>
      <c r="W19" s="50">
        <v>8</v>
      </c>
      <c r="X19" s="50">
        <v>8</v>
      </c>
      <c r="Y19" s="50">
        <v>8</v>
      </c>
      <c r="Z19" s="50">
        <v>8</v>
      </c>
      <c r="AA19" s="50">
        <v>8</v>
      </c>
      <c r="AB19" s="50">
        <v>8</v>
      </c>
      <c r="AC19" s="50">
        <v>8</v>
      </c>
      <c r="AD19" s="50">
        <v>8</v>
      </c>
      <c r="AE19" s="50">
        <v>8</v>
      </c>
      <c r="AF19" s="50">
        <v>8</v>
      </c>
      <c r="AG19" s="55">
        <v>24.2</v>
      </c>
      <c r="AH19" s="52">
        <f t="shared" si="2"/>
        <v>8</v>
      </c>
      <c r="AI19" s="53">
        <f t="shared" si="3"/>
        <v>7.6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8</v>
      </c>
      <c r="C21" s="50">
        <v>8</v>
      </c>
      <c r="D21" s="50">
        <v>8</v>
      </c>
      <c r="E21" s="50">
        <v>8</v>
      </c>
      <c r="F21" s="50">
        <v>8</v>
      </c>
      <c r="G21" s="50">
        <v>8</v>
      </c>
      <c r="H21" s="50">
        <v>8</v>
      </c>
      <c r="I21" s="50">
        <v>8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8</v>
      </c>
      <c r="AI21" s="53">
        <f t="shared" si="3"/>
        <v>0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11.4</v>
      </c>
      <c r="C22" s="50">
        <v>9.4</v>
      </c>
      <c r="D22" s="50">
        <v>10.5</v>
      </c>
      <c r="E22" s="50">
        <v>10.5</v>
      </c>
      <c r="F22" s="50">
        <v>10.5</v>
      </c>
      <c r="G22" s="50">
        <v>10.5</v>
      </c>
      <c r="H22" s="50">
        <v>10.5</v>
      </c>
      <c r="I22" s="50">
        <v>10.5</v>
      </c>
      <c r="J22" s="50">
        <v>10.5</v>
      </c>
      <c r="K22" s="50">
        <v>10.5</v>
      </c>
      <c r="L22" s="50">
        <v>10.5</v>
      </c>
      <c r="M22" s="50">
        <v>10.5</v>
      </c>
      <c r="N22" s="50">
        <v>10.5</v>
      </c>
      <c r="O22" s="50">
        <v>10.5</v>
      </c>
      <c r="P22" s="50">
        <v>10.5</v>
      </c>
      <c r="Q22" s="50">
        <v>10.5</v>
      </c>
      <c r="R22" s="50">
        <v>10.5</v>
      </c>
      <c r="S22" s="50">
        <v>10.5</v>
      </c>
      <c r="T22" s="50">
        <v>10.5</v>
      </c>
      <c r="U22" s="50">
        <v>10.5</v>
      </c>
      <c r="V22" s="50">
        <v>10.5</v>
      </c>
      <c r="W22" s="50">
        <v>10.5</v>
      </c>
      <c r="X22" s="50">
        <v>10.5</v>
      </c>
      <c r="Y22" s="50">
        <v>10.5</v>
      </c>
      <c r="Z22" s="50">
        <v>10.5</v>
      </c>
      <c r="AA22" s="50">
        <v>10.5</v>
      </c>
      <c r="AB22" s="50">
        <v>10.5</v>
      </c>
      <c r="AC22" s="50">
        <v>10.5</v>
      </c>
      <c r="AD22" s="50">
        <v>10.5</v>
      </c>
      <c r="AE22" s="50">
        <v>10.5</v>
      </c>
      <c r="AF22" s="50">
        <v>10.5</v>
      </c>
      <c r="AG22" s="55">
        <v>25</v>
      </c>
      <c r="AH22" s="52">
        <f t="shared" si="2"/>
        <v>11.4</v>
      </c>
      <c r="AI22" s="53">
        <f t="shared" si="3"/>
        <v>9.4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6.5</v>
      </c>
      <c r="I23" s="50">
        <v>6.5</v>
      </c>
      <c r="J23" s="50">
        <v>6.5</v>
      </c>
      <c r="K23" s="50">
        <v>6.5</v>
      </c>
      <c r="L23" s="50">
        <v>6.5</v>
      </c>
      <c r="M23" s="50">
        <v>6.5</v>
      </c>
      <c r="N23" s="50">
        <v>6.5</v>
      </c>
      <c r="O23" s="50">
        <v>6.5</v>
      </c>
      <c r="P23" s="50">
        <v>6.5</v>
      </c>
      <c r="Q23" s="50">
        <v>6.5</v>
      </c>
      <c r="R23" s="50">
        <v>6.5</v>
      </c>
      <c r="S23" s="50">
        <v>6.5</v>
      </c>
      <c r="T23" s="50">
        <v>6.5</v>
      </c>
      <c r="U23" s="50">
        <v>6.5</v>
      </c>
      <c r="V23" s="50">
        <v>6.5</v>
      </c>
      <c r="W23" s="50">
        <v>6.5</v>
      </c>
      <c r="X23" s="50">
        <v>6.5</v>
      </c>
      <c r="Y23" s="50">
        <v>6.5</v>
      </c>
      <c r="Z23" s="50">
        <v>6.5</v>
      </c>
      <c r="AA23" s="50">
        <v>6.5</v>
      </c>
      <c r="AB23" s="50">
        <v>6.5</v>
      </c>
      <c r="AC23" s="50">
        <v>6.5</v>
      </c>
      <c r="AD23" s="50">
        <v>6.5</v>
      </c>
      <c r="AE23" s="50">
        <v>6.5</v>
      </c>
      <c r="AF23" s="50">
        <v>6.5</v>
      </c>
      <c r="AG23" s="55">
        <v>25</v>
      </c>
      <c r="AH23" s="52">
        <f t="shared" si="2"/>
        <v>6.5</v>
      </c>
      <c r="AI23" s="53">
        <f t="shared" si="3"/>
        <v>6.5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7.8</v>
      </c>
      <c r="C25" s="50">
        <v>7.8</v>
      </c>
      <c r="D25" s="50">
        <v>7.8</v>
      </c>
      <c r="E25" s="50">
        <v>7.8</v>
      </c>
      <c r="F25" s="50">
        <v>7.8</v>
      </c>
      <c r="G25" s="50">
        <v>7.8</v>
      </c>
      <c r="H25" s="50">
        <v>7.8</v>
      </c>
      <c r="I25" s="50">
        <v>7.8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7.8</v>
      </c>
      <c r="AI25" s="53">
        <f t="shared" si="3"/>
        <v>0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6.2</v>
      </c>
      <c r="C26" s="50">
        <v>7.1</v>
      </c>
      <c r="D26" s="50">
        <v>6.8</v>
      </c>
      <c r="E26" s="50">
        <v>6.8</v>
      </c>
      <c r="F26" s="50">
        <v>6.8</v>
      </c>
      <c r="G26" s="50">
        <v>6.8</v>
      </c>
      <c r="H26" s="50">
        <v>6.8</v>
      </c>
      <c r="I26" s="50">
        <v>6.8</v>
      </c>
      <c r="J26" s="50">
        <v>6.8</v>
      </c>
      <c r="K26" s="50">
        <v>6.8</v>
      </c>
      <c r="L26" s="50">
        <v>6.8</v>
      </c>
      <c r="M26" s="50">
        <v>6.8</v>
      </c>
      <c r="N26" s="50">
        <v>6.8</v>
      </c>
      <c r="O26" s="50">
        <v>6.8</v>
      </c>
      <c r="P26" s="50">
        <v>6.8</v>
      </c>
      <c r="Q26" s="50">
        <v>6.8</v>
      </c>
      <c r="R26" s="50">
        <v>6.8</v>
      </c>
      <c r="S26" s="50">
        <v>6.8</v>
      </c>
      <c r="T26" s="50">
        <v>6.8</v>
      </c>
      <c r="U26" s="50">
        <v>6.8</v>
      </c>
      <c r="V26" s="50">
        <v>6.8</v>
      </c>
      <c r="W26" s="50">
        <v>6.8</v>
      </c>
      <c r="X26" s="50">
        <v>6.8</v>
      </c>
      <c r="Y26" s="50">
        <v>6.8</v>
      </c>
      <c r="Z26" s="50">
        <v>6.8</v>
      </c>
      <c r="AA26" s="50">
        <v>6.8</v>
      </c>
      <c r="AB26" s="50">
        <v>6.8</v>
      </c>
      <c r="AC26" s="50">
        <v>6.8</v>
      </c>
      <c r="AD26" s="50">
        <v>6.8</v>
      </c>
      <c r="AE26" s="50">
        <v>6.8</v>
      </c>
      <c r="AF26" s="50">
        <v>6.8</v>
      </c>
      <c r="AG26" s="55">
        <v>23.5</v>
      </c>
      <c r="AH26" s="52">
        <f t="shared" si="2"/>
        <v>7.1</v>
      </c>
      <c r="AI26" s="53">
        <f t="shared" si="3"/>
        <v>6.2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</v>
      </c>
      <c r="C30" s="50">
        <v>11</v>
      </c>
      <c r="D30" s="50">
        <v>11</v>
      </c>
      <c r="E30" s="50">
        <v>11</v>
      </c>
      <c r="F30" s="50">
        <v>11</v>
      </c>
      <c r="G30" s="50">
        <v>11</v>
      </c>
      <c r="H30" s="50">
        <v>11</v>
      </c>
      <c r="I30" s="50">
        <v>11</v>
      </c>
      <c r="J30" s="50">
        <v>11</v>
      </c>
      <c r="K30" s="50">
        <v>11</v>
      </c>
      <c r="L30" s="50">
        <v>11</v>
      </c>
      <c r="M30" s="50">
        <v>11</v>
      </c>
      <c r="N30" s="50">
        <v>11</v>
      </c>
      <c r="O30" s="50">
        <v>11</v>
      </c>
      <c r="P30" s="50">
        <v>11</v>
      </c>
      <c r="Q30" s="50">
        <v>11</v>
      </c>
      <c r="R30" s="50">
        <v>11</v>
      </c>
      <c r="S30" s="50">
        <v>11</v>
      </c>
      <c r="T30" s="50">
        <v>11</v>
      </c>
      <c r="U30" s="50">
        <v>11</v>
      </c>
      <c r="V30" s="50">
        <v>11</v>
      </c>
      <c r="W30" s="50">
        <v>11</v>
      </c>
      <c r="X30" s="50">
        <v>11</v>
      </c>
      <c r="Y30" s="50">
        <v>11</v>
      </c>
      <c r="Z30" s="50">
        <v>15</v>
      </c>
      <c r="AA30" s="50">
        <v>15</v>
      </c>
      <c r="AB30" s="50">
        <v>15</v>
      </c>
      <c r="AC30" s="50">
        <v>15</v>
      </c>
      <c r="AD30" s="50">
        <v>15</v>
      </c>
      <c r="AE30" s="50">
        <v>15</v>
      </c>
      <c r="AF30" s="50">
        <v>15</v>
      </c>
      <c r="AG30" s="55">
        <v>22</v>
      </c>
      <c r="AH30" s="52">
        <f t="shared" si="2"/>
        <v>15</v>
      </c>
      <c r="AI30" s="53">
        <f t="shared" si="3"/>
        <v>11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3.5</v>
      </c>
      <c r="C37" s="50">
        <v>3.5</v>
      </c>
      <c r="D37" s="50">
        <v>3.5</v>
      </c>
      <c r="E37" s="50">
        <v>3.5</v>
      </c>
      <c r="F37" s="50">
        <v>3.5</v>
      </c>
      <c r="G37" s="50">
        <v>3.5</v>
      </c>
      <c r="H37" s="50">
        <v>3.5</v>
      </c>
      <c r="I37" s="50">
        <v>3.5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3.5</v>
      </c>
      <c r="R37" s="50">
        <v>3.5</v>
      </c>
      <c r="S37" s="50">
        <v>3.5</v>
      </c>
      <c r="T37" s="50">
        <v>3.5</v>
      </c>
      <c r="U37" s="50">
        <v>3.5</v>
      </c>
      <c r="V37" s="50">
        <v>3.5</v>
      </c>
      <c r="W37" s="50">
        <v>3.5</v>
      </c>
      <c r="X37" s="50">
        <v>3.5</v>
      </c>
      <c r="Y37" s="50">
        <v>3.5</v>
      </c>
      <c r="Z37" s="50">
        <v>3.5</v>
      </c>
      <c r="AA37" s="50">
        <v>3.5</v>
      </c>
      <c r="AB37" s="50">
        <v>3.5</v>
      </c>
      <c r="AC37" s="50">
        <v>3.5</v>
      </c>
      <c r="AD37" s="50">
        <v>3.5</v>
      </c>
      <c r="AE37" s="50">
        <v>3.5</v>
      </c>
      <c r="AF37" s="50">
        <v>3.5</v>
      </c>
      <c r="AG37" s="55">
        <v>12</v>
      </c>
      <c r="AH37" s="52">
        <f t="shared" si="2"/>
        <v>3.5</v>
      </c>
      <c r="AI37" s="53">
        <f t="shared" si="3"/>
        <v>0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6.7</v>
      </c>
      <c r="C38" s="50">
        <v>6.7</v>
      </c>
      <c r="D38" s="50">
        <v>6.7</v>
      </c>
      <c r="E38" s="50">
        <v>6.7</v>
      </c>
      <c r="F38" s="50">
        <v>6.7</v>
      </c>
      <c r="G38" s="50">
        <v>6.7</v>
      </c>
      <c r="H38" s="50">
        <v>6.7</v>
      </c>
      <c r="I38" s="50">
        <v>6.7</v>
      </c>
      <c r="J38" s="50">
        <v>6.7</v>
      </c>
      <c r="K38" s="50">
        <v>6.7</v>
      </c>
      <c r="L38" s="50">
        <v>6.7</v>
      </c>
      <c r="M38" s="50">
        <v>6.7</v>
      </c>
      <c r="N38" s="50">
        <v>6.7</v>
      </c>
      <c r="O38" s="50">
        <v>6.7</v>
      </c>
      <c r="P38" s="50">
        <v>6.7</v>
      </c>
      <c r="Q38" s="50">
        <v>6.7</v>
      </c>
      <c r="R38" s="50">
        <v>6.7</v>
      </c>
      <c r="S38" s="50">
        <v>6.7</v>
      </c>
      <c r="T38" s="50">
        <v>6.7</v>
      </c>
      <c r="U38" s="50">
        <v>6.7</v>
      </c>
      <c r="V38" s="50">
        <v>6.7</v>
      </c>
      <c r="W38" s="50">
        <v>6.7</v>
      </c>
      <c r="X38" s="50">
        <v>6.7</v>
      </c>
      <c r="Y38" s="50">
        <v>6.7</v>
      </c>
      <c r="Z38" s="50">
        <v>6.7</v>
      </c>
      <c r="AA38" s="50">
        <v>6.7</v>
      </c>
      <c r="AB38" s="50">
        <v>6.7</v>
      </c>
      <c r="AC38" s="50">
        <v>6.7</v>
      </c>
      <c r="AD38" s="50">
        <v>6.7</v>
      </c>
      <c r="AE38" s="50">
        <v>6.7</v>
      </c>
      <c r="AF38" s="50">
        <v>6.7</v>
      </c>
      <c r="AG38" s="55">
        <v>12</v>
      </c>
      <c r="AH38" s="52">
        <f t="shared" si="2"/>
        <v>6.7</v>
      </c>
      <c r="AI38" s="53">
        <f t="shared" si="3"/>
        <v>6.7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6">
        <v>11.88</v>
      </c>
      <c r="AH41" s="52">
        <f t="shared" si="2"/>
        <v>0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205</v>
      </c>
      <c r="C46" s="63">
        <v>205</v>
      </c>
      <c r="D46" s="63">
        <v>205</v>
      </c>
      <c r="E46" s="63">
        <v>205</v>
      </c>
      <c r="F46" s="63">
        <v>205</v>
      </c>
      <c r="G46" s="63">
        <v>205</v>
      </c>
      <c r="H46" s="63">
        <v>205</v>
      </c>
      <c r="I46" s="63">
        <v>205</v>
      </c>
      <c r="J46" s="63">
        <v>205</v>
      </c>
      <c r="K46" s="63">
        <v>205</v>
      </c>
      <c r="L46" s="63">
        <v>205</v>
      </c>
      <c r="M46" s="63">
        <v>205</v>
      </c>
      <c r="N46" s="63">
        <v>205</v>
      </c>
      <c r="O46" s="63">
        <v>205</v>
      </c>
      <c r="P46" s="63">
        <v>205</v>
      </c>
      <c r="Q46" s="63">
        <v>205</v>
      </c>
      <c r="R46" s="63">
        <v>205</v>
      </c>
      <c r="S46" s="63">
        <v>205</v>
      </c>
      <c r="T46" s="63">
        <v>205</v>
      </c>
      <c r="U46" s="63">
        <v>205</v>
      </c>
      <c r="V46" s="63">
        <v>205</v>
      </c>
      <c r="W46" s="63">
        <v>205</v>
      </c>
      <c r="X46" s="63">
        <v>205</v>
      </c>
      <c r="Y46" s="63">
        <v>205</v>
      </c>
      <c r="Z46" s="63">
        <v>205</v>
      </c>
      <c r="AA46" s="63">
        <v>205</v>
      </c>
      <c r="AB46" s="63">
        <v>205</v>
      </c>
      <c r="AC46" s="63">
        <v>205</v>
      </c>
      <c r="AD46" s="63">
        <v>205</v>
      </c>
      <c r="AE46" s="63">
        <v>205</v>
      </c>
      <c r="AF46" s="63">
        <v>205</v>
      </c>
      <c r="AG46" s="61">
        <v>85</v>
      </c>
      <c r="AH46" s="52">
        <f t="shared" si="2"/>
        <v>205</v>
      </c>
      <c r="AI46" s="53">
        <f t="shared" si="3"/>
        <v>205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>
        <v>48</v>
      </c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48</v>
      </c>
      <c r="AI47" s="53">
        <f t="shared" si="3"/>
        <v>48</v>
      </c>
      <c r="AK47" s="54"/>
    </row>
    <row r="48" spans="1:88" ht="15.75" thickBot="1" x14ac:dyDescent="0.3">
      <c r="A48" s="66" t="s">
        <v>52</v>
      </c>
      <c r="B48" s="67">
        <f t="shared" ref="B48:S48" si="4">SUM(B12:B46)</f>
        <v>460.5</v>
      </c>
      <c r="C48" s="67">
        <f t="shared" si="4"/>
        <v>457.59999999999997</v>
      </c>
      <c r="D48" s="67">
        <f t="shared" si="4"/>
        <v>457.7</v>
      </c>
      <c r="E48" s="67">
        <f t="shared" si="4"/>
        <v>457.7</v>
      </c>
      <c r="F48" s="67">
        <f t="shared" si="4"/>
        <v>457.7</v>
      </c>
      <c r="G48" s="67">
        <f t="shared" si="4"/>
        <v>457.7</v>
      </c>
      <c r="H48" s="67">
        <f t="shared" si="4"/>
        <v>457.7</v>
      </c>
      <c r="I48" s="67">
        <f t="shared" si="4"/>
        <v>457.7</v>
      </c>
      <c r="J48" s="67">
        <f t="shared" si="4"/>
        <v>438.4</v>
      </c>
      <c r="K48" s="67">
        <f t="shared" si="4"/>
        <v>438.4</v>
      </c>
      <c r="L48" s="67">
        <f t="shared" si="4"/>
        <v>438.4</v>
      </c>
      <c r="M48" s="67">
        <f t="shared" si="4"/>
        <v>438.4</v>
      </c>
      <c r="N48" s="67">
        <f t="shared" si="4"/>
        <v>438.4</v>
      </c>
      <c r="O48" s="67">
        <f t="shared" si="4"/>
        <v>438.4</v>
      </c>
      <c r="P48" s="67">
        <f t="shared" si="4"/>
        <v>438.4</v>
      </c>
      <c r="Q48" s="67">
        <f t="shared" si="4"/>
        <v>448.9</v>
      </c>
      <c r="R48" s="67">
        <f t="shared" si="4"/>
        <v>448.9</v>
      </c>
      <c r="S48" s="67">
        <f t="shared" si="4"/>
        <v>448.9</v>
      </c>
      <c r="T48" s="67">
        <f>SUM(T12:T46)</f>
        <v>448.9</v>
      </c>
      <c r="U48" s="67">
        <f t="shared" ref="U48:AF48" si="5">SUM(U12:U46)</f>
        <v>448.9</v>
      </c>
      <c r="V48" s="67">
        <f t="shared" si="5"/>
        <v>448.9</v>
      </c>
      <c r="W48" s="67">
        <f t="shared" si="5"/>
        <v>448.9</v>
      </c>
      <c r="X48" s="67">
        <f t="shared" si="5"/>
        <v>438.9</v>
      </c>
      <c r="Y48" s="67">
        <f>SUM(Y12:Y46)</f>
        <v>448.9</v>
      </c>
      <c r="Z48" s="67">
        <f t="shared" si="5"/>
        <v>459.9</v>
      </c>
      <c r="AA48" s="67">
        <f t="shared" si="5"/>
        <v>459.9</v>
      </c>
      <c r="AB48" s="67">
        <f t="shared" si="5"/>
        <v>459.9</v>
      </c>
      <c r="AC48" s="67">
        <f t="shared" si="5"/>
        <v>459.9</v>
      </c>
      <c r="AD48" s="67">
        <f t="shared" si="5"/>
        <v>459.9</v>
      </c>
      <c r="AE48" s="67">
        <f t="shared" si="5"/>
        <v>459.9</v>
      </c>
      <c r="AF48" s="67">
        <f t="shared" si="5"/>
        <v>459.9</v>
      </c>
      <c r="AG48" s="68">
        <f t="shared" ref="AG48" si="6">SUM(AG12:AG46)</f>
        <v>875.68</v>
      </c>
      <c r="AH48" s="52">
        <f t="shared" si="2"/>
        <v>460.5</v>
      </c>
      <c r="AI48" s="53">
        <f t="shared" si="3"/>
        <v>438.4</v>
      </c>
      <c r="AK48" s="54"/>
    </row>
    <row r="49" spans="1:41" x14ac:dyDescent="0.25">
      <c r="A49" s="69" t="s">
        <v>53</v>
      </c>
      <c r="B49" s="50">
        <v>85</v>
      </c>
      <c r="C49" s="50">
        <v>50</v>
      </c>
      <c r="D49" s="50">
        <v>40</v>
      </c>
      <c r="E49" s="50">
        <v>20</v>
      </c>
      <c r="F49" s="50">
        <v>20</v>
      </c>
      <c r="G49" s="50">
        <v>20</v>
      </c>
      <c r="H49" s="50">
        <v>20</v>
      </c>
      <c r="I49" s="50">
        <v>20</v>
      </c>
      <c r="J49" s="50">
        <v>50</v>
      </c>
      <c r="K49" s="50">
        <v>70</v>
      </c>
      <c r="L49" s="50">
        <v>60</v>
      </c>
      <c r="M49" s="50">
        <v>60</v>
      </c>
      <c r="N49" s="50">
        <v>50</v>
      </c>
      <c r="O49" s="50">
        <v>80</v>
      </c>
      <c r="P49" s="50">
        <v>80</v>
      </c>
      <c r="Q49" s="50">
        <v>80</v>
      </c>
      <c r="R49" s="50">
        <v>80</v>
      </c>
      <c r="S49" s="50">
        <v>80</v>
      </c>
      <c r="T49" s="50">
        <v>76</v>
      </c>
      <c r="U49" s="50">
        <v>133</v>
      </c>
      <c r="V49" s="50">
        <v>80</v>
      </c>
      <c r="W49" s="50">
        <v>80</v>
      </c>
      <c r="X49" s="50">
        <v>86</v>
      </c>
      <c r="Y49" s="50">
        <v>109</v>
      </c>
      <c r="Z49" s="50">
        <v>160</v>
      </c>
      <c r="AA49" s="50">
        <v>130</v>
      </c>
      <c r="AB49" s="50">
        <v>110</v>
      </c>
      <c r="AC49" s="50">
        <v>110</v>
      </c>
      <c r="AD49" s="50">
        <v>100</v>
      </c>
      <c r="AE49" s="50">
        <v>80</v>
      </c>
      <c r="AF49" s="50">
        <v>60</v>
      </c>
      <c r="AG49" s="56">
        <v>456</v>
      </c>
      <c r="AH49" s="52">
        <f t="shared" si="2"/>
        <v>160</v>
      </c>
      <c r="AI49" s="53">
        <f t="shared" si="3"/>
        <v>20</v>
      </c>
      <c r="AK49" s="54"/>
    </row>
    <row r="50" spans="1:41" x14ac:dyDescent="0.25">
      <c r="A50" s="71" t="s">
        <v>54</v>
      </c>
      <c r="B50" s="72">
        <v>26</v>
      </c>
      <c r="C50" s="72">
        <v>26</v>
      </c>
      <c r="D50" s="72">
        <v>26</v>
      </c>
      <c r="E50" s="72">
        <v>26</v>
      </c>
      <c r="F50" s="72">
        <v>26</v>
      </c>
      <c r="G50" s="72">
        <v>26</v>
      </c>
      <c r="H50" s="72">
        <v>26</v>
      </c>
      <c r="I50" s="72">
        <v>26</v>
      </c>
      <c r="J50" s="72">
        <v>26</v>
      </c>
      <c r="K50" s="72">
        <v>26</v>
      </c>
      <c r="L50" s="72">
        <v>26</v>
      </c>
      <c r="M50" s="72">
        <v>26</v>
      </c>
      <c r="N50" s="72">
        <v>26</v>
      </c>
      <c r="O50" s="72">
        <v>26</v>
      </c>
      <c r="P50" s="72">
        <v>26</v>
      </c>
      <c r="Q50" s="72">
        <v>26</v>
      </c>
      <c r="R50" s="72">
        <v>26</v>
      </c>
      <c r="S50" s="72">
        <v>26</v>
      </c>
      <c r="T50" s="72">
        <v>26</v>
      </c>
      <c r="U50" s="72">
        <v>26</v>
      </c>
      <c r="V50" s="72">
        <v>26</v>
      </c>
      <c r="W50" s="72">
        <v>26</v>
      </c>
      <c r="X50" s="72">
        <v>26</v>
      </c>
      <c r="Y50" s="72">
        <v>26</v>
      </c>
      <c r="Z50" s="72">
        <v>26</v>
      </c>
      <c r="AA50" s="72">
        <v>26</v>
      </c>
      <c r="AB50" s="72">
        <v>26</v>
      </c>
      <c r="AC50" s="72">
        <v>26</v>
      </c>
      <c r="AD50" s="72">
        <v>26</v>
      </c>
      <c r="AE50" s="72">
        <v>26</v>
      </c>
      <c r="AF50" s="72">
        <v>26</v>
      </c>
      <c r="AG50" s="61">
        <v>60</v>
      </c>
      <c r="AH50" s="52">
        <f t="shared" si="2"/>
        <v>26</v>
      </c>
      <c r="AI50" s="53">
        <f t="shared" si="3"/>
        <v>26</v>
      </c>
      <c r="AK50" s="54"/>
    </row>
    <row r="51" spans="1:41" ht="15.75" thickBot="1" x14ac:dyDescent="0.3">
      <c r="A51" s="73" t="s">
        <v>55</v>
      </c>
      <c r="B51" s="74">
        <v>9.5</v>
      </c>
      <c r="C51" s="74">
        <v>11.1</v>
      </c>
      <c r="D51" s="74">
        <v>11.1</v>
      </c>
      <c r="E51" s="74">
        <v>11.1</v>
      </c>
      <c r="F51" s="74">
        <v>11.1</v>
      </c>
      <c r="G51" s="74">
        <v>11.1</v>
      </c>
      <c r="H51" s="74">
        <v>11.1</v>
      </c>
      <c r="I51" s="74">
        <v>11.1</v>
      </c>
      <c r="J51" s="74">
        <v>11.1</v>
      </c>
      <c r="K51" s="74">
        <v>11.1</v>
      </c>
      <c r="L51" s="74">
        <v>11.1</v>
      </c>
      <c r="M51" s="74">
        <v>11.1</v>
      </c>
      <c r="N51" s="74">
        <v>11.1</v>
      </c>
      <c r="O51" s="74">
        <v>11.1</v>
      </c>
      <c r="P51" s="74">
        <v>11.1</v>
      </c>
      <c r="Q51" s="74">
        <v>11.1</v>
      </c>
      <c r="R51" s="74">
        <v>11.1</v>
      </c>
      <c r="S51" s="74">
        <v>9.6</v>
      </c>
      <c r="T51" s="74">
        <v>9.6</v>
      </c>
      <c r="U51" s="74">
        <v>9.5</v>
      </c>
      <c r="V51" s="74">
        <v>9.5</v>
      </c>
      <c r="W51" s="74">
        <v>9.5</v>
      </c>
      <c r="X51" s="74">
        <v>9.5</v>
      </c>
      <c r="Y51" s="74">
        <v>9.6</v>
      </c>
      <c r="Z51" s="74">
        <v>9.6</v>
      </c>
      <c r="AA51" s="74">
        <v>9.6</v>
      </c>
      <c r="AB51" s="74">
        <v>9.6</v>
      </c>
      <c r="AC51" s="74">
        <v>9.6</v>
      </c>
      <c r="AD51" s="74">
        <v>9.6</v>
      </c>
      <c r="AE51" s="74">
        <v>9.6</v>
      </c>
      <c r="AF51" s="74">
        <v>9.6</v>
      </c>
      <c r="AG51" s="75">
        <v>22.1</v>
      </c>
      <c r="AH51" s="52">
        <f t="shared" si="2"/>
        <v>11.1</v>
      </c>
      <c r="AI51" s="53">
        <f t="shared" si="3"/>
        <v>9.5</v>
      </c>
      <c r="AK51" s="54"/>
    </row>
    <row r="52" spans="1:41" ht="15.75" thickBot="1" x14ac:dyDescent="0.3">
      <c r="A52" s="76" t="s">
        <v>56</v>
      </c>
      <c r="B52" s="67">
        <f t="shared" ref="B52" si="7">SUM(B49:B51)</f>
        <v>120.5</v>
      </c>
      <c r="C52" s="67">
        <f t="shared" ref="C52:AG52" si="8">SUM(C49:C51)</f>
        <v>87.1</v>
      </c>
      <c r="D52" s="67">
        <f t="shared" si="8"/>
        <v>77.099999999999994</v>
      </c>
      <c r="E52" s="67">
        <f t="shared" si="8"/>
        <v>57.1</v>
      </c>
      <c r="F52" s="67">
        <f t="shared" si="8"/>
        <v>57.1</v>
      </c>
      <c r="G52" s="67">
        <f t="shared" si="8"/>
        <v>57.1</v>
      </c>
      <c r="H52" s="67">
        <f t="shared" si="8"/>
        <v>57.1</v>
      </c>
      <c r="I52" s="67">
        <f t="shared" si="8"/>
        <v>57.1</v>
      </c>
      <c r="J52" s="67">
        <f t="shared" si="8"/>
        <v>87.1</v>
      </c>
      <c r="K52" s="67">
        <f t="shared" si="8"/>
        <v>107.1</v>
      </c>
      <c r="L52" s="67">
        <f t="shared" si="8"/>
        <v>97.1</v>
      </c>
      <c r="M52" s="67">
        <f t="shared" si="8"/>
        <v>97.1</v>
      </c>
      <c r="N52" s="67">
        <f t="shared" si="8"/>
        <v>87.1</v>
      </c>
      <c r="O52" s="67">
        <f t="shared" si="8"/>
        <v>117.1</v>
      </c>
      <c r="P52" s="67">
        <f t="shared" si="8"/>
        <v>117.1</v>
      </c>
      <c r="Q52" s="67">
        <f t="shared" si="8"/>
        <v>117.1</v>
      </c>
      <c r="R52" s="67">
        <f t="shared" si="8"/>
        <v>117.1</v>
      </c>
      <c r="S52" s="67">
        <f t="shared" si="8"/>
        <v>115.6</v>
      </c>
      <c r="T52" s="67">
        <f t="shared" si="8"/>
        <v>111.6</v>
      </c>
      <c r="U52" s="67">
        <f t="shared" si="8"/>
        <v>168.5</v>
      </c>
      <c r="V52" s="67">
        <f t="shared" si="8"/>
        <v>115.5</v>
      </c>
      <c r="W52" s="67">
        <f t="shared" si="8"/>
        <v>115.5</v>
      </c>
      <c r="X52" s="67">
        <f t="shared" si="8"/>
        <v>121.5</v>
      </c>
      <c r="Y52" s="67">
        <f t="shared" si="8"/>
        <v>144.6</v>
      </c>
      <c r="Z52" s="67">
        <f t="shared" si="8"/>
        <v>195.6</v>
      </c>
      <c r="AA52" s="67">
        <f t="shared" si="8"/>
        <v>165.6</v>
      </c>
      <c r="AB52" s="67">
        <f t="shared" si="8"/>
        <v>145.6</v>
      </c>
      <c r="AC52" s="67">
        <f t="shared" si="8"/>
        <v>145.6</v>
      </c>
      <c r="AD52" s="67">
        <f t="shared" si="8"/>
        <v>135.6</v>
      </c>
      <c r="AE52" s="67">
        <f t="shared" si="8"/>
        <v>115.6</v>
      </c>
      <c r="AF52" s="67">
        <f t="shared" si="8"/>
        <v>95.6</v>
      </c>
      <c r="AG52" s="68">
        <f t="shared" si="8"/>
        <v>538.1</v>
      </c>
      <c r="AH52" s="52">
        <f t="shared" si="2"/>
        <v>195.6</v>
      </c>
      <c r="AI52" s="53">
        <f t="shared" si="3"/>
        <v>57.1</v>
      </c>
      <c r="AK52" s="54"/>
    </row>
    <row r="53" spans="1:41" x14ac:dyDescent="0.25">
      <c r="A53" s="49" t="s">
        <v>57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28.3</v>
      </c>
      <c r="I53" s="50">
        <v>28.3</v>
      </c>
      <c r="J53" s="50">
        <v>28.3</v>
      </c>
      <c r="K53" s="50">
        <v>28.3</v>
      </c>
      <c r="L53" s="50">
        <v>40.700000000000003</v>
      </c>
      <c r="M53" s="50">
        <v>40.5</v>
      </c>
      <c r="N53" s="50">
        <v>40.6</v>
      </c>
      <c r="O53" s="50">
        <v>48.5</v>
      </c>
      <c r="P53" s="50">
        <v>95</v>
      </c>
      <c r="Q53" s="50">
        <v>95</v>
      </c>
      <c r="R53" s="50">
        <v>95</v>
      </c>
      <c r="S53" s="50">
        <v>97.3</v>
      </c>
      <c r="T53" s="50">
        <v>97.4</v>
      </c>
      <c r="U53" s="50">
        <v>97.5</v>
      </c>
      <c r="V53" s="50">
        <v>97.03</v>
      </c>
      <c r="W53" s="50">
        <v>97.03</v>
      </c>
      <c r="X53" s="50">
        <v>97.03</v>
      </c>
      <c r="Y53" s="50">
        <v>97.5</v>
      </c>
      <c r="Z53" s="50">
        <v>97.5</v>
      </c>
      <c r="AA53" s="50">
        <v>97.5</v>
      </c>
      <c r="AB53" s="50">
        <v>97.2</v>
      </c>
      <c r="AC53" s="50">
        <v>97.4</v>
      </c>
      <c r="AD53" s="50">
        <v>71</v>
      </c>
      <c r="AE53" s="50">
        <v>71</v>
      </c>
      <c r="AF53" s="50">
        <v>30</v>
      </c>
      <c r="AG53" s="56">
        <v>144</v>
      </c>
      <c r="AH53" s="52">
        <f t="shared" si="2"/>
        <v>97.5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24.8</v>
      </c>
      <c r="C54" s="72">
        <v>24.8</v>
      </c>
      <c r="D54" s="72">
        <v>0</v>
      </c>
      <c r="E54" s="72">
        <v>0</v>
      </c>
      <c r="F54" s="72">
        <v>0</v>
      </c>
      <c r="G54" s="72">
        <v>0</v>
      </c>
      <c r="H54" s="72">
        <v>21.4</v>
      </c>
      <c r="I54" s="72">
        <v>21.4</v>
      </c>
      <c r="J54" s="72">
        <v>21.4</v>
      </c>
      <c r="K54" s="72">
        <v>21.4</v>
      </c>
      <c r="L54" s="72">
        <v>29.4</v>
      </c>
      <c r="M54" s="72">
        <v>30.3</v>
      </c>
      <c r="N54" s="72">
        <v>29.1</v>
      </c>
      <c r="O54" s="72">
        <v>34.4</v>
      </c>
      <c r="P54" s="72">
        <v>34.4</v>
      </c>
      <c r="Q54" s="72">
        <v>34.4</v>
      </c>
      <c r="R54" s="72">
        <v>34.4</v>
      </c>
      <c r="S54" s="50">
        <v>34</v>
      </c>
      <c r="T54" s="50">
        <v>44.9</v>
      </c>
      <c r="U54" s="50">
        <v>56.3</v>
      </c>
      <c r="V54" s="50">
        <v>34.799999999999997</v>
      </c>
      <c r="W54" s="50">
        <v>34.799999999999997</v>
      </c>
      <c r="X54" s="50">
        <v>30.6</v>
      </c>
      <c r="Y54" s="50">
        <v>46</v>
      </c>
      <c r="Z54" s="50">
        <v>35</v>
      </c>
      <c r="AA54" s="50">
        <v>35</v>
      </c>
      <c r="AB54" s="72">
        <v>35.200000000000003</v>
      </c>
      <c r="AC54" s="72">
        <v>35</v>
      </c>
      <c r="AD54" s="72">
        <v>35</v>
      </c>
      <c r="AE54" s="72">
        <v>35</v>
      </c>
      <c r="AF54" s="72">
        <v>0</v>
      </c>
      <c r="AG54" s="61">
        <v>70</v>
      </c>
      <c r="AH54" s="52">
        <f t="shared" si="2"/>
        <v>56.3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20.399999999999999</v>
      </c>
      <c r="C55" s="72">
        <v>20.6</v>
      </c>
      <c r="D55" s="72">
        <v>20</v>
      </c>
      <c r="E55" s="72">
        <v>19.899999999999999</v>
      </c>
      <c r="F55" s="72">
        <v>20</v>
      </c>
      <c r="G55" s="72">
        <v>20.100000000000001</v>
      </c>
      <c r="H55" s="72">
        <v>19.899999999999999</v>
      </c>
      <c r="I55" s="72">
        <v>19.899999999999999</v>
      </c>
      <c r="J55" s="72">
        <v>19.899999999999999</v>
      </c>
      <c r="K55" s="72">
        <v>19.899999999999999</v>
      </c>
      <c r="L55" s="72">
        <v>22.9</v>
      </c>
      <c r="M55" s="72">
        <v>22.8</v>
      </c>
      <c r="N55" s="72">
        <v>22.7</v>
      </c>
      <c r="O55" s="72">
        <v>44.6</v>
      </c>
      <c r="P55" s="72">
        <v>46</v>
      </c>
      <c r="Q55" s="72">
        <v>46</v>
      </c>
      <c r="R55" s="72">
        <v>46</v>
      </c>
      <c r="S55" s="50">
        <v>45.8</v>
      </c>
      <c r="T55" s="50">
        <v>45.3</v>
      </c>
      <c r="U55" s="50">
        <v>33.5</v>
      </c>
      <c r="V55" s="50">
        <v>32.799999999999997</v>
      </c>
      <c r="W55" s="50">
        <v>16</v>
      </c>
      <c r="X55" s="50">
        <v>16</v>
      </c>
      <c r="Y55" s="50">
        <v>21.8</v>
      </c>
      <c r="Z55" s="50">
        <v>64</v>
      </c>
      <c r="AA55" s="50">
        <v>64</v>
      </c>
      <c r="AB55" s="72">
        <v>46.2</v>
      </c>
      <c r="AC55" s="72">
        <v>33</v>
      </c>
      <c r="AD55" s="72">
        <v>33</v>
      </c>
      <c r="AE55" s="72">
        <v>33</v>
      </c>
      <c r="AF55" s="72">
        <v>22</v>
      </c>
      <c r="AG55" s="61">
        <v>69</v>
      </c>
      <c r="AH55" s="52">
        <f t="shared" si="2"/>
        <v>64</v>
      </c>
      <c r="AI55" s="53">
        <f t="shared" si="3"/>
        <v>16</v>
      </c>
      <c r="AK55" s="54"/>
    </row>
    <row r="56" spans="1:41" x14ac:dyDescent="0.25">
      <c r="A56" s="60" t="s">
        <v>60</v>
      </c>
      <c r="B56" s="72">
        <v>39.6</v>
      </c>
      <c r="C56" s="72">
        <v>38.299999999999997</v>
      </c>
      <c r="D56" s="72">
        <v>37.6</v>
      </c>
      <c r="E56" s="63">
        <v>36.5</v>
      </c>
      <c r="F56" s="63">
        <v>38.5</v>
      </c>
      <c r="G56" s="63">
        <v>38.5</v>
      </c>
      <c r="H56" s="63">
        <v>38.5</v>
      </c>
      <c r="I56" s="63">
        <v>38.5</v>
      </c>
      <c r="J56" s="63">
        <v>38.5</v>
      </c>
      <c r="K56" s="63">
        <v>38.5</v>
      </c>
      <c r="L56" s="63">
        <v>38.5</v>
      </c>
      <c r="M56" s="63">
        <v>38.5</v>
      </c>
      <c r="N56" s="63">
        <v>39.1</v>
      </c>
      <c r="O56" s="63">
        <v>39.1</v>
      </c>
      <c r="P56" s="63">
        <v>39.1</v>
      </c>
      <c r="Q56" s="63">
        <v>39.1</v>
      </c>
      <c r="R56" s="63">
        <v>39.1</v>
      </c>
      <c r="S56" s="50">
        <v>35.299999999999997</v>
      </c>
      <c r="T56" s="50">
        <v>35.5</v>
      </c>
      <c r="U56" s="50">
        <v>34.5</v>
      </c>
      <c r="V56" s="50">
        <v>34.5</v>
      </c>
      <c r="W56" s="50">
        <v>34.5</v>
      </c>
      <c r="X56" s="50">
        <v>34.5</v>
      </c>
      <c r="Y56" s="50">
        <v>34.799999999999997</v>
      </c>
      <c r="Z56" s="50">
        <v>34.799999999999997</v>
      </c>
      <c r="AA56" s="50">
        <v>34.799999999999997</v>
      </c>
      <c r="AB56" s="72">
        <v>35.299999999999997</v>
      </c>
      <c r="AC56" s="72">
        <v>35.299999999999997</v>
      </c>
      <c r="AD56" s="72">
        <v>35.299999999999997</v>
      </c>
      <c r="AE56" s="72">
        <v>35.299999999999997</v>
      </c>
      <c r="AF56" s="72">
        <v>35.299999999999997</v>
      </c>
      <c r="AG56" s="61">
        <v>60</v>
      </c>
      <c r="AH56" s="52">
        <f t="shared" ref="AH56:AH64" si="9">MAX(B56:AF56)</f>
        <v>39.6</v>
      </c>
      <c r="AI56" s="53">
        <f t="shared" ref="AI56:AI64" si="10">MIN(B56:AF56)</f>
        <v>34.5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10</v>
      </c>
      <c r="K57" s="63">
        <v>10</v>
      </c>
      <c r="L57" s="63">
        <v>10</v>
      </c>
      <c r="M57" s="63">
        <v>9.1999999999999993</v>
      </c>
      <c r="N57" s="63">
        <v>9.1999999999999993</v>
      </c>
      <c r="O57" s="72">
        <v>15</v>
      </c>
      <c r="P57" s="72">
        <v>15</v>
      </c>
      <c r="Q57" s="72">
        <v>15</v>
      </c>
      <c r="R57" s="72">
        <v>15</v>
      </c>
      <c r="S57" s="50">
        <v>10</v>
      </c>
      <c r="T57" s="50">
        <v>10</v>
      </c>
      <c r="U57" s="50">
        <v>10</v>
      </c>
      <c r="V57" s="50">
        <v>10</v>
      </c>
      <c r="W57" s="50">
        <v>10</v>
      </c>
      <c r="X57" s="50">
        <v>10</v>
      </c>
      <c r="Y57" s="50">
        <v>15</v>
      </c>
      <c r="Z57" s="50">
        <v>30</v>
      </c>
      <c r="AA57" s="50">
        <v>30</v>
      </c>
      <c r="AB57" s="72">
        <v>15.1</v>
      </c>
      <c r="AC57" s="72">
        <v>15.1</v>
      </c>
      <c r="AD57" s="72">
        <v>15.1</v>
      </c>
      <c r="AE57" s="72">
        <v>10</v>
      </c>
      <c r="AF57" s="72">
        <v>10</v>
      </c>
      <c r="AG57" s="61">
        <v>30</v>
      </c>
      <c r="AH57" s="52">
        <f t="shared" si="9"/>
        <v>30</v>
      </c>
      <c r="AI57" s="53">
        <f t="shared" si="10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15</v>
      </c>
      <c r="T58" s="50">
        <v>15</v>
      </c>
      <c r="U58" s="50">
        <v>15</v>
      </c>
      <c r="V58" s="50">
        <v>2.2999999999999998</v>
      </c>
      <c r="W58" s="50">
        <v>2.2999999999999998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9"/>
        <v>15</v>
      </c>
      <c r="AI58" s="53">
        <f t="shared" si="10"/>
        <v>0</v>
      </c>
      <c r="AK58" s="54"/>
    </row>
    <row r="59" spans="1:41" x14ac:dyDescent="0.25">
      <c r="A59" s="60" t="s">
        <v>63</v>
      </c>
      <c r="B59" s="72">
        <v>17</v>
      </c>
      <c r="C59" s="72">
        <v>17</v>
      </c>
      <c r="D59" s="72">
        <v>17</v>
      </c>
      <c r="E59" s="72">
        <v>15</v>
      </c>
      <c r="F59" s="72">
        <v>15</v>
      </c>
      <c r="G59" s="72">
        <v>11</v>
      </c>
      <c r="H59" s="72">
        <v>11</v>
      </c>
      <c r="I59" s="72">
        <v>11</v>
      </c>
      <c r="J59" s="72">
        <v>17</v>
      </c>
      <c r="K59" s="72">
        <v>17</v>
      </c>
      <c r="L59" s="72">
        <v>17</v>
      </c>
      <c r="M59" s="72">
        <v>17</v>
      </c>
      <c r="N59" s="72">
        <v>17</v>
      </c>
      <c r="O59" s="72">
        <v>17</v>
      </c>
      <c r="P59" s="72">
        <v>17</v>
      </c>
      <c r="Q59" s="72">
        <v>17</v>
      </c>
      <c r="R59" s="72">
        <v>17</v>
      </c>
      <c r="S59" s="72">
        <v>10</v>
      </c>
      <c r="T59" s="72">
        <v>10</v>
      </c>
      <c r="U59" s="72">
        <v>10</v>
      </c>
      <c r="V59" s="72">
        <v>10</v>
      </c>
      <c r="W59" s="72">
        <v>10</v>
      </c>
      <c r="X59" s="72">
        <v>10</v>
      </c>
      <c r="Y59" s="72">
        <v>10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9"/>
        <v>17</v>
      </c>
      <c r="AI59" s="53">
        <f t="shared" si="10"/>
        <v>10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9"/>
        <v>0</v>
      </c>
      <c r="AI60" s="53">
        <f t="shared" si="10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12.1</v>
      </c>
      <c r="C61" s="72">
        <v>10.5</v>
      </c>
      <c r="D61" s="72">
        <v>10.6</v>
      </c>
      <c r="E61" s="72">
        <v>10.7</v>
      </c>
      <c r="F61" s="72">
        <v>10.7</v>
      </c>
      <c r="G61" s="72">
        <v>9</v>
      </c>
      <c r="H61" s="72">
        <v>8.5</v>
      </c>
      <c r="I61" s="72">
        <v>8.1999999999999993</v>
      </c>
      <c r="J61" s="72">
        <v>8</v>
      </c>
      <c r="K61" s="72">
        <v>10</v>
      </c>
      <c r="L61" s="72">
        <v>11.1</v>
      </c>
      <c r="M61" s="72">
        <v>11.1</v>
      </c>
      <c r="N61" s="72">
        <v>11.1</v>
      </c>
      <c r="O61" s="72">
        <v>11.1</v>
      </c>
      <c r="P61" s="72">
        <v>11.1</v>
      </c>
      <c r="Q61" s="72">
        <v>11.1</v>
      </c>
      <c r="R61" s="72">
        <v>11.1</v>
      </c>
      <c r="S61" s="72">
        <v>7.8</v>
      </c>
      <c r="T61" s="72">
        <v>7.8</v>
      </c>
      <c r="U61" s="72">
        <v>7.8</v>
      </c>
      <c r="V61" s="72">
        <v>7.8</v>
      </c>
      <c r="W61" s="72">
        <v>7.8</v>
      </c>
      <c r="X61" s="72">
        <v>7.8</v>
      </c>
      <c r="Y61" s="72">
        <v>7.8</v>
      </c>
      <c r="Z61" s="72">
        <v>7.8</v>
      </c>
      <c r="AA61" s="72">
        <v>7.8</v>
      </c>
      <c r="AB61" s="72">
        <v>7.8</v>
      </c>
      <c r="AC61" s="72">
        <v>7.8</v>
      </c>
      <c r="AD61" s="72">
        <v>7.8</v>
      </c>
      <c r="AE61" s="72">
        <v>7.8</v>
      </c>
      <c r="AF61" s="72">
        <v>7.8</v>
      </c>
      <c r="AG61" s="61">
        <v>14.1</v>
      </c>
      <c r="AH61" s="52">
        <f t="shared" si="9"/>
        <v>12.1</v>
      </c>
      <c r="AI61" s="53">
        <f t="shared" si="10"/>
        <v>7.8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4.3</v>
      </c>
      <c r="C62" s="72">
        <v>4.9000000000000004</v>
      </c>
      <c r="D62" s="72">
        <v>4.9000000000000004</v>
      </c>
      <c r="E62" s="72">
        <v>4.9000000000000004</v>
      </c>
      <c r="F62" s="72">
        <v>4.9000000000000004</v>
      </c>
      <c r="G62" s="72">
        <v>4.9000000000000004</v>
      </c>
      <c r="H62" s="72">
        <v>4.9000000000000004</v>
      </c>
      <c r="I62" s="72">
        <v>4.9000000000000004</v>
      </c>
      <c r="J62" s="72">
        <v>4.9000000000000004</v>
      </c>
      <c r="K62" s="72">
        <v>4.9000000000000004</v>
      </c>
      <c r="L62" s="72">
        <v>4.9000000000000004</v>
      </c>
      <c r="M62" s="72">
        <v>4.9000000000000004</v>
      </c>
      <c r="N62" s="72">
        <v>4.9000000000000004</v>
      </c>
      <c r="O62" s="72">
        <v>4.9000000000000004</v>
      </c>
      <c r="P62" s="72">
        <v>4.9000000000000004</v>
      </c>
      <c r="Q62" s="72">
        <v>4.9000000000000004</v>
      </c>
      <c r="R62" s="72">
        <v>4.9000000000000004</v>
      </c>
      <c r="S62" s="72">
        <v>4.2</v>
      </c>
      <c r="T62" s="72">
        <v>4.2</v>
      </c>
      <c r="U62" s="72">
        <v>4.2</v>
      </c>
      <c r="V62" s="72">
        <v>4.2</v>
      </c>
      <c r="W62" s="72">
        <v>4.2</v>
      </c>
      <c r="X62" s="72">
        <v>4.2</v>
      </c>
      <c r="Y62" s="72">
        <v>4.2</v>
      </c>
      <c r="Z62" s="72">
        <v>3.7</v>
      </c>
      <c r="AA62" s="72">
        <v>3.7</v>
      </c>
      <c r="AB62" s="72">
        <v>3.7</v>
      </c>
      <c r="AC62" s="72">
        <v>3.7</v>
      </c>
      <c r="AD62" s="72">
        <v>3.7</v>
      </c>
      <c r="AE62" s="72">
        <v>3.7</v>
      </c>
      <c r="AF62" s="72">
        <v>3.7</v>
      </c>
      <c r="AG62" s="61">
        <v>14</v>
      </c>
      <c r="AH62" s="52">
        <f t="shared" si="9"/>
        <v>4.9000000000000004</v>
      </c>
      <c r="AI62" s="53">
        <f t="shared" si="10"/>
        <v>3.7</v>
      </c>
      <c r="AK62" s="54"/>
    </row>
    <row r="63" spans="1:41" x14ac:dyDescent="0.25">
      <c r="A63" s="60" t="s">
        <v>67</v>
      </c>
      <c r="B63" s="72">
        <v>5</v>
      </c>
      <c r="C63" s="72">
        <v>5</v>
      </c>
      <c r="D63" s="72">
        <v>5</v>
      </c>
      <c r="E63" s="72">
        <v>5</v>
      </c>
      <c r="F63" s="72">
        <v>5</v>
      </c>
      <c r="G63" s="72">
        <v>5</v>
      </c>
      <c r="H63" s="72">
        <v>5</v>
      </c>
      <c r="I63" s="72">
        <v>5</v>
      </c>
      <c r="J63" s="72">
        <v>5</v>
      </c>
      <c r="K63" s="72">
        <v>5</v>
      </c>
      <c r="L63" s="72">
        <v>5</v>
      </c>
      <c r="M63" s="72">
        <v>5</v>
      </c>
      <c r="N63" s="72">
        <v>5</v>
      </c>
      <c r="O63" s="72">
        <v>5</v>
      </c>
      <c r="P63" s="72">
        <v>5</v>
      </c>
      <c r="Q63" s="72">
        <v>5</v>
      </c>
      <c r="R63" s="72">
        <v>5</v>
      </c>
      <c r="S63" s="72">
        <v>4.2</v>
      </c>
      <c r="T63" s="72">
        <v>4.2</v>
      </c>
      <c r="U63" s="72">
        <v>4.2</v>
      </c>
      <c r="V63" s="72">
        <v>4.2</v>
      </c>
      <c r="W63" s="72">
        <v>4.2</v>
      </c>
      <c r="X63" s="72">
        <v>4.2</v>
      </c>
      <c r="Y63" s="72">
        <v>4.2</v>
      </c>
      <c r="Z63" s="72">
        <v>3.4</v>
      </c>
      <c r="AA63" s="72">
        <v>3.4</v>
      </c>
      <c r="AB63" s="72">
        <v>3.4</v>
      </c>
      <c r="AC63" s="72">
        <v>3.4</v>
      </c>
      <c r="AD63" s="72">
        <v>3.4</v>
      </c>
      <c r="AE63" s="72">
        <v>3.4</v>
      </c>
      <c r="AF63" s="72">
        <v>3.4</v>
      </c>
      <c r="AG63" s="61">
        <v>10.050000000000001</v>
      </c>
      <c r="AH63" s="52">
        <f t="shared" si="9"/>
        <v>5</v>
      </c>
      <c r="AI63" s="53">
        <f t="shared" si="10"/>
        <v>3.4</v>
      </c>
      <c r="AK63" s="54"/>
    </row>
    <row r="64" spans="1:41" x14ac:dyDescent="0.25">
      <c r="A64" s="60" t="s">
        <v>68</v>
      </c>
      <c r="B64" s="72">
        <v>2.5</v>
      </c>
      <c r="C64" s="72">
        <v>2.5</v>
      </c>
      <c r="D64" s="72">
        <v>2.5</v>
      </c>
      <c r="E64" s="72">
        <v>2.5</v>
      </c>
      <c r="F64" s="72">
        <v>2.5</v>
      </c>
      <c r="G64" s="72">
        <v>2.5</v>
      </c>
      <c r="H64" s="72">
        <v>2.5</v>
      </c>
      <c r="I64" s="72">
        <v>2.5</v>
      </c>
      <c r="J64" s="72">
        <v>2.5</v>
      </c>
      <c r="K64" s="72">
        <v>2.5</v>
      </c>
      <c r="L64" s="72">
        <v>2.5</v>
      </c>
      <c r="M64" s="72">
        <v>2.5</v>
      </c>
      <c r="N64" s="72">
        <v>2.5</v>
      </c>
      <c r="O64" s="72">
        <v>2.5</v>
      </c>
      <c r="P64" s="72">
        <v>2.5</v>
      </c>
      <c r="Q64" s="72">
        <v>2.5</v>
      </c>
      <c r="R64" s="72">
        <v>2.5</v>
      </c>
      <c r="S64" s="72">
        <v>2.5</v>
      </c>
      <c r="T64" s="72">
        <v>2.5</v>
      </c>
      <c r="U64" s="72">
        <v>2.5</v>
      </c>
      <c r="V64" s="72">
        <v>2.5</v>
      </c>
      <c r="W64" s="72">
        <v>2.5</v>
      </c>
      <c r="X64" s="72">
        <v>2.5</v>
      </c>
      <c r="Y64" s="72">
        <v>2.5</v>
      </c>
      <c r="Z64" s="72">
        <v>2.5</v>
      </c>
      <c r="AA64" s="72">
        <v>2.5</v>
      </c>
      <c r="AB64" s="72">
        <v>2.5</v>
      </c>
      <c r="AC64" s="72">
        <v>2.5</v>
      </c>
      <c r="AD64" s="72">
        <v>2.5</v>
      </c>
      <c r="AE64" s="72">
        <v>2.5</v>
      </c>
      <c r="AF64" s="72">
        <v>2.5</v>
      </c>
      <c r="AG64" s="61">
        <v>6.2</v>
      </c>
      <c r="AH64" s="52">
        <f t="shared" si="9"/>
        <v>2.5</v>
      </c>
      <c r="AI64" s="53">
        <f t="shared" si="10"/>
        <v>2.5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" si="11">SUM(B53:B65)</f>
        <v>129.24</v>
      </c>
      <c r="C66" s="67">
        <f t="shared" ref="C66:AG66" si="12">SUM(C53:C65)</f>
        <v>127.14000000000001</v>
      </c>
      <c r="D66" s="67">
        <f t="shared" si="12"/>
        <v>101.14</v>
      </c>
      <c r="E66" s="67">
        <f t="shared" si="12"/>
        <v>98.04000000000002</v>
      </c>
      <c r="F66" s="67">
        <f t="shared" si="12"/>
        <v>100.14000000000001</v>
      </c>
      <c r="G66" s="67">
        <f t="shared" si="12"/>
        <v>94.54</v>
      </c>
      <c r="H66" s="67">
        <f t="shared" si="12"/>
        <v>143.54</v>
      </c>
      <c r="I66" s="67">
        <f t="shared" si="12"/>
        <v>143.23999999999998</v>
      </c>
      <c r="J66" s="67">
        <f t="shared" si="12"/>
        <v>159.04</v>
      </c>
      <c r="K66" s="67">
        <f t="shared" si="12"/>
        <v>161.04</v>
      </c>
      <c r="L66" s="67">
        <f t="shared" si="12"/>
        <v>185.54</v>
      </c>
      <c r="M66" s="67">
        <f t="shared" si="12"/>
        <v>185.33999999999997</v>
      </c>
      <c r="N66" s="67">
        <f t="shared" si="12"/>
        <v>184.73999999999998</v>
      </c>
      <c r="O66" s="67">
        <f t="shared" si="12"/>
        <v>225.64</v>
      </c>
      <c r="P66" s="67">
        <f t="shared" si="12"/>
        <v>273.54000000000002</v>
      </c>
      <c r="Q66" s="67">
        <f t="shared" si="12"/>
        <v>273.54000000000002</v>
      </c>
      <c r="R66" s="67">
        <f t="shared" si="12"/>
        <v>273.54000000000002</v>
      </c>
      <c r="S66" s="67">
        <f t="shared" si="12"/>
        <v>269.64000000000004</v>
      </c>
      <c r="T66" s="67">
        <f>SUM(T53:T65)</f>
        <v>280.34000000000003</v>
      </c>
      <c r="U66" s="67">
        <f t="shared" si="12"/>
        <v>279.04000000000002</v>
      </c>
      <c r="V66" s="67">
        <f t="shared" si="12"/>
        <v>243.67</v>
      </c>
      <c r="W66" s="67">
        <f t="shared" si="12"/>
        <v>226.86999999999998</v>
      </c>
      <c r="X66" s="67">
        <f t="shared" si="12"/>
        <v>220.36999999999998</v>
      </c>
      <c r="Y66" s="67">
        <f t="shared" si="12"/>
        <v>247.34</v>
      </c>
      <c r="Z66" s="67">
        <f t="shared" si="12"/>
        <v>297.24</v>
      </c>
      <c r="AA66" s="67">
        <f t="shared" si="12"/>
        <v>297.24</v>
      </c>
      <c r="AB66" s="67">
        <f t="shared" si="12"/>
        <v>264.94000000000005</v>
      </c>
      <c r="AC66" s="67">
        <f t="shared" si="12"/>
        <v>251.73999999999998</v>
      </c>
      <c r="AD66" s="67">
        <f t="shared" si="12"/>
        <v>225.34</v>
      </c>
      <c r="AE66" s="67">
        <f t="shared" si="12"/>
        <v>220.24</v>
      </c>
      <c r="AF66" s="67">
        <f t="shared" si="12"/>
        <v>133.23999999999998</v>
      </c>
      <c r="AG66" s="68">
        <f t="shared" si="12"/>
        <v>489.91</v>
      </c>
      <c r="AH66" s="52">
        <f t="shared" si="2"/>
        <v>297.24</v>
      </c>
      <c r="AI66" s="53">
        <f t="shared" si="3"/>
        <v>94.54</v>
      </c>
      <c r="AK66" s="54"/>
    </row>
    <row r="67" spans="1:40" x14ac:dyDescent="0.25">
      <c r="A67" s="49" t="s">
        <v>71</v>
      </c>
      <c r="B67" s="50">
        <v>50.7</v>
      </c>
      <c r="C67" s="50">
        <v>40</v>
      </c>
      <c r="D67" s="50">
        <v>49.2</v>
      </c>
      <c r="E67" s="50">
        <v>49.2</v>
      </c>
      <c r="F67" s="50">
        <v>49.2</v>
      </c>
      <c r="G67" s="50">
        <v>60.3</v>
      </c>
      <c r="H67" s="50">
        <v>59.6</v>
      </c>
      <c r="I67" s="50">
        <v>59.6</v>
      </c>
      <c r="J67" s="50">
        <v>59.5</v>
      </c>
      <c r="K67" s="50">
        <v>59.5</v>
      </c>
      <c r="L67" s="50">
        <v>50</v>
      </c>
      <c r="M67" s="50">
        <v>50</v>
      </c>
      <c r="N67" s="50">
        <v>43</v>
      </c>
      <c r="O67" s="50">
        <v>49.2</v>
      </c>
      <c r="P67" s="50">
        <v>58</v>
      </c>
      <c r="Q67" s="50">
        <v>58</v>
      </c>
      <c r="R67" s="50">
        <v>50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34</v>
      </c>
      <c r="AD67" s="50">
        <v>40</v>
      </c>
      <c r="AE67" s="50">
        <v>40</v>
      </c>
      <c r="AF67" s="50">
        <v>40</v>
      </c>
      <c r="AG67" s="56">
        <v>60</v>
      </c>
      <c r="AH67" s="52">
        <f t="shared" si="2"/>
        <v>60.3</v>
      </c>
      <c r="AI67" s="53">
        <f t="shared" si="3"/>
        <v>34</v>
      </c>
      <c r="AK67" s="54"/>
    </row>
    <row r="68" spans="1:40" x14ac:dyDescent="0.25">
      <c r="A68" s="60" t="s">
        <v>72</v>
      </c>
      <c r="B68" s="50">
        <v>23.6</v>
      </c>
      <c r="C68" s="72">
        <v>16</v>
      </c>
      <c r="D68" s="72">
        <v>16.100000000000001</v>
      </c>
      <c r="E68" s="72">
        <v>22.8</v>
      </c>
      <c r="F68" s="72">
        <v>20.7</v>
      </c>
      <c r="G68" s="72">
        <v>27.9</v>
      </c>
      <c r="H68" s="72">
        <v>27.9</v>
      </c>
      <c r="I68" s="72">
        <v>28.7</v>
      </c>
      <c r="J68" s="72">
        <v>28.8</v>
      </c>
      <c r="K68" s="72">
        <v>28.8</v>
      </c>
      <c r="L68" s="72">
        <v>28.7</v>
      </c>
      <c r="M68" s="72">
        <v>23</v>
      </c>
      <c r="N68" s="72">
        <v>17</v>
      </c>
      <c r="O68" s="72">
        <v>22.3</v>
      </c>
      <c r="P68" s="72">
        <v>28.2</v>
      </c>
      <c r="Q68" s="72">
        <v>28.2</v>
      </c>
      <c r="R68" s="72">
        <v>22</v>
      </c>
      <c r="S68" s="72">
        <v>22.1</v>
      </c>
      <c r="T68" s="72">
        <v>28.3</v>
      </c>
      <c r="U68" s="72">
        <v>28.3</v>
      </c>
      <c r="V68" s="72">
        <v>27.6</v>
      </c>
      <c r="W68" s="72">
        <v>22</v>
      </c>
      <c r="X68" s="72">
        <v>28.3</v>
      </c>
      <c r="Y68" s="72">
        <v>28.3</v>
      </c>
      <c r="Z68" s="72">
        <v>28.3</v>
      </c>
      <c r="AA68" s="72">
        <v>28.3</v>
      </c>
      <c r="AB68" s="72">
        <v>28</v>
      </c>
      <c r="AC68" s="72">
        <v>16</v>
      </c>
      <c r="AD68" s="72">
        <v>17</v>
      </c>
      <c r="AE68" s="72">
        <v>16</v>
      </c>
      <c r="AF68" s="50">
        <v>17</v>
      </c>
      <c r="AG68" s="61">
        <v>32</v>
      </c>
      <c r="AH68" s="52">
        <f t="shared" si="2"/>
        <v>28.8</v>
      </c>
      <c r="AI68" s="53">
        <f t="shared" si="3"/>
        <v>16</v>
      </c>
      <c r="AK68" s="54"/>
    </row>
    <row r="69" spans="1:40" ht="15.75" thickBot="1" x14ac:dyDescent="0.3">
      <c r="A69" s="78" t="s">
        <v>73</v>
      </c>
      <c r="B69" s="50">
        <v>8.6</v>
      </c>
      <c r="C69" s="74">
        <v>5.9</v>
      </c>
      <c r="D69" s="74">
        <v>5.9</v>
      </c>
      <c r="E69" s="74">
        <v>8.3000000000000007</v>
      </c>
      <c r="F69" s="74">
        <v>7.6</v>
      </c>
      <c r="G69" s="74">
        <v>10.199999999999999</v>
      </c>
      <c r="H69" s="74">
        <v>10.199999999999999</v>
      </c>
      <c r="I69" s="74">
        <v>10.5</v>
      </c>
      <c r="J69" s="74">
        <v>10.5</v>
      </c>
      <c r="K69" s="74">
        <v>10.5</v>
      </c>
      <c r="L69" s="74">
        <v>10.5</v>
      </c>
      <c r="M69" s="74">
        <v>10.5</v>
      </c>
      <c r="N69" s="74">
        <v>6.1</v>
      </c>
      <c r="O69" s="74">
        <v>8.1</v>
      </c>
      <c r="P69" s="74">
        <v>10.3</v>
      </c>
      <c r="Q69" s="74">
        <v>10.3</v>
      </c>
      <c r="R69" s="74">
        <v>10.3</v>
      </c>
      <c r="S69" s="74">
        <v>8.1</v>
      </c>
      <c r="T69" s="74">
        <v>10.199999999999999</v>
      </c>
      <c r="U69" s="74">
        <v>10.199999999999999</v>
      </c>
      <c r="V69" s="74">
        <v>10.1</v>
      </c>
      <c r="W69" s="74">
        <v>8.2100000000000009</v>
      </c>
      <c r="X69" s="74">
        <v>10.3</v>
      </c>
      <c r="Y69" s="74">
        <v>10.3</v>
      </c>
      <c r="Z69" s="74">
        <v>10.3</v>
      </c>
      <c r="AA69" s="74">
        <v>10.3</v>
      </c>
      <c r="AB69" s="74">
        <v>10.199999999999999</v>
      </c>
      <c r="AC69" s="74">
        <v>6</v>
      </c>
      <c r="AD69" s="74">
        <v>6</v>
      </c>
      <c r="AE69" s="74">
        <v>5.9</v>
      </c>
      <c r="AF69" s="50">
        <v>6.2</v>
      </c>
      <c r="AG69" s="75">
        <v>14</v>
      </c>
      <c r="AH69" s="52">
        <f t="shared" si="2"/>
        <v>10.5</v>
      </c>
      <c r="AI69" s="53">
        <f t="shared" si="3"/>
        <v>5.9</v>
      </c>
      <c r="AK69" s="54"/>
    </row>
    <row r="70" spans="1:40" ht="15.75" thickBot="1" x14ac:dyDescent="0.3">
      <c r="A70" s="81" t="s">
        <v>74</v>
      </c>
      <c r="B70" s="67">
        <f t="shared" ref="B70:H70" si="13">B67+B68+B69</f>
        <v>82.9</v>
      </c>
      <c r="C70" s="67">
        <f t="shared" si="13"/>
        <v>61.9</v>
      </c>
      <c r="D70" s="67">
        <f t="shared" si="13"/>
        <v>71.200000000000017</v>
      </c>
      <c r="E70" s="67">
        <f t="shared" si="13"/>
        <v>80.3</v>
      </c>
      <c r="F70" s="67">
        <f t="shared" si="13"/>
        <v>77.5</v>
      </c>
      <c r="G70" s="67">
        <f t="shared" si="13"/>
        <v>98.399999999999991</v>
      </c>
      <c r="H70" s="67">
        <f t="shared" si="13"/>
        <v>97.7</v>
      </c>
      <c r="I70" s="67">
        <v>0</v>
      </c>
      <c r="J70" s="67">
        <v>0</v>
      </c>
      <c r="K70" s="67">
        <v>0</v>
      </c>
      <c r="L70" s="67">
        <f>L67+L68+L69</f>
        <v>89.2</v>
      </c>
      <c r="M70" s="67">
        <f t="shared" ref="M70:AF70" si="14">M67+M68+M69</f>
        <v>83.5</v>
      </c>
      <c r="N70" s="67">
        <f t="shared" si="14"/>
        <v>66.099999999999994</v>
      </c>
      <c r="O70" s="67">
        <f t="shared" si="14"/>
        <v>79.599999999999994</v>
      </c>
      <c r="P70" s="67">
        <f t="shared" si="14"/>
        <v>96.5</v>
      </c>
      <c r="Q70" s="67">
        <f t="shared" si="14"/>
        <v>96.5</v>
      </c>
      <c r="R70" s="67">
        <f t="shared" si="14"/>
        <v>82.3</v>
      </c>
      <c r="S70" s="67">
        <f t="shared" si="14"/>
        <v>90.199999999999989</v>
      </c>
      <c r="T70" s="67">
        <f>T67+T68+T69</f>
        <v>98.5</v>
      </c>
      <c r="U70" s="67">
        <f t="shared" si="14"/>
        <v>98.5</v>
      </c>
      <c r="V70" s="67">
        <f t="shared" si="14"/>
        <v>97.699999999999989</v>
      </c>
      <c r="W70" s="67">
        <f t="shared" si="14"/>
        <v>90.210000000000008</v>
      </c>
      <c r="X70" s="67">
        <f t="shared" si="14"/>
        <v>98.6</v>
      </c>
      <c r="Y70" s="67">
        <f t="shared" si="14"/>
        <v>98.6</v>
      </c>
      <c r="Z70" s="67">
        <f t="shared" si="14"/>
        <v>98.6</v>
      </c>
      <c r="AA70" s="67">
        <f t="shared" si="14"/>
        <v>98.6</v>
      </c>
      <c r="AB70" s="67">
        <f t="shared" si="14"/>
        <v>98.2</v>
      </c>
      <c r="AC70" s="67">
        <f t="shared" si="14"/>
        <v>56</v>
      </c>
      <c r="AD70" s="67">
        <f t="shared" si="14"/>
        <v>63</v>
      </c>
      <c r="AE70" s="67">
        <f t="shared" si="14"/>
        <v>61.9</v>
      </c>
      <c r="AF70" s="67">
        <f t="shared" si="14"/>
        <v>63.2</v>
      </c>
      <c r="AG70" s="68">
        <f>SUM(AG67:AG69)</f>
        <v>106</v>
      </c>
      <c r="AH70" s="52">
        <f t="shared" si="2"/>
        <v>98.6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49.1</v>
      </c>
      <c r="C71" s="50">
        <v>54.7</v>
      </c>
      <c r="D71" s="50">
        <v>56.8</v>
      </c>
      <c r="E71" s="50">
        <v>61.8</v>
      </c>
      <c r="F71" s="50">
        <v>55.6</v>
      </c>
      <c r="G71" s="50">
        <v>62.4</v>
      </c>
      <c r="H71" s="50">
        <v>52</v>
      </c>
      <c r="I71" s="50">
        <v>60.6</v>
      </c>
      <c r="J71" s="50">
        <v>58.9</v>
      </c>
      <c r="K71" s="50">
        <v>53.8</v>
      </c>
      <c r="L71" s="50">
        <v>50.4</v>
      </c>
      <c r="M71" s="50">
        <v>50</v>
      </c>
      <c r="N71" s="50">
        <v>44.7</v>
      </c>
      <c r="O71" s="50">
        <v>42.3</v>
      </c>
      <c r="P71" s="50">
        <v>48.5</v>
      </c>
      <c r="Q71" s="50">
        <v>51</v>
      </c>
      <c r="R71" s="50">
        <v>59</v>
      </c>
      <c r="S71" s="50">
        <v>51</v>
      </c>
      <c r="T71" s="50">
        <v>57.1</v>
      </c>
      <c r="U71" s="50">
        <v>62</v>
      </c>
      <c r="V71" s="50">
        <v>58.1</v>
      </c>
      <c r="W71" s="50">
        <v>44.5</v>
      </c>
      <c r="X71" s="50">
        <v>55.6</v>
      </c>
      <c r="Y71" s="50">
        <v>60.9</v>
      </c>
      <c r="Z71" s="50">
        <v>64</v>
      </c>
      <c r="AA71" s="50">
        <v>55</v>
      </c>
      <c r="AB71" s="50">
        <v>51.5</v>
      </c>
      <c r="AC71" s="50">
        <v>62</v>
      </c>
      <c r="AD71" s="50">
        <v>44</v>
      </c>
      <c r="AE71" s="50">
        <v>40</v>
      </c>
      <c r="AF71" s="50">
        <v>53</v>
      </c>
      <c r="AG71" s="56"/>
      <c r="AH71" s="52">
        <f t="shared" si="2"/>
        <v>64</v>
      </c>
      <c r="AI71" s="53">
        <f t="shared" si="3"/>
        <v>40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298</v>
      </c>
      <c r="C73" s="72">
        <v>308.60000000000002</v>
      </c>
      <c r="D73" s="72">
        <v>317.39999999999998</v>
      </c>
      <c r="E73" s="72">
        <v>307</v>
      </c>
      <c r="F73" s="72">
        <v>322.3</v>
      </c>
      <c r="G73" s="72">
        <v>333.2</v>
      </c>
      <c r="H73" s="72">
        <v>331.5</v>
      </c>
      <c r="I73" s="72">
        <v>287.10000000000002</v>
      </c>
      <c r="J73" s="72">
        <v>268.10000000000002</v>
      </c>
      <c r="K73" s="72">
        <v>286.5</v>
      </c>
      <c r="L73" s="72">
        <v>289</v>
      </c>
      <c r="M73" s="72">
        <v>308</v>
      </c>
      <c r="N73" s="72">
        <v>296</v>
      </c>
      <c r="O73" s="72">
        <v>312</v>
      </c>
      <c r="P73" s="72">
        <v>345</v>
      </c>
      <c r="Q73" s="72">
        <v>309</v>
      </c>
      <c r="R73" s="72">
        <v>318</v>
      </c>
      <c r="S73" s="72">
        <v>360</v>
      </c>
      <c r="T73" s="72">
        <v>345</v>
      </c>
      <c r="U73" s="72">
        <v>303</v>
      </c>
      <c r="V73" s="72">
        <v>325</v>
      </c>
      <c r="W73" s="72">
        <v>364</v>
      </c>
      <c r="X73" s="72">
        <v>330</v>
      </c>
      <c r="Y73" s="72">
        <v>308.8</v>
      </c>
      <c r="Z73" s="72">
        <v>276</v>
      </c>
      <c r="AA73" s="72">
        <v>273</v>
      </c>
      <c r="AB73" s="72">
        <v>278.10000000000002</v>
      </c>
      <c r="AC73" s="72">
        <v>288</v>
      </c>
      <c r="AD73" s="72">
        <v>273</v>
      </c>
      <c r="AE73" s="72">
        <v>273</v>
      </c>
      <c r="AF73" s="72">
        <v>280</v>
      </c>
      <c r="AG73" s="82"/>
      <c r="AH73" s="52">
        <f t="shared" si="2"/>
        <v>364</v>
      </c>
      <c r="AI73" s="53">
        <f t="shared" si="3"/>
        <v>268.10000000000002</v>
      </c>
      <c r="AK73" s="54"/>
    </row>
    <row r="74" spans="1:40" x14ac:dyDescent="0.25">
      <c r="A74" s="60" t="s">
        <v>78</v>
      </c>
      <c r="B74" s="72">
        <v>52.7</v>
      </c>
      <c r="C74" s="72">
        <v>52.6</v>
      </c>
      <c r="D74" s="72">
        <v>52.2</v>
      </c>
      <c r="E74" s="83">
        <v>52.2</v>
      </c>
      <c r="F74" s="83">
        <v>51</v>
      </c>
      <c r="G74" s="83">
        <v>52.8</v>
      </c>
      <c r="H74" s="83">
        <v>52</v>
      </c>
      <c r="I74" s="83">
        <v>55</v>
      </c>
      <c r="J74" s="83">
        <v>51.9</v>
      </c>
      <c r="K74" s="83">
        <v>51.9</v>
      </c>
      <c r="L74" s="83">
        <v>50</v>
      </c>
      <c r="M74" s="83">
        <v>53.6</v>
      </c>
      <c r="N74" s="83">
        <v>53.6</v>
      </c>
      <c r="O74" s="83">
        <v>52.3</v>
      </c>
      <c r="P74" s="83">
        <v>56.5</v>
      </c>
      <c r="Q74" s="83">
        <v>56.5</v>
      </c>
      <c r="R74" s="83">
        <v>56.5</v>
      </c>
      <c r="S74" s="83">
        <v>54.7</v>
      </c>
      <c r="T74" s="83">
        <v>59</v>
      </c>
      <c r="U74" s="83">
        <v>58.8</v>
      </c>
      <c r="V74" s="83">
        <v>61</v>
      </c>
      <c r="W74" s="83">
        <v>61.1</v>
      </c>
      <c r="X74" s="83">
        <v>49.74</v>
      </c>
      <c r="Y74" s="72">
        <v>57.6</v>
      </c>
      <c r="Z74" s="72">
        <v>61.3</v>
      </c>
      <c r="AA74" s="72">
        <v>63</v>
      </c>
      <c r="AB74" s="72">
        <v>61.9</v>
      </c>
      <c r="AC74" s="72">
        <v>61</v>
      </c>
      <c r="AD74" s="72">
        <v>61</v>
      </c>
      <c r="AE74" s="72">
        <v>61</v>
      </c>
      <c r="AF74" s="72">
        <v>51</v>
      </c>
      <c r="AG74" s="82"/>
      <c r="AH74" s="52">
        <f t="shared" si="2"/>
        <v>63</v>
      </c>
      <c r="AI74" s="53">
        <f t="shared" si="3"/>
        <v>49.74</v>
      </c>
      <c r="AK74" s="54"/>
    </row>
    <row r="75" spans="1:40" x14ac:dyDescent="0.25">
      <c r="A75" s="60" t="s">
        <v>79</v>
      </c>
      <c r="B75" s="50">
        <v>29.4</v>
      </c>
      <c r="C75" s="50">
        <v>29.2</v>
      </c>
      <c r="D75" s="50">
        <v>27.2</v>
      </c>
      <c r="E75" s="50">
        <v>26.1</v>
      </c>
      <c r="F75" s="50">
        <v>26.9</v>
      </c>
      <c r="G75" s="50">
        <v>24.8</v>
      </c>
      <c r="H75" s="50">
        <v>25.2</v>
      </c>
      <c r="I75" s="50">
        <v>25.2</v>
      </c>
      <c r="J75" s="50">
        <v>25.6</v>
      </c>
      <c r="K75" s="50">
        <v>25.6</v>
      </c>
      <c r="L75" s="50">
        <v>28.7</v>
      </c>
      <c r="M75" s="50">
        <v>28.7</v>
      </c>
      <c r="N75" s="50">
        <v>31.7</v>
      </c>
      <c r="O75" s="50">
        <v>34.299999999999997</v>
      </c>
      <c r="P75" s="50">
        <v>33.200000000000003</v>
      </c>
      <c r="Q75" s="50">
        <v>34.5</v>
      </c>
      <c r="R75" s="50">
        <v>34.5</v>
      </c>
      <c r="S75" s="50">
        <v>32.299999999999997</v>
      </c>
      <c r="T75" s="50">
        <v>34.1</v>
      </c>
      <c r="U75" s="50">
        <v>29.9</v>
      </c>
      <c r="V75" s="50">
        <v>28.9</v>
      </c>
      <c r="W75" s="50">
        <v>28.9</v>
      </c>
      <c r="X75" s="50">
        <v>24</v>
      </c>
      <c r="Y75" s="50">
        <v>25.6</v>
      </c>
      <c r="Z75" s="50">
        <v>24</v>
      </c>
      <c r="AA75" s="50">
        <v>23.1</v>
      </c>
      <c r="AB75" s="50">
        <v>22.9</v>
      </c>
      <c r="AC75" s="50">
        <v>22</v>
      </c>
      <c r="AD75" s="50">
        <v>22</v>
      </c>
      <c r="AE75" s="50">
        <v>22</v>
      </c>
      <c r="AF75" s="50">
        <v>26</v>
      </c>
      <c r="AG75" s="82"/>
      <c r="AH75" s="52">
        <f t="shared" ref="AH75:AH117" si="15">MAX(B75:AF75)</f>
        <v>34.5</v>
      </c>
      <c r="AI75" s="53">
        <f t="shared" ref="AI75:AI117" si="16">MIN(B75:AF75)</f>
        <v>22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5"/>
        <v>0</v>
      </c>
      <c r="AI76" s="53">
        <f t="shared" si="16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5"/>
        <v>0</v>
      </c>
      <c r="AI77" s="53">
        <f t="shared" si="16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5"/>
        <v>0</v>
      </c>
      <c r="AI78" s="53">
        <f t="shared" si="16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5"/>
        <v>0</v>
      </c>
      <c r="AI79" s="53">
        <f t="shared" si="16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5"/>
        <v>0</v>
      </c>
      <c r="AI80" s="53">
        <f t="shared" si="16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5"/>
        <v>0</v>
      </c>
      <c r="AI81" s="53">
        <f t="shared" si="16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17">SUMIF(B71:B81,"&gt;0")</f>
        <v>429.2</v>
      </c>
      <c r="C82" s="67">
        <f t="shared" ref="C82:AF82" si="18">SUMIF(C71:C81,"&gt;0")</f>
        <v>445.1</v>
      </c>
      <c r="D82" s="67">
        <f t="shared" si="18"/>
        <v>453.59999999999997</v>
      </c>
      <c r="E82" s="67">
        <f t="shared" si="18"/>
        <v>447.1</v>
      </c>
      <c r="F82" s="67">
        <f t="shared" si="18"/>
        <v>455.8</v>
      </c>
      <c r="G82" s="67">
        <f t="shared" si="18"/>
        <v>473.2</v>
      </c>
      <c r="H82" s="67">
        <f t="shared" si="18"/>
        <v>460.7</v>
      </c>
      <c r="I82" s="67">
        <f t="shared" si="18"/>
        <v>427.90000000000003</v>
      </c>
      <c r="J82" s="67">
        <f t="shared" si="18"/>
        <v>404.5</v>
      </c>
      <c r="K82" s="67">
        <f t="shared" si="18"/>
        <v>417.8</v>
      </c>
      <c r="L82" s="67">
        <f t="shared" si="18"/>
        <v>418.09999999999997</v>
      </c>
      <c r="M82" s="67">
        <f t="shared" si="18"/>
        <v>440.3</v>
      </c>
      <c r="N82" s="67">
        <f t="shared" si="18"/>
        <v>426</v>
      </c>
      <c r="O82" s="67">
        <f t="shared" si="18"/>
        <v>440.90000000000003</v>
      </c>
      <c r="P82" s="67">
        <f t="shared" si="18"/>
        <v>483.2</v>
      </c>
      <c r="Q82" s="67">
        <f t="shared" si="18"/>
        <v>451</v>
      </c>
      <c r="R82" s="67">
        <f t="shared" si="18"/>
        <v>468</v>
      </c>
      <c r="S82" s="67">
        <f t="shared" si="18"/>
        <v>498</v>
      </c>
      <c r="T82" s="67">
        <f>SUMIF(T71:T81,"&gt;0")</f>
        <v>495.20000000000005</v>
      </c>
      <c r="U82" s="67">
        <f t="shared" si="18"/>
        <v>453.7</v>
      </c>
      <c r="V82" s="67">
        <f t="shared" si="18"/>
        <v>473</v>
      </c>
      <c r="W82" s="67">
        <f t="shared" si="18"/>
        <v>498.5</v>
      </c>
      <c r="X82" s="67">
        <f t="shared" si="18"/>
        <v>459.34000000000003</v>
      </c>
      <c r="Y82" s="67">
        <f t="shared" si="18"/>
        <v>452.90000000000003</v>
      </c>
      <c r="Z82" s="67">
        <f t="shared" si="18"/>
        <v>425.3</v>
      </c>
      <c r="AA82" s="67">
        <f t="shared" si="18"/>
        <v>414.1</v>
      </c>
      <c r="AB82" s="67">
        <f t="shared" si="18"/>
        <v>414.4</v>
      </c>
      <c r="AC82" s="67">
        <f t="shared" si="18"/>
        <v>433</v>
      </c>
      <c r="AD82" s="67">
        <f t="shared" si="18"/>
        <v>400</v>
      </c>
      <c r="AE82" s="67">
        <f t="shared" si="18"/>
        <v>396</v>
      </c>
      <c r="AF82" s="67">
        <f t="shared" si="18"/>
        <v>410</v>
      </c>
      <c r="AG82" s="95">
        <f>SUM(AG71:AG81)</f>
        <v>0</v>
      </c>
      <c r="AH82" s="52">
        <f t="shared" si="15"/>
        <v>498.5</v>
      </c>
      <c r="AI82" s="53">
        <f t="shared" si="16"/>
        <v>396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5"/>
        <v>0</v>
      </c>
      <c r="AI83" s="53">
        <f t="shared" si="16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5"/>
        <v>0</v>
      </c>
      <c r="AI84" s="53">
        <f t="shared" si="16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5"/>
        <v>0</v>
      </c>
      <c r="AI85" s="53">
        <f t="shared" si="16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5"/>
        <v>0</v>
      </c>
      <c r="AI86" s="53">
        <f t="shared" si="16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19">B48+B52+B70+B66+B82+B86</f>
        <v>1222.3399999999999</v>
      </c>
      <c r="C87" s="102">
        <f t="shared" ref="C87:AG87" si="20">C48+C52+C70+C66+C82+C86</f>
        <v>1178.8399999999999</v>
      </c>
      <c r="D87" s="102">
        <f t="shared" si="20"/>
        <v>1160.74</v>
      </c>
      <c r="E87" s="102">
        <f t="shared" si="20"/>
        <v>1140.2399999999998</v>
      </c>
      <c r="F87" s="102">
        <f t="shared" si="20"/>
        <v>1148.24</v>
      </c>
      <c r="G87" s="102">
        <f t="shared" si="20"/>
        <v>1180.9399999999998</v>
      </c>
      <c r="H87" s="102">
        <f t="shared" si="20"/>
        <v>1216.74</v>
      </c>
      <c r="I87" s="102">
        <f t="shared" si="20"/>
        <v>1085.94</v>
      </c>
      <c r="J87" s="102">
        <f t="shared" si="20"/>
        <v>1089.04</v>
      </c>
      <c r="K87" s="102">
        <f t="shared" si="20"/>
        <v>1124.3399999999999</v>
      </c>
      <c r="L87" s="102">
        <f t="shared" si="20"/>
        <v>1228.3399999999999</v>
      </c>
      <c r="M87" s="102">
        <f t="shared" si="20"/>
        <v>1244.6399999999999</v>
      </c>
      <c r="N87" s="102">
        <f t="shared" si="20"/>
        <v>1202.3400000000001</v>
      </c>
      <c r="O87" s="102">
        <f t="shared" si="20"/>
        <v>1301.6400000000001</v>
      </c>
      <c r="P87" s="102">
        <f t="shared" si="20"/>
        <v>1408.74</v>
      </c>
      <c r="Q87" s="102">
        <f t="shared" si="20"/>
        <v>1387.04</v>
      </c>
      <c r="R87" s="102">
        <f t="shared" si="20"/>
        <v>1389.84</v>
      </c>
      <c r="S87" s="102">
        <f t="shared" si="20"/>
        <v>1422.3400000000001</v>
      </c>
      <c r="T87" s="102">
        <f t="shared" si="20"/>
        <v>1434.54</v>
      </c>
      <c r="U87" s="102">
        <f t="shared" si="20"/>
        <v>1448.64</v>
      </c>
      <c r="V87" s="102">
        <f t="shared" si="20"/>
        <v>1378.77</v>
      </c>
      <c r="W87" s="102">
        <f t="shared" si="20"/>
        <v>1379.98</v>
      </c>
      <c r="X87" s="102">
        <f t="shared" si="20"/>
        <v>1338.71</v>
      </c>
      <c r="Y87" s="102">
        <f t="shared" si="20"/>
        <v>1392.3400000000001</v>
      </c>
      <c r="Z87" s="102">
        <f t="shared" si="20"/>
        <v>1476.64</v>
      </c>
      <c r="AA87" s="102">
        <f t="shared" si="20"/>
        <v>1435.44</v>
      </c>
      <c r="AB87" s="102">
        <f t="shared" si="20"/>
        <v>1383.04</v>
      </c>
      <c r="AC87" s="102">
        <f t="shared" si="20"/>
        <v>1346.24</v>
      </c>
      <c r="AD87" s="102">
        <f t="shared" si="20"/>
        <v>1283.8400000000001</v>
      </c>
      <c r="AE87" s="102">
        <f t="shared" si="20"/>
        <v>1253.6399999999999</v>
      </c>
      <c r="AF87" s="102">
        <f t="shared" si="20"/>
        <v>1161.94</v>
      </c>
      <c r="AG87" s="68">
        <f t="shared" si="20"/>
        <v>2065.09</v>
      </c>
      <c r="AH87" s="52">
        <f>MAX(B87:AF87)</f>
        <v>1476.64</v>
      </c>
      <c r="AI87" s="53">
        <f>MIN(B87:AF87)</f>
        <v>1085.94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>
        <v>180</v>
      </c>
      <c r="K88" s="104">
        <v>180</v>
      </c>
      <c r="L88" s="104">
        <v>180</v>
      </c>
      <c r="M88" s="104">
        <v>180</v>
      </c>
      <c r="N88" s="104">
        <v>180</v>
      </c>
      <c r="O88" s="104">
        <v>140</v>
      </c>
      <c r="P88" s="104"/>
      <c r="Q88" s="104"/>
      <c r="R88" s="104"/>
      <c r="S88" s="104"/>
      <c r="T88" s="104"/>
      <c r="U88" s="104"/>
      <c r="V88" s="104"/>
      <c r="W88" s="104"/>
      <c r="X88" s="104"/>
      <c r="Y88" s="104">
        <v>200</v>
      </c>
      <c r="Z88" s="104">
        <v>200</v>
      </c>
      <c r="AA88" s="104">
        <v>100</v>
      </c>
      <c r="AB88" s="104">
        <v>100</v>
      </c>
      <c r="AC88" s="104"/>
      <c r="AD88" s="104"/>
      <c r="AE88" s="104"/>
      <c r="AF88" s="104"/>
      <c r="AG88" s="95"/>
      <c r="AH88" s="52">
        <f t="shared" si="15"/>
        <v>200</v>
      </c>
      <c r="AI88" s="53">
        <f t="shared" si="16"/>
        <v>100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21">B87+B88</f>
        <v>1222.3399999999999</v>
      </c>
      <c r="C89" s="102">
        <f t="shared" ref="C89:AF89" si="22">C87+C88</f>
        <v>1178.8399999999999</v>
      </c>
      <c r="D89" s="102">
        <f t="shared" si="22"/>
        <v>1160.74</v>
      </c>
      <c r="E89" s="102">
        <f t="shared" si="22"/>
        <v>1140.2399999999998</v>
      </c>
      <c r="F89" s="102">
        <f t="shared" si="22"/>
        <v>1148.24</v>
      </c>
      <c r="G89" s="102">
        <f t="shared" si="22"/>
        <v>1180.9399999999998</v>
      </c>
      <c r="H89" s="102">
        <f t="shared" si="22"/>
        <v>1216.74</v>
      </c>
      <c r="I89" s="102">
        <f t="shared" si="22"/>
        <v>1085.94</v>
      </c>
      <c r="J89" s="102">
        <f t="shared" si="22"/>
        <v>1269.04</v>
      </c>
      <c r="K89" s="102">
        <f t="shared" si="22"/>
        <v>1304.3399999999999</v>
      </c>
      <c r="L89" s="102">
        <f t="shared" si="22"/>
        <v>1408.34</v>
      </c>
      <c r="M89" s="102">
        <f t="shared" si="22"/>
        <v>1424.6399999999999</v>
      </c>
      <c r="N89" s="102">
        <f t="shared" si="22"/>
        <v>1382.3400000000001</v>
      </c>
      <c r="O89" s="102">
        <f t="shared" si="22"/>
        <v>1441.64</v>
      </c>
      <c r="P89" s="102">
        <f t="shared" si="22"/>
        <v>1408.74</v>
      </c>
      <c r="Q89" s="102">
        <f t="shared" si="22"/>
        <v>1387.04</v>
      </c>
      <c r="R89" s="102">
        <f t="shared" si="22"/>
        <v>1389.84</v>
      </c>
      <c r="S89" s="102">
        <f t="shared" si="22"/>
        <v>1422.3400000000001</v>
      </c>
      <c r="T89" s="102">
        <f t="shared" si="22"/>
        <v>1434.54</v>
      </c>
      <c r="U89" s="102">
        <f t="shared" si="22"/>
        <v>1448.64</v>
      </c>
      <c r="V89" s="102">
        <f t="shared" si="22"/>
        <v>1378.77</v>
      </c>
      <c r="W89" s="102">
        <f t="shared" si="22"/>
        <v>1379.98</v>
      </c>
      <c r="X89" s="102">
        <f t="shared" si="22"/>
        <v>1338.71</v>
      </c>
      <c r="Y89" s="102">
        <f t="shared" si="22"/>
        <v>1592.3400000000001</v>
      </c>
      <c r="Z89" s="102">
        <f t="shared" si="22"/>
        <v>1676.64</v>
      </c>
      <c r="AA89" s="102">
        <f t="shared" si="22"/>
        <v>1535.44</v>
      </c>
      <c r="AB89" s="102">
        <f t="shared" si="22"/>
        <v>1483.04</v>
      </c>
      <c r="AC89" s="102">
        <f t="shared" si="22"/>
        <v>1346.24</v>
      </c>
      <c r="AD89" s="102">
        <f t="shared" si="22"/>
        <v>1283.8400000000001</v>
      </c>
      <c r="AE89" s="102">
        <f t="shared" si="22"/>
        <v>1253.6399999999999</v>
      </c>
      <c r="AF89" s="102">
        <f t="shared" si="22"/>
        <v>1161.94</v>
      </c>
      <c r="AG89" s="95">
        <f>AG86+AG82+AG70+AG66+AG48+AG88</f>
        <v>1526.99</v>
      </c>
      <c r="AH89" s="52">
        <f t="shared" si="15"/>
        <v>1676.64</v>
      </c>
      <c r="AI89" s="53">
        <f t="shared" si="16"/>
        <v>1085.94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23">B89-B97</f>
        <v>1222.3399999999999</v>
      </c>
      <c r="C90" s="102">
        <f t="shared" ref="C90:AF90" si="24">C89-C97</f>
        <v>1178.8399999999999</v>
      </c>
      <c r="D90" s="102">
        <f t="shared" si="24"/>
        <v>1160.74</v>
      </c>
      <c r="E90" s="102">
        <f t="shared" si="24"/>
        <v>1140.2399999999998</v>
      </c>
      <c r="F90" s="102">
        <f t="shared" si="24"/>
        <v>1148.24</v>
      </c>
      <c r="G90" s="102">
        <f t="shared" si="24"/>
        <v>1180.9399999999998</v>
      </c>
      <c r="H90" s="102">
        <f t="shared" si="24"/>
        <v>1216.74</v>
      </c>
      <c r="I90" s="102">
        <f t="shared" si="24"/>
        <v>1085.94</v>
      </c>
      <c r="J90" s="102">
        <f t="shared" si="24"/>
        <v>1269.04</v>
      </c>
      <c r="K90" s="102">
        <f t="shared" si="24"/>
        <v>1304.3399999999999</v>
      </c>
      <c r="L90" s="102">
        <f t="shared" si="24"/>
        <v>1408.34</v>
      </c>
      <c r="M90" s="102">
        <f t="shared" si="24"/>
        <v>1424.6399999999999</v>
      </c>
      <c r="N90" s="102">
        <f t="shared" si="24"/>
        <v>1382.3400000000001</v>
      </c>
      <c r="O90" s="102">
        <f t="shared" si="24"/>
        <v>1441.64</v>
      </c>
      <c r="P90" s="102">
        <f t="shared" si="24"/>
        <v>1408.74</v>
      </c>
      <c r="Q90" s="102">
        <f t="shared" si="24"/>
        <v>1387.04</v>
      </c>
      <c r="R90" s="102">
        <f t="shared" si="24"/>
        <v>1389.84</v>
      </c>
      <c r="S90" s="102">
        <f t="shared" si="24"/>
        <v>1422.3400000000001</v>
      </c>
      <c r="T90" s="102">
        <f t="shared" si="24"/>
        <v>1434.54</v>
      </c>
      <c r="U90" s="102">
        <f t="shared" si="24"/>
        <v>1448.64</v>
      </c>
      <c r="V90" s="102">
        <f t="shared" si="24"/>
        <v>1378.77</v>
      </c>
      <c r="W90" s="102">
        <f t="shared" si="24"/>
        <v>1379.98</v>
      </c>
      <c r="X90" s="102">
        <f t="shared" si="24"/>
        <v>1338.71</v>
      </c>
      <c r="Y90" s="102">
        <f t="shared" si="24"/>
        <v>1592.3400000000001</v>
      </c>
      <c r="Z90" s="102">
        <f t="shared" si="24"/>
        <v>1676.64</v>
      </c>
      <c r="AA90" s="102">
        <f t="shared" si="24"/>
        <v>1535.44</v>
      </c>
      <c r="AB90" s="102">
        <f t="shared" si="24"/>
        <v>1483.04</v>
      </c>
      <c r="AC90" s="102">
        <f t="shared" si="24"/>
        <v>1346.24</v>
      </c>
      <c r="AD90" s="102">
        <f t="shared" si="24"/>
        <v>1283.8400000000001</v>
      </c>
      <c r="AE90" s="102">
        <f t="shared" si="24"/>
        <v>1253.6399999999999</v>
      </c>
      <c r="AF90" s="102">
        <f t="shared" si="24"/>
        <v>1161.94</v>
      </c>
      <c r="AG90" s="95"/>
      <c r="AH90" s="52">
        <f t="shared" si="15"/>
        <v>1676.64</v>
      </c>
      <c r="AI90" s="53">
        <f t="shared" si="16"/>
        <v>1085.94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5"/>
        <v>0</v>
      </c>
      <c r="AI91" s="53">
        <f t="shared" si="16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5"/>
        <v>0</v>
      </c>
      <c r="AI92" s="53">
        <f t="shared" si="16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5"/>
        <v>0</v>
      </c>
      <c r="AI93" s="53">
        <f t="shared" si="16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5"/>
        <v>0</v>
      </c>
      <c r="AI94" s="53">
        <f t="shared" si="16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5"/>
        <v>0</v>
      </c>
      <c r="AI95" s="53">
        <f t="shared" si="16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5"/>
        <v>0</v>
      </c>
      <c r="AI96" s="53">
        <f t="shared" si="16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5"/>
        <v>0</v>
      </c>
      <c r="AI97" s="53">
        <f t="shared" si="16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" si="25">B82-B97</f>
        <v>429.2</v>
      </c>
      <c r="C98" s="67">
        <f t="shared" ref="C98:AF98" si="26">C82-C97</f>
        <v>445.1</v>
      </c>
      <c r="D98" s="67">
        <f t="shared" si="26"/>
        <v>453.59999999999997</v>
      </c>
      <c r="E98" s="67">
        <f t="shared" si="26"/>
        <v>447.1</v>
      </c>
      <c r="F98" s="67">
        <f t="shared" si="26"/>
        <v>455.8</v>
      </c>
      <c r="G98" s="67">
        <f t="shared" si="26"/>
        <v>473.2</v>
      </c>
      <c r="H98" s="67">
        <f t="shared" si="26"/>
        <v>460.7</v>
      </c>
      <c r="I98" s="67">
        <f t="shared" si="26"/>
        <v>427.90000000000003</v>
      </c>
      <c r="J98" s="67">
        <f t="shared" si="26"/>
        <v>404.5</v>
      </c>
      <c r="K98" s="67">
        <f t="shared" si="26"/>
        <v>417.8</v>
      </c>
      <c r="L98" s="67">
        <f t="shared" si="26"/>
        <v>418.09999999999997</v>
      </c>
      <c r="M98" s="67">
        <f t="shared" si="26"/>
        <v>440.3</v>
      </c>
      <c r="N98" s="67">
        <f t="shared" si="26"/>
        <v>426</v>
      </c>
      <c r="O98" s="67">
        <f t="shared" si="26"/>
        <v>440.90000000000003</v>
      </c>
      <c r="P98" s="67">
        <f t="shared" si="26"/>
        <v>483.2</v>
      </c>
      <c r="Q98" s="67">
        <f t="shared" si="26"/>
        <v>451</v>
      </c>
      <c r="R98" s="67">
        <f t="shared" si="26"/>
        <v>468</v>
      </c>
      <c r="S98" s="67">
        <f t="shared" si="26"/>
        <v>498</v>
      </c>
      <c r="T98" s="67">
        <f t="shared" si="26"/>
        <v>495.20000000000005</v>
      </c>
      <c r="U98" s="67">
        <f t="shared" si="26"/>
        <v>453.7</v>
      </c>
      <c r="V98" s="67">
        <f t="shared" si="26"/>
        <v>473</v>
      </c>
      <c r="W98" s="67">
        <f t="shared" si="26"/>
        <v>498.5</v>
      </c>
      <c r="X98" s="67">
        <f t="shared" si="26"/>
        <v>459.34000000000003</v>
      </c>
      <c r="Y98" s="67">
        <f t="shared" si="26"/>
        <v>452.90000000000003</v>
      </c>
      <c r="Z98" s="67">
        <f t="shared" si="26"/>
        <v>425.3</v>
      </c>
      <c r="AA98" s="67">
        <f t="shared" si="26"/>
        <v>414.1</v>
      </c>
      <c r="AB98" s="67">
        <f t="shared" si="26"/>
        <v>414.4</v>
      </c>
      <c r="AC98" s="67">
        <f t="shared" si="26"/>
        <v>433</v>
      </c>
      <c r="AD98" s="67">
        <f t="shared" si="26"/>
        <v>400</v>
      </c>
      <c r="AE98" s="67">
        <f t="shared" si="26"/>
        <v>396</v>
      </c>
      <c r="AF98" s="67">
        <f t="shared" si="26"/>
        <v>410</v>
      </c>
      <c r="AG98" s="95"/>
      <c r="AH98" s="52">
        <f t="shared" si="15"/>
        <v>498.5</v>
      </c>
      <c r="AI98" s="53">
        <f t="shared" si="16"/>
        <v>396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49.99</v>
      </c>
      <c r="C99" s="108">
        <v>50.08</v>
      </c>
      <c r="D99" s="108">
        <v>49.97</v>
      </c>
      <c r="E99" s="108">
        <v>49.942999999999998</v>
      </c>
      <c r="F99" s="108">
        <v>49.954999999999998</v>
      </c>
      <c r="G99" s="108">
        <v>49.927999999999997</v>
      </c>
      <c r="H99" s="108">
        <v>50.091999999999999</v>
      </c>
      <c r="I99" s="108">
        <v>50.023000000000003</v>
      </c>
      <c r="J99" s="108">
        <v>50.05</v>
      </c>
      <c r="K99" s="108">
        <v>50.05</v>
      </c>
      <c r="L99" s="108">
        <v>50.04</v>
      </c>
      <c r="M99" s="108">
        <v>50.04</v>
      </c>
      <c r="N99" s="108">
        <v>50.07</v>
      </c>
      <c r="O99" s="108">
        <v>50.052999999999997</v>
      </c>
      <c r="P99" s="108">
        <v>49.987000000000002</v>
      </c>
      <c r="Q99" s="108">
        <v>49.987000000000002</v>
      </c>
      <c r="R99" s="108">
        <v>49.762999999999998</v>
      </c>
      <c r="S99" s="108">
        <v>50.027999999999999</v>
      </c>
      <c r="T99" s="108">
        <v>49.951999999999998</v>
      </c>
      <c r="U99" s="108">
        <v>49.784999999999997</v>
      </c>
      <c r="V99" s="108">
        <v>50.091999999999999</v>
      </c>
      <c r="W99" s="108">
        <v>50.034999999999997</v>
      </c>
      <c r="X99" s="108">
        <v>49.917000000000002</v>
      </c>
      <c r="Y99" s="108">
        <v>49.917000000000002</v>
      </c>
      <c r="Z99" s="108">
        <v>49.926000000000002</v>
      </c>
      <c r="AA99" s="108">
        <v>49.924999999999997</v>
      </c>
      <c r="AB99" s="108">
        <v>50.030999999999999</v>
      </c>
      <c r="AC99" s="108">
        <v>49.881</v>
      </c>
      <c r="AD99" s="108">
        <v>49.878</v>
      </c>
      <c r="AE99" s="108">
        <v>50.030999999999999</v>
      </c>
      <c r="AF99" s="108">
        <v>49.898000000000003</v>
      </c>
      <c r="AG99" s="109"/>
      <c r="AH99" s="52">
        <f t="shared" si="15"/>
        <v>50.091999999999999</v>
      </c>
      <c r="AI99" s="53">
        <f t="shared" si="16"/>
        <v>49.762999999999998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127.5</v>
      </c>
      <c r="C100" s="72">
        <v>127</v>
      </c>
      <c r="D100" s="72">
        <v>127.8</v>
      </c>
      <c r="E100" s="72">
        <v>128.19999999999999</v>
      </c>
      <c r="F100" s="72">
        <v>126.8</v>
      </c>
      <c r="G100" s="72">
        <v>126.2</v>
      </c>
      <c r="H100" s="72">
        <v>128.1</v>
      </c>
      <c r="I100" s="72">
        <v>128.19999999999999</v>
      </c>
      <c r="J100" s="72">
        <v>128.9</v>
      </c>
      <c r="K100" s="72">
        <v>128.9</v>
      </c>
      <c r="L100" s="72">
        <v>128.5</v>
      </c>
      <c r="M100" s="72">
        <v>127.1</v>
      </c>
      <c r="N100" s="72">
        <v>127.7</v>
      </c>
      <c r="O100" s="72">
        <v>127.7</v>
      </c>
      <c r="P100" s="72">
        <v>124.7</v>
      </c>
      <c r="Q100" s="72">
        <v>124.7</v>
      </c>
      <c r="R100" s="72">
        <v>125.6</v>
      </c>
      <c r="S100" s="72">
        <v>124.2</v>
      </c>
      <c r="T100" s="72">
        <v>124.4</v>
      </c>
      <c r="U100" s="72">
        <v>125.6</v>
      </c>
      <c r="V100" s="72">
        <v>1289.0999999999999</v>
      </c>
      <c r="W100" s="72">
        <v>125.9</v>
      </c>
      <c r="X100" s="72">
        <v>128</v>
      </c>
      <c r="Y100" s="72">
        <v>128</v>
      </c>
      <c r="Z100" s="72">
        <v>129.30000000000001</v>
      </c>
      <c r="AA100" s="72">
        <v>129.6</v>
      </c>
      <c r="AB100" s="72">
        <v>129.9</v>
      </c>
      <c r="AC100" s="72">
        <v>129.9</v>
      </c>
      <c r="AD100" s="72">
        <v>129</v>
      </c>
      <c r="AE100" s="72">
        <v>129.9</v>
      </c>
      <c r="AF100" s="72">
        <v>128</v>
      </c>
      <c r="AG100" s="111"/>
      <c r="AH100" s="52">
        <f t="shared" si="15"/>
        <v>1289.0999999999999</v>
      </c>
      <c r="AI100" s="53">
        <f t="shared" si="16"/>
        <v>124.2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131.6</v>
      </c>
      <c r="C101" s="72">
        <v>131.80000000000001</v>
      </c>
      <c r="D101" s="72">
        <v>132</v>
      </c>
      <c r="E101" s="72">
        <v>132.1</v>
      </c>
      <c r="F101" s="72">
        <v>131.30000000000001</v>
      </c>
      <c r="G101" s="72">
        <v>130.30000000000001</v>
      </c>
      <c r="H101" s="72">
        <v>131.5</v>
      </c>
      <c r="I101" s="72">
        <v>130.69999999999999</v>
      </c>
      <c r="J101" s="72">
        <v>130.19999999999999</v>
      </c>
      <c r="K101" s="72">
        <v>130.19999999999999</v>
      </c>
      <c r="L101" s="72">
        <v>129.5</v>
      </c>
      <c r="M101" s="72">
        <v>128.4</v>
      </c>
      <c r="N101" s="72">
        <v>129.4</v>
      </c>
      <c r="O101" s="72">
        <v>129.4</v>
      </c>
      <c r="P101" s="72">
        <v>128.6</v>
      </c>
      <c r="Q101" s="72">
        <v>128.6</v>
      </c>
      <c r="R101" s="72">
        <v>129</v>
      </c>
      <c r="S101" s="72">
        <v>128.19999999999999</v>
      </c>
      <c r="T101" s="72">
        <v>128.30000000000001</v>
      </c>
      <c r="U101" s="72">
        <v>128.5</v>
      </c>
      <c r="V101" s="72">
        <v>130.6</v>
      </c>
      <c r="W101" s="72">
        <v>128.80000000000001</v>
      </c>
      <c r="X101" s="72">
        <v>130</v>
      </c>
      <c r="Y101" s="72">
        <v>130</v>
      </c>
      <c r="Z101" s="72">
        <v>130.80000000000001</v>
      </c>
      <c r="AA101" s="72">
        <v>130.80000000000001</v>
      </c>
      <c r="AB101" s="72">
        <v>131.69999999999999</v>
      </c>
      <c r="AC101" s="72">
        <v>131.69999999999999</v>
      </c>
      <c r="AD101" s="72">
        <v>131.69999999999999</v>
      </c>
      <c r="AE101" s="72">
        <v>132</v>
      </c>
      <c r="AF101" s="72">
        <v>131.69999999999999</v>
      </c>
      <c r="AG101" s="111"/>
      <c r="AH101" s="52">
        <f t="shared" si="15"/>
        <v>132.1</v>
      </c>
      <c r="AI101" s="53">
        <f t="shared" si="16"/>
        <v>128.19999999999999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132.9</v>
      </c>
      <c r="C102" s="72">
        <v>132.6</v>
      </c>
      <c r="D102" s="72">
        <v>132.5</v>
      </c>
      <c r="E102" s="72">
        <v>132.5</v>
      </c>
      <c r="F102" s="72">
        <v>132.80000000000001</v>
      </c>
      <c r="G102" s="72">
        <v>132.19999999999999</v>
      </c>
      <c r="H102" s="72">
        <v>132.1</v>
      </c>
      <c r="I102" s="72">
        <v>131.9</v>
      </c>
      <c r="J102" s="72">
        <v>130.69999999999999</v>
      </c>
      <c r="K102" s="72">
        <v>130.69999999999999</v>
      </c>
      <c r="L102" s="72">
        <v>130.4</v>
      </c>
      <c r="M102" s="72">
        <v>127.9</v>
      </c>
      <c r="N102" s="72">
        <v>129.4</v>
      </c>
      <c r="O102" s="72">
        <v>129.4</v>
      </c>
      <c r="P102" s="72">
        <v>129</v>
      </c>
      <c r="Q102" s="72">
        <v>129</v>
      </c>
      <c r="R102" s="72">
        <v>128</v>
      </c>
      <c r="S102" s="72">
        <v>130.6</v>
      </c>
      <c r="T102" s="72">
        <v>131</v>
      </c>
      <c r="U102" s="72">
        <v>130.5</v>
      </c>
      <c r="V102" s="72">
        <v>129.78</v>
      </c>
      <c r="W102" s="72">
        <v>131.30000000000001</v>
      </c>
      <c r="X102" s="72">
        <v>130.69999999999999</v>
      </c>
      <c r="Y102" s="72">
        <v>130.69999999999999</v>
      </c>
      <c r="Z102" s="72">
        <v>129.69999999999999</v>
      </c>
      <c r="AA102" s="72">
        <v>129.69999999999999</v>
      </c>
      <c r="AB102" s="72">
        <v>129.5</v>
      </c>
      <c r="AC102" s="72">
        <v>129.5</v>
      </c>
      <c r="AD102" s="72">
        <v>129.5</v>
      </c>
      <c r="AE102" s="72">
        <v>129.5</v>
      </c>
      <c r="AF102" s="72">
        <v>129.5</v>
      </c>
      <c r="AG102" s="111"/>
      <c r="AH102" s="52">
        <f t="shared" si="15"/>
        <v>132.9</v>
      </c>
      <c r="AI102" s="53">
        <f t="shared" si="16"/>
        <v>127.9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5"/>
        <v>0</v>
      </c>
      <c r="AI103" s="53">
        <f t="shared" si="16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130.9</v>
      </c>
      <c r="C104" s="113">
        <v>131</v>
      </c>
      <c r="D104" s="113">
        <v>133</v>
      </c>
      <c r="E104" s="113">
        <v>133.4</v>
      </c>
      <c r="F104" s="113">
        <v>129.19999999999999</v>
      </c>
      <c r="G104" s="113">
        <v>128.80000000000001</v>
      </c>
      <c r="H104" s="113">
        <v>134.6</v>
      </c>
      <c r="I104" s="113">
        <v>133.80000000000001</v>
      </c>
      <c r="J104" s="113">
        <v>132.69999999999999</v>
      </c>
      <c r="K104" s="113">
        <v>132.69999999999999</v>
      </c>
      <c r="L104" s="113">
        <v>134.30000000000001</v>
      </c>
      <c r="M104" s="113">
        <v>132.9</v>
      </c>
      <c r="N104" s="113">
        <v>133.1</v>
      </c>
      <c r="O104" s="113">
        <v>133.1</v>
      </c>
      <c r="P104" s="113">
        <v>133.30000000000001</v>
      </c>
      <c r="Q104" s="113">
        <v>133.30000000000001</v>
      </c>
      <c r="R104" s="113">
        <v>136.5</v>
      </c>
      <c r="S104" s="113">
        <v>133.9</v>
      </c>
      <c r="T104" s="113">
        <v>133.30000000000001</v>
      </c>
      <c r="U104" s="113">
        <v>131.9</v>
      </c>
      <c r="V104" s="113">
        <v>135.6</v>
      </c>
      <c r="W104" s="113">
        <v>132.5</v>
      </c>
      <c r="X104" s="113">
        <v>133</v>
      </c>
      <c r="Y104" s="113">
        <v>133</v>
      </c>
      <c r="Z104" s="113">
        <v>138</v>
      </c>
      <c r="AA104" s="113">
        <v>138</v>
      </c>
      <c r="AB104" s="113">
        <v>135</v>
      </c>
      <c r="AC104" s="113">
        <v>135</v>
      </c>
      <c r="AD104" s="113">
        <v>135</v>
      </c>
      <c r="AE104" s="113">
        <v>135</v>
      </c>
      <c r="AF104" s="113">
        <v>135</v>
      </c>
      <c r="AG104" s="114"/>
      <c r="AH104" s="52">
        <f t="shared" si="15"/>
        <v>138</v>
      </c>
      <c r="AI104" s="53">
        <f t="shared" si="16"/>
        <v>128.80000000000001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132.9</v>
      </c>
      <c r="C105" s="72">
        <v>131.4</v>
      </c>
      <c r="D105" s="72">
        <v>128.30000000000001</v>
      </c>
      <c r="E105" s="72">
        <v>127.2</v>
      </c>
      <c r="F105" s="72">
        <v>130</v>
      </c>
      <c r="G105" s="72">
        <v>126.9</v>
      </c>
      <c r="H105" s="72">
        <v>132.69999999999999</v>
      </c>
      <c r="I105" s="72">
        <v>126.5</v>
      </c>
      <c r="J105" s="72">
        <v>133.1</v>
      </c>
      <c r="K105" s="72">
        <v>133.1</v>
      </c>
      <c r="L105" s="72">
        <v>131.4</v>
      </c>
      <c r="M105" s="72">
        <v>128.6</v>
      </c>
      <c r="N105" s="72">
        <v>127.8</v>
      </c>
      <c r="O105" s="72">
        <v>127.8</v>
      </c>
      <c r="P105" s="72">
        <v>129.4</v>
      </c>
      <c r="Q105" s="72">
        <v>129.4</v>
      </c>
      <c r="R105" s="72">
        <v>127.1</v>
      </c>
      <c r="S105" s="72">
        <v>134.19999999999999</v>
      </c>
      <c r="T105" s="72">
        <v>129</v>
      </c>
      <c r="U105" s="72">
        <v>126</v>
      </c>
      <c r="V105" s="72">
        <v>126</v>
      </c>
      <c r="W105" s="72">
        <v>129.9</v>
      </c>
      <c r="X105" s="72">
        <v>132</v>
      </c>
      <c r="Y105" s="72">
        <v>132</v>
      </c>
      <c r="Z105" s="72">
        <v>126</v>
      </c>
      <c r="AA105" s="72">
        <v>126</v>
      </c>
      <c r="AB105" s="72">
        <v>130</v>
      </c>
      <c r="AC105" s="72">
        <v>130</v>
      </c>
      <c r="AD105" s="72">
        <v>130</v>
      </c>
      <c r="AE105" s="72">
        <v>130</v>
      </c>
      <c r="AF105" s="72">
        <v>130</v>
      </c>
      <c r="AG105" s="111"/>
      <c r="AH105" s="52">
        <f t="shared" si="15"/>
        <v>134.19999999999999</v>
      </c>
      <c r="AI105" s="53">
        <f t="shared" si="16"/>
        <v>126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66.2</v>
      </c>
      <c r="C106" s="99">
        <v>66.3</v>
      </c>
      <c r="D106" s="99">
        <v>66.599999999999994</v>
      </c>
      <c r="E106" s="99">
        <v>66.599999999999994</v>
      </c>
      <c r="F106" s="99">
        <v>66.099999999999994</v>
      </c>
      <c r="G106" s="99">
        <v>66</v>
      </c>
      <c r="H106" s="99">
        <v>66</v>
      </c>
      <c r="I106" s="99">
        <v>65.3</v>
      </c>
      <c r="J106" s="99">
        <v>65.2</v>
      </c>
      <c r="K106" s="99">
        <v>65.2</v>
      </c>
      <c r="L106" s="99">
        <v>65.2</v>
      </c>
      <c r="M106" s="99">
        <v>64.599999999999994</v>
      </c>
      <c r="N106" s="99">
        <v>65.2</v>
      </c>
      <c r="O106" s="99">
        <v>65.2</v>
      </c>
      <c r="P106" s="99">
        <v>64.5</v>
      </c>
      <c r="Q106" s="99">
        <v>64.5</v>
      </c>
      <c r="R106" s="99">
        <v>64.5</v>
      </c>
      <c r="S106" s="99">
        <v>64.400000000000006</v>
      </c>
      <c r="T106" s="99">
        <v>64.099999999999994</v>
      </c>
      <c r="U106" s="99">
        <v>64.3</v>
      </c>
      <c r="V106" s="99">
        <v>65.5</v>
      </c>
      <c r="W106" s="99">
        <v>64.7</v>
      </c>
      <c r="X106" s="99">
        <v>65.400000000000006</v>
      </c>
      <c r="Y106" s="99">
        <v>65.400000000000006</v>
      </c>
      <c r="Z106" s="99">
        <v>65.3</v>
      </c>
      <c r="AA106" s="99">
        <v>65.3</v>
      </c>
      <c r="AB106" s="99">
        <v>65.8</v>
      </c>
      <c r="AC106" s="99">
        <v>65.8</v>
      </c>
      <c r="AD106" s="99">
        <v>66</v>
      </c>
      <c r="AE106" s="99">
        <v>66.599999999999994</v>
      </c>
      <c r="AF106" s="99">
        <v>66.599999999999994</v>
      </c>
      <c r="AG106" s="115"/>
      <c r="AH106" s="52">
        <f t="shared" si="15"/>
        <v>66.599999999999994</v>
      </c>
      <c r="AI106" s="53">
        <f t="shared" si="16"/>
        <v>64.099999999999994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5"/>
        <v>0</v>
      </c>
      <c r="AI107" s="53">
        <f t="shared" si="16"/>
        <v>0</v>
      </c>
    </row>
    <row r="108" spans="1:88" ht="15.75" thickBot="1" x14ac:dyDescent="0.3">
      <c r="A108" s="117" t="s">
        <v>112</v>
      </c>
      <c r="B108" s="118">
        <f t="shared" ref="B108" si="27">SUM(B18,B24,B27:B28,B56,B58:B59,B61,B63,B109:B113,B135,B141,B147,B156,B158,B170,B177,B180:B181,B188,B190,B192,B196:B198,B200:B202,B207,B213:B214,B216:B218,B226,B231)</f>
        <v>125.80000000000001</v>
      </c>
      <c r="C108" s="118">
        <f t="shared" ref="C108:AE108" si="28">SUM(C18,C24,C27:C28,C56,C58:C59,C61,C63,C109:C113,C135,C141,C147,C156,C158,C170,C177,C180:C181,C188,C190,C192,C196:C198,C200:C202,C207,C213:C214,C216:C218,C226,C231)</f>
        <v>113.53999999999999</v>
      </c>
      <c r="D108" s="118">
        <f t="shared" si="28"/>
        <v>113.53999999999998</v>
      </c>
      <c r="E108" s="118">
        <f t="shared" si="28"/>
        <v>66.639999999999986</v>
      </c>
      <c r="F108" s="118">
        <f t="shared" si="28"/>
        <v>85.74</v>
      </c>
      <c r="G108" s="118">
        <f t="shared" si="28"/>
        <v>103.64</v>
      </c>
      <c r="H108" s="118">
        <f t="shared" si="28"/>
        <v>130.24</v>
      </c>
      <c r="I108" s="118">
        <f t="shared" si="28"/>
        <v>163.24</v>
      </c>
      <c r="J108" s="118">
        <f t="shared" si="28"/>
        <v>221.33999999999997</v>
      </c>
      <c r="K108" s="118">
        <f t="shared" si="28"/>
        <v>223.33999999999997</v>
      </c>
      <c r="L108" s="118">
        <f t="shared" si="28"/>
        <v>240.23999999999998</v>
      </c>
      <c r="M108" s="118">
        <f t="shared" si="28"/>
        <v>282.44</v>
      </c>
      <c r="N108" s="118">
        <f t="shared" si="28"/>
        <v>273.14</v>
      </c>
      <c r="O108" s="118">
        <f t="shared" si="28"/>
        <v>256.53999999999996</v>
      </c>
      <c r="P108" s="118">
        <v>42</v>
      </c>
      <c r="Q108" s="118">
        <f t="shared" si="28"/>
        <v>242.5</v>
      </c>
      <c r="R108" s="118">
        <f t="shared" si="28"/>
        <v>230.89999999999998</v>
      </c>
      <c r="S108" s="118">
        <f t="shared" si="28"/>
        <v>215.09999999999997</v>
      </c>
      <c r="T108" s="118">
        <f t="shared" si="28"/>
        <v>204.09999999999997</v>
      </c>
      <c r="U108" s="118">
        <f t="shared" si="28"/>
        <v>259.7</v>
      </c>
      <c r="V108" s="118">
        <f t="shared" si="28"/>
        <v>205.2</v>
      </c>
      <c r="W108" s="118">
        <f t="shared" si="28"/>
        <v>223.89999999999998</v>
      </c>
      <c r="X108" s="118">
        <f t="shared" si="28"/>
        <v>266.10000000000002</v>
      </c>
      <c r="Y108" s="118">
        <f t="shared" si="28"/>
        <v>269.2</v>
      </c>
      <c r="Z108" s="118">
        <f t="shared" si="28"/>
        <v>311.89999999999998</v>
      </c>
      <c r="AA108" s="118">
        <f t="shared" si="28"/>
        <v>262.20000000000005</v>
      </c>
      <c r="AB108" s="118">
        <f>SUM(AB18,AB24,AB27:AB28,AB56,AB58:AB59,AB61,AB63,AB109:AB113,AB135,AB141,AB147,AB156,AB158,AB170,AB177,AB180:AB181,AB188,AB190,AB192,AB196:AB198,AB200:AB202,AB207,AB213:AB214,AB216:AB218,AB226,AB231)</f>
        <v>290.39999999999998</v>
      </c>
      <c r="AC108" s="118">
        <f t="shared" si="28"/>
        <v>253.5</v>
      </c>
      <c r="AD108" s="118">
        <f t="shared" si="28"/>
        <v>238.5</v>
      </c>
      <c r="AE108" s="118">
        <f t="shared" si="28"/>
        <v>162.5</v>
      </c>
      <c r="AF108" s="118">
        <f>SUM(AF18,AF24,AF27:AF28,AF56,AF58:AF59,AF61,AF63,AF109:AF113,AF135,AF141,AF147,AF156,AF158,AF170,AF177,AF180:AF181,AF188,AF190,AF192,AF196:AF198,AF200:AF202,AF207,AF213:AF214,AF216:AF218,AF226,AF231)</f>
        <v>129.5</v>
      </c>
      <c r="AG108" s="119"/>
      <c r="AH108" s="52">
        <f t="shared" si="15"/>
        <v>311.89999999999998</v>
      </c>
      <c r="AI108" s="53">
        <f t="shared" si="16"/>
        <v>42</v>
      </c>
    </row>
    <row r="109" spans="1:88" x14ac:dyDescent="0.25">
      <c r="A109" s="107" t="s">
        <v>113</v>
      </c>
      <c r="B109" s="120">
        <v>-23.6</v>
      </c>
      <c r="C109" s="120">
        <v>-17.399999999999999</v>
      </c>
      <c r="D109" s="120">
        <v>-23.9</v>
      </c>
      <c r="E109" s="120">
        <v>-22.1</v>
      </c>
      <c r="F109" s="120">
        <v>-25.6</v>
      </c>
      <c r="G109" s="120">
        <v>-27.3</v>
      </c>
      <c r="H109" s="120">
        <v>-16.600000000000001</v>
      </c>
      <c r="I109" s="120">
        <v>-11.4</v>
      </c>
      <c r="J109" s="120">
        <v>-14.2</v>
      </c>
      <c r="K109" s="120">
        <v>-14.2</v>
      </c>
      <c r="L109" s="120">
        <v>-5.5</v>
      </c>
      <c r="M109" s="120">
        <v>-5.3</v>
      </c>
      <c r="N109" s="120">
        <v>-3</v>
      </c>
      <c r="O109" s="120">
        <v>7.2</v>
      </c>
      <c r="P109" s="120">
        <v>3.6</v>
      </c>
      <c r="Q109" s="120">
        <v>3.6</v>
      </c>
      <c r="R109" s="120">
        <v>18.8</v>
      </c>
      <c r="S109" s="120">
        <v>12.6</v>
      </c>
      <c r="T109" s="120">
        <v>11.8</v>
      </c>
      <c r="U109" s="120">
        <v>10.4</v>
      </c>
      <c r="V109" s="120">
        <v>12.3</v>
      </c>
      <c r="W109" s="120">
        <v>3.3</v>
      </c>
      <c r="X109" s="120">
        <v>2</v>
      </c>
      <c r="Y109" s="120">
        <v>9.5</v>
      </c>
      <c r="Z109" s="120">
        <v>23.6</v>
      </c>
      <c r="AA109" s="120">
        <v>22.2</v>
      </c>
      <c r="AB109" s="120">
        <v>21.1</v>
      </c>
      <c r="AC109" s="120">
        <v>19</v>
      </c>
      <c r="AD109" s="120">
        <v>11</v>
      </c>
      <c r="AE109" s="120">
        <v>4</v>
      </c>
      <c r="AF109" s="120">
        <v>-12</v>
      </c>
      <c r="AG109" s="121">
        <v>75</v>
      </c>
      <c r="AH109" s="52">
        <f t="shared" si="15"/>
        <v>23.6</v>
      </c>
      <c r="AI109" s="53">
        <f t="shared" si="16"/>
        <v>-27.3</v>
      </c>
    </row>
    <row r="110" spans="1:88" x14ac:dyDescent="0.25">
      <c r="A110" s="110" t="s">
        <v>114</v>
      </c>
      <c r="B110" s="186">
        <v>-27.4</v>
      </c>
      <c r="C110" s="186">
        <v>-19.399999999999999</v>
      </c>
      <c r="D110" s="186">
        <v>-28.7</v>
      </c>
      <c r="E110" s="186">
        <v>-26</v>
      </c>
      <c r="F110" s="186">
        <v>-32</v>
      </c>
      <c r="G110" s="186">
        <v>-36.4</v>
      </c>
      <c r="H110" s="186">
        <v>-21.8</v>
      </c>
      <c r="I110" s="186">
        <v>-15.6</v>
      </c>
      <c r="J110" s="186">
        <v>-26.1</v>
      </c>
      <c r="K110" s="186">
        <v>-26.1</v>
      </c>
      <c r="L110" s="186">
        <v>-14.5</v>
      </c>
      <c r="M110" s="186">
        <v>-13.6</v>
      </c>
      <c r="N110" s="186">
        <v>-9.6</v>
      </c>
      <c r="O110" s="186">
        <v>4.3</v>
      </c>
      <c r="P110" s="186">
        <v>4.5999999999999996</v>
      </c>
      <c r="Q110" s="186">
        <v>4.5999999999999996</v>
      </c>
      <c r="R110" s="186">
        <v>28.2</v>
      </c>
      <c r="S110" s="186" t="s">
        <v>260</v>
      </c>
      <c r="T110" s="186">
        <v>18.899999999999999</v>
      </c>
      <c r="U110" s="186">
        <v>18.600000000000001</v>
      </c>
      <c r="V110" s="186">
        <v>14.6</v>
      </c>
      <c r="W110" s="186">
        <v>2.6</v>
      </c>
      <c r="X110" s="186">
        <v>0</v>
      </c>
      <c r="Y110" s="186">
        <v>8</v>
      </c>
      <c r="Z110" s="186">
        <v>26.5</v>
      </c>
      <c r="AA110" s="186">
        <v>26.3</v>
      </c>
      <c r="AB110" s="186">
        <v>24.4</v>
      </c>
      <c r="AC110" s="186">
        <v>23</v>
      </c>
      <c r="AD110" s="186">
        <v>13</v>
      </c>
      <c r="AE110" s="186">
        <v>5</v>
      </c>
      <c r="AF110" s="186">
        <v>-14</v>
      </c>
      <c r="AG110" s="121">
        <v>240</v>
      </c>
      <c r="AH110" s="52">
        <f t="shared" si="15"/>
        <v>28.2</v>
      </c>
      <c r="AI110" s="53">
        <f t="shared" si="16"/>
        <v>-36.4</v>
      </c>
    </row>
    <row r="111" spans="1:88" x14ac:dyDescent="0.25">
      <c r="A111" s="110" t="s">
        <v>115</v>
      </c>
      <c r="B111" s="186">
        <f>-13.3-22.2</f>
        <v>-35.5</v>
      </c>
      <c r="C111" s="186">
        <f>-17.1-24.2</f>
        <v>-41.3</v>
      </c>
      <c r="D111" s="186">
        <v>-31.6</v>
      </c>
      <c r="E111" s="186">
        <v>-68</v>
      </c>
      <c r="F111" s="186">
        <v>-60</v>
      </c>
      <c r="G111" s="186">
        <v>-49.7</v>
      </c>
      <c r="H111" s="186">
        <v>-47</v>
      </c>
      <c r="I111" s="186">
        <v>-25</v>
      </c>
      <c r="J111" s="186">
        <v>11.3</v>
      </c>
      <c r="K111" s="186">
        <v>11.3</v>
      </c>
      <c r="L111" s="186">
        <v>11.8</v>
      </c>
      <c r="M111" s="186">
        <f>26+21.3</f>
        <v>47.3</v>
      </c>
      <c r="N111" s="186">
        <f>23+19</f>
        <v>42</v>
      </c>
      <c r="O111" s="186">
        <v>3</v>
      </c>
      <c r="P111" s="186">
        <v>-8.6</v>
      </c>
      <c r="Q111" s="186">
        <v>-8.6</v>
      </c>
      <c r="R111" s="186">
        <v>-24</v>
      </c>
      <c r="S111" s="186">
        <v>-24</v>
      </c>
      <c r="T111" s="186">
        <v>-53</v>
      </c>
      <c r="U111" s="186">
        <v>-1.5</v>
      </c>
      <c r="V111" s="186">
        <v>-30.1</v>
      </c>
      <c r="W111" s="186">
        <v>-19</v>
      </c>
      <c r="X111" s="186">
        <v>33.700000000000003</v>
      </c>
      <c r="Y111" s="186">
        <v>8</v>
      </c>
      <c r="Z111" s="186">
        <v>10</v>
      </c>
      <c r="AA111" s="186">
        <v>-10.199999999999999</v>
      </c>
      <c r="AB111" s="186">
        <v>27</v>
      </c>
      <c r="AC111" s="186">
        <v>10</v>
      </c>
      <c r="AD111" s="186">
        <v>10</v>
      </c>
      <c r="AE111" s="186">
        <v>-27</v>
      </c>
      <c r="AF111" s="186">
        <v>-26</v>
      </c>
      <c r="AG111" s="121">
        <v>240</v>
      </c>
      <c r="AH111" s="52">
        <f t="shared" si="15"/>
        <v>47.3</v>
      </c>
      <c r="AI111" s="53">
        <f t="shared" si="16"/>
        <v>-68</v>
      </c>
    </row>
    <row r="112" spans="1:88" x14ac:dyDescent="0.25">
      <c r="A112" s="110" t="s">
        <v>116</v>
      </c>
      <c r="B112" s="186">
        <v>25.9</v>
      </c>
      <c r="C112" s="186">
        <v>17.600000000000001</v>
      </c>
      <c r="D112" s="186">
        <v>26.7</v>
      </c>
      <c r="E112" s="186">
        <v>23.4</v>
      </c>
      <c r="F112" s="186">
        <v>24.2</v>
      </c>
      <c r="G112" s="186">
        <v>34.4</v>
      </c>
      <c r="H112" s="186">
        <v>37.200000000000003</v>
      </c>
      <c r="I112" s="186">
        <v>39.799999999999997</v>
      </c>
      <c r="J112" s="186">
        <v>52.8</v>
      </c>
      <c r="K112" s="186">
        <v>52.8</v>
      </c>
      <c r="L112" s="186">
        <v>47.9</v>
      </c>
      <c r="M112" s="186">
        <v>47.5</v>
      </c>
      <c r="N112" s="186">
        <v>41.4</v>
      </c>
      <c r="O112" s="186">
        <v>41.6</v>
      </c>
      <c r="P112" s="186">
        <v>42.2</v>
      </c>
      <c r="Q112" s="186">
        <v>42.2</v>
      </c>
      <c r="R112" s="186">
        <v>33.200000000000003</v>
      </c>
      <c r="S112" s="186">
        <v>39.4</v>
      </c>
      <c r="T112" s="186">
        <v>37.799999999999997</v>
      </c>
      <c r="U112" s="186">
        <v>40.5</v>
      </c>
      <c r="V112" s="186">
        <v>40.5</v>
      </c>
      <c r="W112" s="186">
        <v>43.2</v>
      </c>
      <c r="X112" s="186">
        <v>46</v>
      </c>
      <c r="Y112" s="186">
        <v>52.4</v>
      </c>
      <c r="Z112" s="186">
        <v>54.8</v>
      </c>
      <c r="AA112" s="186">
        <v>58</v>
      </c>
      <c r="AB112" s="186">
        <v>51.5</v>
      </c>
      <c r="AC112" s="186">
        <v>40</v>
      </c>
      <c r="AD112" s="186">
        <v>38</v>
      </c>
      <c r="AE112" s="186">
        <v>27</v>
      </c>
      <c r="AF112" s="186">
        <v>25</v>
      </c>
      <c r="AG112" s="121">
        <v>60</v>
      </c>
      <c r="AH112" s="52">
        <f t="shared" si="15"/>
        <v>58</v>
      </c>
      <c r="AI112" s="53">
        <f t="shared" si="16"/>
        <v>17.600000000000001</v>
      </c>
    </row>
    <row r="113" spans="1:37" x14ac:dyDescent="0.25">
      <c r="A113" s="123" t="s">
        <v>117</v>
      </c>
      <c r="B113" s="124">
        <v>87.4</v>
      </c>
      <c r="C113" s="124">
        <v>77.5</v>
      </c>
      <c r="D113" s="124">
        <v>75.900000000000006</v>
      </c>
      <c r="E113" s="124">
        <v>67.2</v>
      </c>
      <c r="F113" s="124">
        <v>85</v>
      </c>
      <c r="G113" s="124">
        <v>94.2</v>
      </c>
      <c r="H113" s="124">
        <v>90.5</v>
      </c>
      <c r="I113" s="124">
        <v>87.8</v>
      </c>
      <c r="J113" s="124">
        <v>104.1</v>
      </c>
      <c r="K113" s="124">
        <v>104.1</v>
      </c>
      <c r="L113" s="124">
        <v>104</v>
      </c>
      <c r="M113" s="124">
        <v>110</v>
      </c>
      <c r="N113" s="124">
        <v>105.2</v>
      </c>
      <c r="O113" s="124">
        <v>103.3</v>
      </c>
      <c r="P113" s="124">
        <v>104.5</v>
      </c>
      <c r="Q113" s="124">
        <v>104.5</v>
      </c>
      <c r="R113" s="124">
        <v>78.5</v>
      </c>
      <c r="S113" s="124">
        <v>90.8</v>
      </c>
      <c r="T113" s="124">
        <v>92.1</v>
      </c>
      <c r="U113" s="124">
        <v>96.2</v>
      </c>
      <c r="V113" s="124">
        <v>85.1</v>
      </c>
      <c r="W113" s="124">
        <v>111</v>
      </c>
      <c r="X113" s="124">
        <v>103.9</v>
      </c>
      <c r="Y113" s="124">
        <v>110.5</v>
      </c>
      <c r="Z113" s="124">
        <v>112</v>
      </c>
      <c r="AA113" s="124">
        <v>80.900000000000006</v>
      </c>
      <c r="AB113" s="124">
        <v>80.900000000000006</v>
      </c>
      <c r="AC113" s="124">
        <v>76</v>
      </c>
      <c r="AD113" s="124">
        <v>81</v>
      </c>
      <c r="AE113" s="124">
        <v>68</v>
      </c>
      <c r="AF113" s="124">
        <v>71</v>
      </c>
      <c r="AG113" s="125">
        <v>120</v>
      </c>
      <c r="AH113" s="52">
        <f t="shared" si="15"/>
        <v>112</v>
      </c>
      <c r="AI113" s="53">
        <f t="shared" si="16"/>
        <v>67.2</v>
      </c>
    </row>
    <row r="114" spans="1:37" x14ac:dyDescent="0.25">
      <c r="A114" s="123" t="s">
        <v>118</v>
      </c>
      <c r="B114" s="124">
        <v>99.6</v>
      </c>
      <c r="C114" s="124">
        <v>98.1</v>
      </c>
      <c r="D114" s="124">
        <v>87.8</v>
      </c>
      <c r="E114" s="124">
        <v>77.400000000000006</v>
      </c>
      <c r="F114" s="124">
        <v>96.7</v>
      </c>
      <c r="G114" s="124">
        <v>96.4</v>
      </c>
      <c r="H114" s="124">
        <v>51.7</v>
      </c>
      <c r="I114" s="124">
        <v>81.5</v>
      </c>
      <c r="J114" s="124">
        <v>83</v>
      </c>
      <c r="K114" s="124">
        <v>83</v>
      </c>
      <c r="L114" s="124">
        <v>80.400000000000006</v>
      </c>
      <c r="M114" s="124">
        <v>88.2</v>
      </c>
      <c r="N114" s="124">
        <v>83.2</v>
      </c>
      <c r="O114" s="124">
        <v>97.4</v>
      </c>
      <c r="P114" s="124">
        <v>103</v>
      </c>
      <c r="Q114" s="124">
        <v>103</v>
      </c>
      <c r="R114" s="124">
        <v>83.6</v>
      </c>
      <c r="S114" s="124">
        <v>100.6</v>
      </c>
      <c r="T114" s="124">
        <v>93.8</v>
      </c>
      <c r="U114" s="124">
        <v>88.4</v>
      </c>
      <c r="V114" s="124">
        <v>78.599999999999994</v>
      </c>
      <c r="W114" s="124">
        <v>110.5</v>
      </c>
      <c r="X114" s="124">
        <v>84.4</v>
      </c>
      <c r="Y114" s="124">
        <v>89</v>
      </c>
      <c r="Z114" s="124">
        <v>73</v>
      </c>
      <c r="AA114" s="124">
        <v>73</v>
      </c>
      <c r="AB114" s="124">
        <v>56.7</v>
      </c>
      <c r="AC114" s="124">
        <v>56</v>
      </c>
      <c r="AD114" s="124">
        <v>65</v>
      </c>
      <c r="AE114" s="124">
        <v>70</v>
      </c>
      <c r="AF114" s="124">
        <v>75</v>
      </c>
      <c r="AG114" s="125"/>
      <c r="AH114" s="52">
        <f t="shared" si="15"/>
        <v>110.5</v>
      </c>
      <c r="AI114" s="53">
        <f t="shared" si="16"/>
        <v>51.7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>
        <v>55.9</v>
      </c>
      <c r="G115" s="124"/>
      <c r="H115" s="124">
        <v>65.3</v>
      </c>
      <c r="I115" s="124"/>
      <c r="J115" s="124">
        <v>43.4</v>
      </c>
      <c r="K115" s="124">
        <v>43.4</v>
      </c>
      <c r="L115" s="124">
        <v>27.3</v>
      </c>
      <c r="M115" s="124">
        <v>30.7</v>
      </c>
      <c r="N115" s="124"/>
      <c r="O115" s="124">
        <v>38.6</v>
      </c>
      <c r="P115" s="124">
        <v>32.9</v>
      </c>
      <c r="Q115" s="124">
        <v>32.9</v>
      </c>
      <c r="R115" s="124">
        <v>20.8</v>
      </c>
      <c r="S115" s="124">
        <v>19.5</v>
      </c>
      <c r="T115" s="124">
        <v>27.7</v>
      </c>
      <c r="U115" s="124">
        <v>30.3</v>
      </c>
      <c r="V115" s="124"/>
      <c r="W115" s="124"/>
      <c r="X115" s="124">
        <v>29.8</v>
      </c>
      <c r="Y115" s="124">
        <v>27.3</v>
      </c>
      <c r="Z115" s="124">
        <v>12.7</v>
      </c>
      <c r="AA115" s="124">
        <v>12.7</v>
      </c>
      <c r="AB115" s="124"/>
      <c r="AC115" s="124">
        <v>18</v>
      </c>
      <c r="AD115" s="124">
        <v>29</v>
      </c>
      <c r="AE115" s="124">
        <v>38</v>
      </c>
      <c r="AF115" s="124"/>
      <c r="AG115" s="126"/>
      <c r="AH115" s="52">
        <f t="shared" si="15"/>
        <v>65.3</v>
      </c>
      <c r="AI115" s="53">
        <f t="shared" si="16"/>
        <v>12.7</v>
      </c>
    </row>
    <row r="116" spans="1:37" x14ac:dyDescent="0.25">
      <c r="A116" s="127" t="s">
        <v>120</v>
      </c>
      <c r="B116" s="113">
        <v>12</v>
      </c>
      <c r="C116" s="113">
        <v>16</v>
      </c>
      <c r="D116" s="113">
        <v>18</v>
      </c>
      <c r="E116" s="113">
        <v>18.399999999999999</v>
      </c>
      <c r="F116" s="113">
        <v>21</v>
      </c>
      <c r="G116" s="113">
        <v>17</v>
      </c>
      <c r="H116" s="113">
        <v>12</v>
      </c>
      <c r="I116" s="113">
        <v>6.3</v>
      </c>
      <c r="J116" s="113">
        <v>0</v>
      </c>
      <c r="K116" s="113">
        <v>0</v>
      </c>
      <c r="L116" s="113">
        <v>-7</v>
      </c>
      <c r="M116" s="113">
        <v>-16.2</v>
      </c>
      <c r="N116" s="113">
        <v>-18.5</v>
      </c>
      <c r="O116" s="113">
        <v>-5.8</v>
      </c>
      <c r="P116" s="113">
        <v>-8</v>
      </c>
      <c r="Q116" s="113">
        <v>-8</v>
      </c>
      <c r="R116" s="113">
        <v>-3.9</v>
      </c>
      <c r="S116" s="113">
        <v>-5.9</v>
      </c>
      <c r="T116" s="113">
        <v>-15.2</v>
      </c>
      <c r="U116" s="113">
        <v>-13</v>
      </c>
      <c r="V116" s="113">
        <v>-18.5</v>
      </c>
      <c r="W116" s="113">
        <v>-24</v>
      </c>
      <c r="X116" s="113">
        <v>-32.4</v>
      </c>
      <c r="Y116" s="113">
        <v>-28</v>
      </c>
      <c r="Z116" s="113">
        <v>-26</v>
      </c>
      <c r="AA116" s="113">
        <v>-26</v>
      </c>
      <c r="AB116" s="113">
        <v>-29</v>
      </c>
      <c r="AC116" s="113">
        <v>-24</v>
      </c>
      <c r="AD116" s="113">
        <v>-16</v>
      </c>
      <c r="AE116" s="113">
        <v>3</v>
      </c>
      <c r="AF116" s="113">
        <v>8</v>
      </c>
      <c r="AG116" s="126"/>
      <c r="AH116" s="52">
        <f t="shared" si="15"/>
        <v>21</v>
      </c>
      <c r="AI116" s="53">
        <f t="shared" si="16"/>
        <v>-32.4</v>
      </c>
    </row>
    <row r="117" spans="1:37" ht="15.75" thickBot="1" x14ac:dyDescent="0.3">
      <c r="A117" s="127" t="s">
        <v>121</v>
      </c>
      <c r="B117" s="113">
        <v>65.8</v>
      </c>
      <c r="C117" s="113">
        <v>59.1</v>
      </c>
      <c r="D117" s="113">
        <v>62.2</v>
      </c>
      <c r="E117" s="113">
        <v>55.1</v>
      </c>
      <c r="F117" s="113">
        <v>51.8</v>
      </c>
      <c r="G117" s="113">
        <v>51.8</v>
      </c>
      <c r="H117" s="113">
        <v>51.9</v>
      </c>
      <c r="I117" s="113">
        <v>48</v>
      </c>
      <c r="J117" s="113">
        <v>53.1</v>
      </c>
      <c r="K117" s="113">
        <v>53.1</v>
      </c>
      <c r="L117" s="113">
        <v>58.5</v>
      </c>
      <c r="M117" s="113">
        <v>60.2</v>
      </c>
      <c r="N117" s="113">
        <v>64.599999999999994</v>
      </c>
      <c r="O117" s="113">
        <v>66.5</v>
      </c>
      <c r="P117" s="113">
        <v>87.1</v>
      </c>
      <c r="Q117" s="113">
        <v>87.1</v>
      </c>
      <c r="R117" s="113">
        <v>89</v>
      </c>
      <c r="S117" s="113">
        <v>89</v>
      </c>
      <c r="T117" s="113">
        <v>84.7</v>
      </c>
      <c r="U117" s="113">
        <v>89</v>
      </c>
      <c r="V117" s="113">
        <v>89</v>
      </c>
      <c r="W117" s="113">
        <v>83.9</v>
      </c>
      <c r="X117" s="113">
        <v>85.5</v>
      </c>
      <c r="Y117" s="113">
        <v>89.9</v>
      </c>
      <c r="Z117" s="113">
        <v>98.1</v>
      </c>
      <c r="AA117" s="113">
        <v>98.1</v>
      </c>
      <c r="AB117" s="113">
        <v>105</v>
      </c>
      <c r="AC117" s="113">
        <v>98</v>
      </c>
      <c r="AD117" s="113">
        <v>93</v>
      </c>
      <c r="AE117" s="113">
        <v>82</v>
      </c>
      <c r="AF117" s="113">
        <v>69</v>
      </c>
      <c r="AG117" s="126"/>
      <c r="AH117" s="52">
        <f t="shared" si="15"/>
        <v>105</v>
      </c>
      <c r="AI117" s="53">
        <f t="shared" si="16"/>
        <v>48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9">SUM(B119:B223)</f>
        <v>0</v>
      </c>
      <c r="C224" s="144">
        <f t="shared" si="29"/>
        <v>0</v>
      </c>
      <c r="D224" s="144">
        <f t="shared" si="29"/>
        <v>0</v>
      </c>
      <c r="E224" s="144">
        <f t="shared" si="29"/>
        <v>0</v>
      </c>
      <c r="F224" s="144">
        <f t="shared" si="29"/>
        <v>0</v>
      </c>
      <c r="G224" s="144">
        <f t="shared" si="29"/>
        <v>0</v>
      </c>
      <c r="H224" s="144">
        <f t="shared" si="29"/>
        <v>0</v>
      </c>
      <c r="I224" s="144">
        <f t="shared" si="29"/>
        <v>0</v>
      </c>
      <c r="J224" s="144">
        <f t="shared" si="29"/>
        <v>0</v>
      </c>
      <c r="K224" s="144">
        <f t="shared" si="29"/>
        <v>0</v>
      </c>
      <c r="L224" s="144">
        <f t="shared" si="29"/>
        <v>0</v>
      </c>
      <c r="M224" s="144">
        <f t="shared" si="29"/>
        <v>0</v>
      </c>
      <c r="N224" s="144">
        <f t="shared" si="29"/>
        <v>0</v>
      </c>
      <c r="O224" s="144">
        <f t="shared" si="29"/>
        <v>0</v>
      </c>
      <c r="P224" s="144">
        <f t="shared" si="29"/>
        <v>0</v>
      </c>
      <c r="Q224" s="144">
        <f t="shared" si="29"/>
        <v>0</v>
      </c>
      <c r="R224" s="144">
        <f t="shared" si="29"/>
        <v>0</v>
      </c>
      <c r="S224" s="144">
        <f t="shared" si="29"/>
        <v>0</v>
      </c>
      <c r="T224" s="144">
        <f t="shared" si="29"/>
        <v>0</v>
      </c>
      <c r="U224" s="144">
        <f t="shared" si="29"/>
        <v>0</v>
      </c>
      <c r="V224" s="144">
        <f t="shared" si="29"/>
        <v>0</v>
      </c>
      <c r="W224" s="144">
        <f t="shared" si="29"/>
        <v>0</v>
      </c>
      <c r="X224" s="144">
        <f t="shared" si="29"/>
        <v>0</v>
      </c>
      <c r="Y224" s="144">
        <f t="shared" si="29"/>
        <v>0</v>
      </c>
      <c r="Z224" s="144">
        <f t="shared" si="29"/>
        <v>0</v>
      </c>
      <c r="AA224" s="144">
        <f t="shared" si="29"/>
        <v>0</v>
      </c>
      <c r="AB224" s="144">
        <f t="shared" si="29"/>
        <v>0</v>
      </c>
      <c r="AC224" s="144">
        <f t="shared" si="29"/>
        <v>0</v>
      </c>
      <c r="AD224" s="144">
        <f t="shared" si="29"/>
        <v>0</v>
      </c>
      <c r="AE224" s="144">
        <f t="shared" si="29"/>
        <v>0</v>
      </c>
      <c r="AF224" s="145">
        <f t="shared" si="29"/>
        <v>0</v>
      </c>
      <c r="AG224" s="146">
        <f t="shared" si="29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30">AF226</f>
        <v>0</v>
      </c>
      <c r="C226" s="149">
        <v>0.3</v>
      </c>
      <c r="D226" s="149">
        <f t="shared" ref="D226:P231" si="31">C226</f>
        <v>0.3</v>
      </c>
      <c r="E226" s="149">
        <f t="shared" si="31"/>
        <v>0.3</v>
      </c>
      <c r="F226" s="149">
        <f t="shared" si="31"/>
        <v>0.3</v>
      </c>
      <c r="G226" s="149">
        <f t="shared" si="31"/>
        <v>0.3</v>
      </c>
      <c r="H226" s="149">
        <f t="shared" si="31"/>
        <v>0.3</v>
      </c>
      <c r="I226" s="149">
        <f t="shared" si="31"/>
        <v>0.3</v>
      </c>
      <c r="J226" s="149">
        <f t="shared" si="31"/>
        <v>0.3</v>
      </c>
      <c r="K226" s="149">
        <f t="shared" si="31"/>
        <v>0.3</v>
      </c>
      <c r="L226" s="149">
        <f t="shared" si="31"/>
        <v>0.3</v>
      </c>
      <c r="M226" s="149">
        <f t="shared" si="31"/>
        <v>0.3</v>
      </c>
      <c r="N226" s="149">
        <f t="shared" si="31"/>
        <v>0.3</v>
      </c>
      <c r="O226" s="149">
        <f t="shared" si="31"/>
        <v>0.3</v>
      </c>
      <c r="P226" s="149">
        <f t="shared" si="3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30"/>
        <v>0</v>
      </c>
      <c r="C227" s="136">
        <v>0.4</v>
      </c>
      <c r="D227" s="136">
        <f t="shared" si="31"/>
        <v>0.4</v>
      </c>
      <c r="E227" s="136">
        <f t="shared" si="31"/>
        <v>0.4</v>
      </c>
      <c r="F227" s="136">
        <f t="shared" si="31"/>
        <v>0.4</v>
      </c>
      <c r="G227" s="136">
        <f t="shared" si="31"/>
        <v>0.4</v>
      </c>
      <c r="H227" s="136">
        <f t="shared" si="31"/>
        <v>0.4</v>
      </c>
      <c r="I227" s="136">
        <f t="shared" si="31"/>
        <v>0.4</v>
      </c>
      <c r="J227" s="136">
        <f t="shared" si="31"/>
        <v>0.4</v>
      </c>
      <c r="K227" s="136">
        <f t="shared" si="31"/>
        <v>0.4</v>
      </c>
      <c r="L227" s="136">
        <f t="shared" si="31"/>
        <v>0.4</v>
      </c>
      <c r="M227" s="136">
        <f t="shared" si="31"/>
        <v>0.4</v>
      </c>
      <c r="N227" s="136">
        <f t="shared" si="31"/>
        <v>0.4</v>
      </c>
      <c r="O227" s="136">
        <f t="shared" si="31"/>
        <v>0.4</v>
      </c>
      <c r="P227" s="136">
        <f t="shared" si="3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30"/>
        <v>0</v>
      </c>
      <c r="C228" s="136">
        <v>1.5</v>
      </c>
      <c r="D228" s="136">
        <f t="shared" si="31"/>
        <v>1.5</v>
      </c>
      <c r="E228" s="136">
        <f t="shared" si="31"/>
        <v>1.5</v>
      </c>
      <c r="F228" s="136">
        <f t="shared" si="31"/>
        <v>1.5</v>
      </c>
      <c r="G228" s="136">
        <f t="shared" si="31"/>
        <v>1.5</v>
      </c>
      <c r="H228" s="136">
        <f t="shared" si="3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1"/>
        <v>1.5</v>
      </c>
      <c r="K228" s="136">
        <f t="shared" ca="1" si="31"/>
        <v>1.5</v>
      </c>
      <c r="L228" s="136">
        <f t="shared" ca="1" si="31"/>
        <v>1.5</v>
      </c>
      <c r="M228" s="136">
        <f t="shared" ca="1" si="31"/>
        <v>1.5</v>
      </c>
      <c r="N228" s="136">
        <f t="shared" ca="1" si="31"/>
        <v>1.5</v>
      </c>
      <c r="O228" s="136">
        <f t="shared" ca="1" si="31"/>
        <v>1.5</v>
      </c>
      <c r="P228" s="136">
        <f t="shared" ca="1" si="3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30"/>
        <v>0</v>
      </c>
      <c r="C229" s="136">
        <v>0.3</v>
      </c>
      <c r="D229" s="136">
        <f t="shared" si="31"/>
        <v>0.3</v>
      </c>
      <c r="E229" s="136">
        <f t="shared" si="31"/>
        <v>0.3</v>
      </c>
      <c r="F229" s="136">
        <f t="shared" si="31"/>
        <v>0.3</v>
      </c>
      <c r="G229" s="136">
        <f t="shared" si="31"/>
        <v>0.3</v>
      </c>
      <c r="H229" s="136">
        <f t="shared" si="31"/>
        <v>0.3</v>
      </c>
      <c r="I229" s="136">
        <f t="shared" si="31"/>
        <v>0.3</v>
      </c>
      <c r="J229" s="136">
        <f t="shared" si="31"/>
        <v>0.3</v>
      </c>
      <c r="K229" s="136">
        <f t="shared" si="31"/>
        <v>0.3</v>
      </c>
      <c r="L229" s="136">
        <f t="shared" si="31"/>
        <v>0.3</v>
      </c>
      <c r="M229" s="136">
        <f t="shared" si="31"/>
        <v>0.3</v>
      </c>
      <c r="N229" s="136">
        <f t="shared" si="31"/>
        <v>0.3</v>
      </c>
      <c r="O229" s="136">
        <f t="shared" si="31"/>
        <v>0.3</v>
      </c>
      <c r="P229" s="136">
        <f t="shared" si="3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30"/>
        <v>0</v>
      </c>
      <c r="C230" s="136">
        <v>0.4</v>
      </c>
      <c r="D230" s="136">
        <f t="shared" si="31"/>
        <v>0.4</v>
      </c>
      <c r="E230" s="136">
        <f t="shared" si="31"/>
        <v>0.4</v>
      </c>
      <c r="F230" s="136">
        <f t="shared" si="31"/>
        <v>0.4</v>
      </c>
      <c r="G230" s="136">
        <f t="shared" si="31"/>
        <v>0.4</v>
      </c>
      <c r="H230" s="136">
        <f t="shared" si="31"/>
        <v>0.4</v>
      </c>
      <c r="I230" s="136">
        <f t="shared" si="31"/>
        <v>0.4</v>
      </c>
      <c r="J230" s="136">
        <f t="shared" si="31"/>
        <v>0.4</v>
      </c>
      <c r="K230" s="136">
        <f t="shared" si="31"/>
        <v>0.4</v>
      </c>
      <c r="L230" s="136">
        <f t="shared" si="31"/>
        <v>0.4</v>
      </c>
      <c r="M230" s="136">
        <f t="shared" si="31"/>
        <v>0.4</v>
      </c>
      <c r="N230" s="136">
        <f t="shared" si="31"/>
        <v>0.4</v>
      </c>
      <c r="O230" s="136">
        <f t="shared" si="31"/>
        <v>0.4</v>
      </c>
      <c r="P230" s="136">
        <f t="shared" si="3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30"/>
        <v>0</v>
      </c>
      <c r="C231" s="140">
        <v>0.64</v>
      </c>
      <c r="D231" s="140">
        <f t="shared" si="31"/>
        <v>0.64</v>
      </c>
      <c r="E231" s="140">
        <f t="shared" si="31"/>
        <v>0.64</v>
      </c>
      <c r="F231" s="140">
        <f t="shared" si="31"/>
        <v>0.64</v>
      </c>
      <c r="G231" s="140">
        <f t="shared" si="31"/>
        <v>0.64</v>
      </c>
      <c r="H231" s="140">
        <f t="shared" si="31"/>
        <v>0.64</v>
      </c>
      <c r="I231" s="140">
        <f t="shared" si="31"/>
        <v>0.64</v>
      </c>
      <c r="J231" s="140">
        <f t="shared" si="31"/>
        <v>0.64</v>
      </c>
      <c r="K231" s="140">
        <f t="shared" si="31"/>
        <v>0.64</v>
      </c>
      <c r="L231" s="140">
        <f t="shared" si="31"/>
        <v>0.64</v>
      </c>
      <c r="M231" s="140">
        <f t="shared" si="31"/>
        <v>0.64</v>
      </c>
      <c r="N231" s="140">
        <f t="shared" si="31"/>
        <v>0.64</v>
      </c>
      <c r="O231" s="140">
        <f t="shared" si="31"/>
        <v>0.64</v>
      </c>
      <c r="P231" s="140">
        <f t="shared" si="3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32">SUM(B226:B231)</f>
        <v>0</v>
      </c>
      <c r="C232" s="144">
        <f t="shared" si="32"/>
        <v>3.54</v>
      </c>
      <c r="D232" s="144">
        <f t="shared" si="32"/>
        <v>3.54</v>
      </c>
      <c r="E232" s="144">
        <f t="shared" si="32"/>
        <v>3.54</v>
      </c>
      <c r="F232" s="144">
        <f t="shared" si="32"/>
        <v>3.54</v>
      </c>
      <c r="G232" s="144">
        <f t="shared" si="32"/>
        <v>3.54</v>
      </c>
      <c r="H232" s="144">
        <f t="shared" si="32"/>
        <v>3.54</v>
      </c>
      <c r="I232" s="144">
        <f t="shared" ca="1" si="32"/>
        <v>3.54</v>
      </c>
      <c r="J232" s="144">
        <f t="shared" ca="1" si="32"/>
        <v>3.54</v>
      </c>
      <c r="K232" s="144">
        <f t="shared" ca="1" si="32"/>
        <v>3.54</v>
      </c>
      <c r="L232" s="144">
        <f t="shared" ca="1" si="32"/>
        <v>3.54</v>
      </c>
      <c r="M232" s="144">
        <f t="shared" ca="1" si="32"/>
        <v>3.54</v>
      </c>
      <c r="N232" s="144">
        <f t="shared" ca="1" si="32"/>
        <v>3.54</v>
      </c>
      <c r="O232" s="144">
        <f t="shared" ca="1" si="32"/>
        <v>3.54</v>
      </c>
      <c r="P232" s="144">
        <f t="shared" ca="1" si="32"/>
        <v>3.54</v>
      </c>
      <c r="Q232" s="144">
        <f t="shared" si="32"/>
        <v>0</v>
      </c>
      <c r="R232" s="144">
        <f t="shared" si="32"/>
        <v>0</v>
      </c>
      <c r="S232" s="144">
        <f t="shared" si="32"/>
        <v>0</v>
      </c>
      <c r="T232" s="144">
        <f t="shared" si="32"/>
        <v>0</v>
      </c>
      <c r="U232" s="144">
        <f t="shared" si="32"/>
        <v>0</v>
      </c>
      <c r="V232" s="144">
        <f t="shared" si="32"/>
        <v>0</v>
      </c>
      <c r="W232" s="144">
        <f t="shared" si="32"/>
        <v>0</v>
      </c>
      <c r="X232" s="144">
        <f t="shared" si="32"/>
        <v>0</v>
      </c>
      <c r="Y232" s="144">
        <f t="shared" si="32"/>
        <v>0</v>
      </c>
      <c r="Z232" s="144">
        <f t="shared" si="32"/>
        <v>0</v>
      </c>
      <c r="AA232" s="144">
        <f t="shared" si="32"/>
        <v>0</v>
      </c>
      <c r="AB232" s="144">
        <f t="shared" si="32"/>
        <v>0</v>
      </c>
      <c r="AC232" s="144">
        <f t="shared" si="32"/>
        <v>0</v>
      </c>
      <c r="AD232" s="144">
        <f t="shared" si="32"/>
        <v>0</v>
      </c>
      <c r="AE232" s="144">
        <f t="shared" si="32"/>
        <v>0</v>
      </c>
      <c r="AF232" s="144">
        <f t="shared" si="32"/>
        <v>0</v>
      </c>
      <c r="AG232" s="154">
        <f t="shared" si="3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1424.6399999999999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23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2079/12/23)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2079/12/23)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3">B89</f>
        <v>1222.3399999999999</v>
      </c>
      <c r="U246" s="180">
        <f t="shared" si="33"/>
        <v>1178.8399999999999</v>
      </c>
      <c r="V246" s="180">
        <f t="shared" si="33"/>
        <v>1160.74</v>
      </c>
      <c r="W246" s="180">
        <f t="shared" si="33"/>
        <v>1140.2399999999998</v>
      </c>
      <c r="X246" s="180">
        <f t="shared" si="33"/>
        <v>1148.24</v>
      </c>
      <c r="Y246" s="180">
        <f t="shared" si="33"/>
        <v>1180.9399999999998</v>
      </c>
      <c r="Z246" s="180">
        <f t="shared" si="33"/>
        <v>1216.74</v>
      </c>
      <c r="AA246" s="180">
        <f t="shared" si="33"/>
        <v>1085.94</v>
      </c>
      <c r="AB246" s="180">
        <f t="shared" si="33"/>
        <v>1269.04</v>
      </c>
      <c r="AC246" s="180">
        <f t="shared" si="33"/>
        <v>1304.3399999999999</v>
      </c>
      <c r="AD246" s="180">
        <f t="shared" si="33"/>
        <v>1408.34</v>
      </c>
      <c r="AE246" s="180">
        <f t="shared" si="33"/>
        <v>1424.6399999999999</v>
      </c>
      <c r="AF246" s="180">
        <f t="shared" si="33"/>
        <v>1382.3400000000001</v>
      </c>
      <c r="AG246" s="180">
        <f t="shared" si="33"/>
        <v>1441.64</v>
      </c>
      <c r="AH246" s="180">
        <f t="shared" si="33"/>
        <v>1408.74</v>
      </c>
      <c r="AI246" s="180">
        <f t="shared" si="33"/>
        <v>1387.04</v>
      </c>
      <c r="AJ246" s="180">
        <f t="shared" si="33"/>
        <v>1389.84</v>
      </c>
      <c r="AK246" s="180">
        <f t="shared" si="33"/>
        <v>1422.3400000000001</v>
      </c>
      <c r="AL246" s="180">
        <f t="shared" si="33"/>
        <v>1434.54</v>
      </c>
      <c r="AM246" s="180">
        <f t="shared" si="33"/>
        <v>1448.64</v>
      </c>
      <c r="AN246" s="180">
        <f t="shared" si="33"/>
        <v>1378.77</v>
      </c>
      <c r="AO246" s="180">
        <f t="shared" si="33"/>
        <v>1379.98</v>
      </c>
      <c r="AP246" s="180">
        <f t="shared" si="33"/>
        <v>1338.71</v>
      </c>
      <c r="AQ246" s="180">
        <f t="shared" si="33"/>
        <v>1592.3400000000001</v>
      </c>
      <c r="AR246" s="180">
        <f t="shared" si="33"/>
        <v>1676.64</v>
      </c>
      <c r="AS246" s="180">
        <f t="shared" si="33"/>
        <v>1535.44</v>
      </c>
      <c r="AT246" s="180">
        <f t="shared" si="33"/>
        <v>1483.04</v>
      </c>
      <c r="AU246" s="180">
        <f t="shared" si="33"/>
        <v>1346.24</v>
      </c>
      <c r="AV246" s="180">
        <f t="shared" si="33"/>
        <v>1283.8400000000001</v>
      </c>
      <c r="AW246" s="180">
        <f t="shared" si="33"/>
        <v>1253.6399999999999</v>
      </c>
      <c r="AX246" s="180">
        <f t="shared" si="33"/>
        <v>1161.94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4">C231</f>
        <v>0.64</v>
      </c>
      <c r="C267" s="183">
        <f t="shared" si="34"/>
        <v>0.64</v>
      </c>
      <c r="D267" s="183">
        <f t="shared" si="34"/>
        <v>0.64</v>
      </c>
      <c r="E267" s="183">
        <f t="shared" si="34"/>
        <v>0.64</v>
      </c>
      <c r="F267" s="183">
        <f t="shared" si="34"/>
        <v>0.64</v>
      </c>
      <c r="G267" s="183">
        <f t="shared" si="34"/>
        <v>0.64</v>
      </c>
      <c r="H267" s="183">
        <f t="shared" si="34"/>
        <v>0.64</v>
      </c>
      <c r="I267" s="183">
        <f t="shared" si="34"/>
        <v>0.64</v>
      </c>
      <c r="J267" s="183">
        <f t="shared" si="34"/>
        <v>0.64</v>
      </c>
      <c r="K267" s="183">
        <f t="shared" si="34"/>
        <v>0.64</v>
      </c>
      <c r="L267" s="183">
        <f t="shared" si="34"/>
        <v>0.64</v>
      </c>
      <c r="M267" s="183">
        <f t="shared" si="34"/>
        <v>0.64</v>
      </c>
      <c r="N267" s="183">
        <f t="shared" si="34"/>
        <v>0.64</v>
      </c>
      <c r="O267" s="183">
        <f t="shared" si="34"/>
        <v>0.64</v>
      </c>
      <c r="P267" s="183">
        <f t="shared" si="34"/>
        <v>0</v>
      </c>
      <c r="Q267" s="183">
        <f t="shared" si="34"/>
        <v>0</v>
      </c>
      <c r="R267" s="183">
        <f t="shared" si="34"/>
        <v>0</v>
      </c>
      <c r="S267" s="183">
        <f t="shared" si="34"/>
        <v>0</v>
      </c>
      <c r="T267" s="183">
        <f t="shared" si="34"/>
        <v>0</v>
      </c>
      <c r="U267" s="183">
        <f t="shared" si="34"/>
        <v>0</v>
      </c>
      <c r="V267" s="183">
        <f t="shared" si="34"/>
        <v>0</v>
      </c>
      <c r="W267" s="183">
        <f t="shared" si="34"/>
        <v>0</v>
      </c>
      <c r="X267" s="183">
        <f t="shared" si="34"/>
        <v>0</v>
      </c>
      <c r="Y267" s="183">
        <f t="shared" si="34"/>
        <v>0</v>
      </c>
      <c r="Z267" s="183">
        <f t="shared" si="34"/>
        <v>0</v>
      </c>
      <c r="AA267" s="183">
        <f t="shared" si="34"/>
        <v>0</v>
      </c>
      <c r="AB267" s="183">
        <f t="shared" si="34"/>
        <v>0</v>
      </c>
      <c r="AC267" s="183">
        <f t="shared" si="34"/>
        <v>0</v>
      </c>
      <c r="AD267" s="183">
        <f t="shared" si="34"/>
        <v>0</v>
      </c>
      <c r="AE267" s="183">
        <f t="shared" si="3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5">IF(B235&lt;100,"",B235-520)</f>
        <v/>
      </c>
      <c r="C268" s="184" t="str">
        <f t="shared" si="35"/>
        <v/>
      </c>
      <c r="D268" s="184" t="str">
        <f t="shared" si="35"/>
        <v/>
      </c>
      <c r="E268" s="184" t="str">
        <f t="shared" si="35"/>
        <v/>
      </c>
      <c r="F268" s="184" t="str">
        <f t="shared" si="35"/>
        <v/>
      </c>
      <c r="G268" s="184" t="str">
        <f t="shared" si="35"/>
        <v/>
      </c>
      <c r="H268" s="184" t="str">
        <f t="shared" si="35"/>
        <v/>
      </c>
      <c r="I268" s="184" t="str">
        <f t="shared" si="35"/>
        <v/>
      </c>
      <c r="J268" s="184" t="str">
        <f t="shared" si="35"/>
        <v/>
      </c>
      <c r="K268" s="184" t="str">
        <f t="shared" si="35"/>
        <v/>
      </c>
      <c r="L268" s="184" t="str">
        <f t="shared" si="35"/>
        <v/>
      </c>
      <c r="M268" s="184" t="str">
        <f t="shared" si="35"/>
        <v/>
      </c>
      <c r="N268" s="184" t="str">
        <f t="shared" si="35"/>
        <v/>
      </c>
      <c r="O268" s="184" t="str">
        <f t="shared" si="35"/>
        <v/>
      </c>
      <c r="P268" s="184" t="str">
        <f t="shared" si="35"/>
        <v/>
      </c>
      <c r="Q268" s="184" t="str">
        <f t="shared" si="35"/>
        <v/>
      </c>
      <c r="R268" s="184" t="str">
        <f t="shared" si="35"/>
        <v/>
      </c>
      <c r="S268" s="184" t="str">
        <f t="shared" si="35"/>
        <v/>
      </c>
      <c r="T268" s="184" t="str">
        <f t="shared" si="35"/>
        <v/>
      </c>
      <c r="U268" s="184" t="str">
        <f t="shared" si="35"/>
        <v/>
      </c>
      <c r="V268" s="184" t="str">
        <f t="shared" si="35"/>
        <v/>
      </c>
      <c r="W268" s="184" t="str">
        <f t="shared" si="35"/>
        <v/>
      </c>
      <c r="X268" s="184" t="str">
        <f t="shared" si="35"/>
        <v/>
      </c>
      <c r="Y268" s="184" t="str">
        <f t="shared" si="35"/>
        <v/>
      </c>
      <c r="Z268" s="184" t="str">
        <f t="shared" si="35"/>
        <v/>
      </c>
      <c r="AA268" s="184" t="str">
        <f t="shared" si="35"/>
        <v/>
      </c>
      <c r="AB268" s="184" t="str">
        <f t="shared" si="35"/>
        <v/>
      </c>
      <c r="AC268" s="184" t="str">
        <f t="shared" si="35"/>
        <v/>
      </c>
      <c r="AD268" s="184" t="str">
        <f t="shared" si="35"/>
        <v/>
      </c>
      <c r="AE268" s="184" t="str">
        <f t="shared" si="35"/>
        <v/>
      </c>
      <c r="AF268" s="184" t="str">
        <f t="shared" si="3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6">IF(B236&lt;100,"",B236-620)</f>
        <v/>
      </c>
      <c r="C269" s="184" t="str">
        <f t="shared" si="36"/>
        <v/>
      </c>
      <c r="D269" s="184" t="str">
        <f t="shared" si="36"/>
        <v/>
      </c>
      <c r="E269" s="184" t="str">
        <f t="shared" si="36"/>
        <v/>
      </c>
      <c r="F269" s="184" t="str">
        <f t="shared" si="36"/>
        <v/>
      </c>
      <c r="G269" s="184" t="str">
        <f t="shared" si="36"/>
        <v/>
      </c>
      <c r="H269" s="184" t="str">
        <f t="shared" si="36"/>
        <v/>
      </c>
      <c r="I269" s="184" t="str">
        <f t="shared" si="36"/>
        <v/>
      </c>
      <c r="J269" s="184" t="str">
        <f t="shared" si="36"/>
        <v/>
      </c>
      <c r="K269" s="184" t="str">
        <f t="shared" si="36"/>
        <v/>
      </c>
      <c r="L269" s="184" t="str">
        <f t="shared" si="36"/>
        <v/>
      </c>
      <c r="M269" s="184" t="str">
        <f t="shared" si="36"/>
        <v/>
      </c>
      <c r="N269" s="184" t="str">
        <f t="shared" si="36"/>
        <v/>
      </c>
      <c r="O269" s="184" t="str">
        <f t="shared" si="36"/>
        <v/>
      </c>
      <c r="P269" s="184" t="str">
        <f t="shared" si="36"/>
        <v/>
      </c>
      <c r="Q269" s="184" t="str">
        <f t="shared" si="36"/>
        <v/>
      </c>
      <c r="R269" s="184" t="str">
        <f t="shared" si="36"/>
        <v/>
      </c>
      <c r="S269" s="184" t="str">
        <f t="shared" si="36"/>
        <v/>
      </c>
      <c r="T269" s="184" t="str">
        <f t="shared" si="36"/>
        <v/>
      </c>
      <c r="U269" s="184" t="str">
        <f t="shared" si="36"/>
        <v/>
      </c>
      <c r="V269" s="184" t="str">
        <f t="shared" si="36"/>
        <v/>
      </c>
      <c r="W269" s="184" t="str">
        <f t="shared" si="36"/>
        <v/>
      </c>
      <c r="X269" s="184" t="str">
        <f t="shared" si="36"/>
        <v/>
      </c>
      <c r="Y269" s="184" t="str">
        <f t="shared" si="36"/>
        <v/>
      </c>
      <c r="Z269" s="184" t="str">
        <f t="shared" si="36"/>
        <v/>
      </c>
      <c r="AA269" s="184" t="str">
        <f t="shared" si="36"/>
        <v/>
      </c>
      <c r="AB269" s="184" t="str">
        <f t="shared" si="36"/>
        <v/>
      </c>
      <c r="AC269" s="184" t="str">
        <f t="shared" si="36"/>
        <v/>
      </c>
      <c r="AD269" s="184" t="str">
        <f t="shared" si="36"/>
        <v/>
      </c>
      <c r="AE269" s="184" t="str">
        <f t="shared" si="36"/>
        <v/>
      </c>
      <c r="AF269" s="184" t="str">
        <f t="shared" si="3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7">IF(B237&lt;100,"",B237-330)</f>
        <v/>
      </c>
      <c r="C270" s="184" t="str">
        <f t="shared" si="37"/>
        <v/>
      </c>
      <c r="D270" s="184" t="str">
        <f t="shared" si="37"/>
        <v/>
      </c>
      <c r="E270" s="184" t="str">
        <f t="shared" si="37"/>
        <v/>
      </c>
      <c r="F270" s="184" t="str">
        <f t="shared" si="37"/>
        <v/>
      </c>
      <c r="G270" s="184" t="str">
        <f t="shared" si="37"/>
        <v/>
      </c>
      <c r="H270" s="184" t="str">
        <f t="shared" si="37"/>
        <v/>
      </c>
      <c r="I270" s="184" t="str">
        <f t="shared" si="37"/>
        <v/>
      </c>
      <c r="J270" s="184" t="str">
        <f t="shared" si="37"/>
        <v/>
      </c>
      <c r="K270" s="184" t="str">
        <f t="shared" si="37"/>
        <v/>
      </c>
      <c r="L270" s="184" t="str">
        <f t="shared" si="37"/>
        <v/>
      </c>
      <c r="M270" s="184" t="str">
        <f t="shared" si="37"/>
        <v/>
      </c>
      <c r="N270" s="184" t="str">
        <f t="shared" si="37"/>
        <v/>
      </c>
      <c r="O270" s="184" t="str">
        <f t="shared" si="37"/>
        <v/>
      </c>
      <c r="P270" s="184" t="str">
        <f t="shared" si="37"/>
        <v/>
      </c>
      <c r="Q270" s="184" t="str">
        <f t="shared" si="37"/>
        <v/>
      </c>
      <c r="R270" s="184" t="str">
        <f t="shared" si="37"/>
        <v/>
      </c>
      <c r="S270" s="184" t="str">
        <f t="shared" si="37"/>
        <v/>
      </c>
      <c r="T270" s="184" t="str">
        <f t="shared" si="37"/>
        <v/>
      </c>
      <c r="U270" s="184" t="str">
        <f t="shared" si="37"/>
        <v/>
      </c>
      <c r="V270" s="184" t="str">
        <f t="shared" si="37"/>
        <v/>
      </c>
      <c r="W270" s="184" t="str">
        <f t="shared" si="37"/>
        <v/>
      </c>
      <c r="X270" s="184" t="str">
        <f t="shared" si="37"/>
        <v/>
      </c>
      <c r="Y270" s="184" t="str">
        <f t="shared" si="37"/>
        <v/>
      </c>
      <c r="Z270" s="184" t="str">
        <f t="shared" si="37"/>
        <v/>
      </c>
      <c r="AA270" s="184" t="str">
        <f t="shared" si="37"/>
        <v/>
      </c>
      <c r="AB270" s="184" t="str">
        <f t="shared" si="37"/>
        <v/>
      </c>
      <c r="AC270" s="184" t="str">
        <f t="shared" si="37"/>
        <v/>
      </c>
      <c r="AD270" s="184" t="str">
        <f t="shared" si="37"/>
        <v/>
      </c>
      <c r="AE270" s="184" t="str">
        <f t="shared" si="37"/>
        <v/>
      </c>
      <c r="AF270" s="184" t="str">
        <f t="shared" si="3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8">IF(B238&lt;100,"",B238-1500)</f>
        <v/>
      </c>
      <c r="C271" s="184" t="str">
        <f t="shared" si="38"/>
        <v/>
      </c>
      <c r="D271" s="184" t="str">
        <f t="shared" si="38"/>
        <v/>
      </c>
      <c r="E271" s="184" t="str">
        <f t="shared" si="38"/>
        <v/>
      </c>
      <c r="F271" s="184" t="str">
        <f t="shared" si="38"/>
        <v/>
      </c>
      <c r="G271" s="184" t="str">
        <f t="shared" si="38"/>
        <v/>
      </c>
      <c r="H271" s="184" t="str">
        <f t="shared" si="38"/>
        <v/>
      </c>
      <c r="I271" s="184" t="str">
        <f t="shared" si="38"/>
        <v/>
      </c>
      <c r="J271" s="184" t="str">
        <f t="shared" si="38"/>
        <v/>
      </c>
      <c r="K271" s="184" t="str">
        <f t="shared" si="38"/>
        <v/>
      </c>
      <c r="L271" s="184" t="str">
        <f t="shared" si="38"/>
        <v/>
      </c>
      <c r="M271" s="184" t="str">
        <f t="shared" si="38"/>
        <v/>
      </c>
      <c r="N271" s="184" t="str">
        <f t="shared" si="38"/>
        <v/>
      </c>
      <c r="O271" s="184" t="str">
        <f t="shared" si="38"/>
        <v/>
      </c>
      <c r="P271" s="184" t="str">
        <f t="shared" si="38"/>
        <v/>
      </c>
      <c r="Q271" s="184" t="str">
        <f t="shared" si="38"/>
        <v/>
      </c>
      <c r="R271" s="184" t="str">
        <f t="shared" si="38"/>
        <v/>
      </c>
      <c r="S271" s="184" t="str">
        <f t="shared" si="38"/>
        <v/>
      </c>
      <c r="T271" s="184" t="str">
        <f t="shared" si="38"/>
        <v/>
      </c>
      <c r="U271" s="184" t="str">
        <f t="shared" si="38"/>
        <v/>
      </c>
      <c r="V271" s="184" t="str">
        <f t="shared" si="38"/>
        <v/>
      </c>
      <c r="W271" s="184" t="str">
        <f t="shared" si="38"/>
        <v/>
      </c>
      <c r="X271" s="184" t="str">
        <f t="shared" si="38"/>
        <v/>
      </c>
      <c r="Y271" s="184" t="str">
        <f t="shared" si="38"/>
        <v/>
      </c>
      <c r="Z271" s="184" t="str">
        <f t="shared" si="38"/>
        <v/>
      </c>
      <c r="AA271" s="184" t="str">
        <f t="shared" si="38"/>
        <v/>
      </c>
      <c r="AB271" s="184" t="str">
        <f t="shared" si="38"/>
        <v/>
      </c>
      <c r="AC271" s="184" t="str">
        <f t="shared" si="38"/>
        <v/>
      </c>
      <c r="AD271" s="184" t="str">
        <f t="shared" si="38"/>
        <v/>
      </c>
      <c r="AE271" s="184" t="str">
        <f t="shared" si="38"/>
        <v/>
      </c>
      <c r="AF271" s="184" t="str">
        <f t="shared" si="3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60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604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3861" priority="600">
      <formula>B$9&gt;=20/24</formula>
    </cfRule>
    <cfRule type="expression" dxfId="3860" priority="601">
      <formula>AND(B$9&gt;=14/24,B$9&lt;20/24)</formula>
    </cfRule>
    <cfRule type="expression" dxfId="3859" priority="602">
      <formula>AND(B$9&gt;=8/24,B$9&lt;14/24)</formula>
    </cfRule>
    <cfRule type="expression" dxfId="3858" priority="603">
      <formula>B$9&lt;8/24</formula>
    </cfRule>
  </conditionalFormatting>
  <conditionalFormatting sqref="AL4:AL6">
    <cfRule type="iconSet" priority="599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3857" priority="598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3856" priority="597">
      <formula>$AH12=0</formula>
    </cfRule>
  </conditionalFormatting>
  <conditionalFormatting sqref="A114">
    <cfRule type="expression" dxfId="3855" priority="596">
      <formula>$AH114=0</formula>
    </cfRule>
  </conditionalFormatting>
  <conditionalFormatting sqref="AL42">
    <cfRule type="iconSet" priority="595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854" priority="594">
      <formula>$AH45=0</formula>
    </cfRule>
  </conditionalFormatting>
  <conditionalFormatting sqref="A98">
    <cfRule type="expression" dxfId="3853" priority="593">
      <formula>$AH98=0</formula>
    </cfRule>
  </conditionalFormatting>
  <conditionalFormatting sqref="A18">
    <cfRule type="expression" dxfId="3852" priority="592">
      <formula>$AH18=0</formula>
    </cfRule>
  </conditionalFormatting>
  <conditionalFormatting sqref="A196:A201">
    <cfRule type="expression" dxfId="3851" priority="591">
      <formula>$AH196=0</formula>
    </cfRule>
  </conditionalFormatting>
  <conditionalFormatting sqref="A190:A195">
    <cfRule type="expression" dxfId="3850" priority="590">
      <formula>$AH190=0</formula>
    </cfRule>
  </conditionalFormatting>
  <conditionalFormatting sqref="A58">
    <cfRule type="expression" dxfId="3849" priority="589">
      <formula>$AH58=0</formula>
    </cfRule>
  </conditionalFormatting>
  <conditionalFormatting sqref="A94">
    <cfRule type="expression" dxfId="3848" priority="588">
      <formula>$AH94=0</formula>
    </cfRule>
  </conditionalFormatting>
  <conditionalFormatting sqref="E99:Y99">
    <cfRule type="expression" dxfId="3847" priority="584">
      <formula>E$9&gt;=20/24</formula>
    </cfRule>
    <cfRule type="expression" dxfId="3846" priority="585">
      <formula>AND(E$9&gt;=14/24,E$9&lt;20/24)</formula>
    </cfRule>
    <cfRule type="expression" dxfId="3845" priority="586">
      <formula>AND(E$9&gt;=8/24,E$9&lt;14/24)</formula>
    </cfRule>
    <cfRule type="expression" dxfId="3844" priority="587">
      <formula>E$9&lt;8/24</formula>
    </cfRule>
  </conditionalFormatting>
  <conditionalFormatting sqref="AL43">
    <cfRule type="iconSet" priority="58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43" priority="606">
      <formula>C$9&gt;=20/24</formula>
    </cfRule>
    <cfRule type="expression" dxfId="3842" priority="607">
      <formula>AND(C$9&gt;=14/24,C$9&lt;20/24)</formula>
    </cfRule>
    <cfRule type="expression" dxfId="3841" priority="608">
      <formula>AND(C$9&gt;=8/24,C$9&lt;14/24)</formula>
    </cfRule>
    <cfRule type="expression" dxfId="3840" priority="609">
      <formula>C$9&lt;8/24</formula>
    </cfRule>
  </conditionalFormatting>
  <conditionalFormatting sqref="A233">
    <cfRule type="expression" dxfId="3839" priority="610">
      <formula>$AH233=0</formula>
    </cfRule>
  </conditionalFormatting>
  <conditionalFormatting sqref="AG245">
    <cfRule type="expression" dxfId="3838" priority="611">
      <formula>B$9&gt;=20/24</formula>
    </cfRule>
    <cfRule type="expression" dxfId="3837" priority="612">
      <formula>AND(B$9&gt;=14/24,B$9&lt;20/24)</formula>
    </cfRule>
    <cfRule type="expression" dxfId="3836" priority="613">
      <formula>AND(B$9&gt;=8/24,B$9&lt;14/24)</formula>
    </cfRule>
    <cfRule type="expression" dxfId="3835" priority="614">
      <formula>B$9&lt;8/24</formula>
    </cfRule>
  </conditionalFormatting>
  <conditionalFormatting sqref="S8">
    <cfRule type="expression" dxfId="3834" priority="579">
      <formula>U$9&gt;=20/24</formula>
    </cfRule>
    <cfRule type="expression" dxfId="3833" priority="580">
      <formula>AND(U$9&gt;=14/24,U$9&lt;20/24)</formula>
    </cfRule>
    <cfRule type="expression" dxfId="3832" priority="581">
      <formula>AND(U$9&gt;=8/24,U$9&lt;14/24)</formula>
    </cfRule>
    <cfRule type="expression" dxfId="3831" priority="582">
      <formula>U$9&lt;8/24</formula>
    </cfRule>
  </conditionalFormatting>
  <conditionalFormatting sqref="AB8">
    <cfRule type="expression" dxfId="3830" priority="575">
      <formula>AD$9&gt;=20/24</formula>
    </cfRule>
    <cfRule type="expression" dxfId="3829" priority="576">
      <formula>AND(AD$9&gt;=14/24,AD$9&lt;20/24)</formula>
    </cfRule>
    <cfRule type="expression" dxfId="3828" priority="577">
      <formula>AND(AD$9&gt;=8/24,AD$9&lt;14/24)</formula>
    </cfRule>
    <cfRule type="expression" dxfId="3827" priority="578">
      <formula>AD$9&lt;8/24</formula>
    </cfRule>
  </conditionalFormatting>
  <conditionalFormatting sqref="AH245:AX245">
    <cfRule type="expression" dxfId="3826" priority="615">
      <formula>AG$9&gt;=20/24</formula>
    </cfRule>
    <cfRule type="expression" dxfId="3825" priority="616">
      <formula>AND(AG$9&gt;=14/24,AG$9&lt;20/24)</formula>
    </cfRule>
    <cfRule type="expression" dxfId="3824" priority="617">
      <formula>AND(AG$9&gt;=8/24,AG$9&lt;14/24)</formula>
    </cfRule>
    <cfRule type="expression" dxfId="3823" priority="618">
      <formula>AG$9&lt;8/24</formula>
    </cfRule>
  </conditionalFormatting>
  <conditionalFormatting sqref="T245">
    <cfRule type="expression" dxfId="3822" priority="619">
      <formula>AX$9&gt;=20/24</formula>
    </cfRule>
    <cfRule type="expression" dxfId="3821" priority="620">
      <formula>AND(AX$9&gt;=14/24,AX$9&lt;20/24)</formula>
    </cfRule>
    <cfRule type="expression" dxfId="3820" priority="621">
      <formula>AND(AX$9&gt;=8/24,AX$9&lt;14/24)</formula>
    </cfRule>
    <cfRule type="expression" dxfId="3819" priority="622">
      <formula>AX$9&lt;8/24</formula>
    </cfRule>
  </conditionalFormatting>
  <conditionalFormatting sqref="A115:A116">
    <cfRule type="expression" dxfId="3818" priority="574">
      <formula>$AH115=0</formula>
    </cfRule>
  </conditionalFormatting>
  <conditionalFormatting sqref="O54:R55 O57:R57 AB54:AF57 E71:AF71">
    <cfRule type="expression" dxfId="3817" priority="570">
      <formula>E$9&gt;=20/24</formula>
    </cfRule>
    <cfRule type="expression" dxfId="3816" priority="571">
      <formula>AND(E$9&gt;=14/24,E$9&lt;20/24)</formula>
    </cfRule>
    <cfRule type="expression" dxfId="3815" priority="572">
      <formula>AND(E$9&gt;=8/24,E$9&lt;14/24)</formula>
    </cfRule>
    <cfRule type="expression" dxfId="3814" priority="573">
      <formula>E$9&lt;8/24</formula>
    </cfRule>
  </conditionalFormatting>
  <conditionalFormatting sqref="AB53:AF53 O53:R53">
    <cfRule type="expression" dxfId="3813" priority="566">
      <formula>O$9&gt;=20/24</formula>
    </cfRule>
    <cfRule type="expression" dxfId="3812" priority="567">
      <formula>AND(O$9&gt;=14/24,O$9&lt;20/24)</formula>
    </cfRule>
    <cfRule type="expression" dxfId="3811" priority="568">
      <formula>AND(O$9&gt;=8/24,O$9&lt;14/24)</formula>
    </cfRule>
    <cfRule type="expression" dxfId="3810" priority="569">
      <formula>O$9&lt;8/24</formula>
    </cfRule>
  </conditionalFormatting>
  <conditionalFormatting sqref="O53:R55 O57:R57 AB53:AF57">
    <cfRule type="expression" dxfId="3809" priority="565">
      <formula>O53&gt;$AG53</formula>
    </cfRule>
  </conditionalFormatting>
  <conditionalFormatting sqref="D86:AF86 X96:AF96 X47:AF47 E72:X73 P100:Y106 X67:AF69 Y72:AF74">
    <cfRule type="expression" dxfId="3808" priority="561">
      <formula>D$9&gt;=20/24</formula>
    </cfRule>
    <cfRule type="expression" dxfId="3807" priority="562">
      <formula>AND(D$9&gt;=14/24,D$9&lt;20/24)</formula>
    </cfRule>
    <cfRule type="expression" dxfId="3806" priority="563">
      <formula>AND(D$9&gt;=8/24,D$9&lt;14/24)</formula>
    </cfRule>
    <cfRule type="expression" dxfId="3805" priority="564">
      <formula>D$9&lt;8/24</formula>
    </cfRule>
  </conditionalFormatting>
  <conditionalFormatting sqref="X47:AF47 X67:AF69">
    <cfRule type="expression" dxfId="3804" priority="560">
      <formula>X47&gt;$AG47</formula>
    </cfRule>
  </conditionalFormatting>
  <conditionalFormatting sqref="S53:AA58 AB58:AF58">
    <cfRule type="expression" dxfId="3803" priority="556">
      <formula>S$9&gt;=20/24</formula>
    </cfRule>
    <cfRule type="expression" dxfId="3802" priority="557">
      <formula>AND(S$9&gt;=14/24,S$9&lt;20/24)</formula>
    </cfRule>
    <cfRule type="expression" dxfId="3801" priority="558">
      <formula>AND(S$9&gt;=8/24,S$9&lt;14/24)</formula>
    </cfRule>
    <cfRule type="expression" dxfId="3800" priority="559">
      <formula>S$9&lt;8/24</formula>
    </cfRule>
  </conditionalFormatting>
  <conditionalFormatting sqref="S53:AA58 AB58:AF58">
    <cfRule type="expression" dxfId="3799" priority="555">
      <formula>S53&gt;$AG53</formula>
    </cfRule>
  </conditionalFormatting>
  <conditionalFormatting sqref="C97:AF97 D88:AF88">
    <cfRule type="expression" dxfId="3798" priority="551">
      <formula>C$9&gt;=20/24</formula>
    </cfRule>
    <cfRule type="expression" dxfId="3797" priority="552">
      <formula>AND(C$9&gt;=14/24,C$9&lt;20/24)</formula>
    </cfRule>
    <cfRule type="expression" dxfId="3796" priority="553">
      <formula>AND(C$9&gt;=8/24,C$9&lt;14/24)</formula>
    </cfRule>
    <cfRule type="expression" dxfId="3795" priority="554">
      <formula>C$9&lt;8/24</formula>
    </cfRule>
  </conditionalFormatting>
  <conditionalFormatting sqref="T47:W47">
    <cfRule type="expression" dxfId="3794" priority="547">
      <formula>T$9&gt;=20/24</formula>
    </cfRule>
    <cfRule type="expression" dxfId="3793" priority="548">
      <formula>AND(T$9&gt;=14/24,T$9&lt;20/24)</formula>
    </cfRule>
    <cfRule type="expression" dxfId="3792" priority="549">
      <formula>AND(T$9&gt;=8/24,T$9&lt;14/24)</formula>
    </cfRule>
    <cfRule type="expression" dxfId="3791" priority="550">
      <formula>T$9&lt;8/24</formula>
    </cfRule>
  </conditionalFormatting>
  <conditionalFormatting sqref="T47:W47">
    <cfRule type="expression" dxfId="3790" priority="546">
      <formula>T47&gt;$AG47</formula>
    </cfRule>
  </conditionalFormatting>
  <conditionalFormatting sqref="E54:N55">
    <cfRule type="expression" dxfId="3789" priority="542">
      <formula>E$9&gt;=20/24</formula>
    </cfRule>
    <cfRule type="expression" dxfId="3788" priority="543">
      <formula>AND(E$9&gt;=14/24,E$9&lt;20/24)</formula>
    </cfRule>
    <cfRule type="expression" dxfId="3787" priority="544">
      <formula>AND(E$9&gt;=8/24,E$9&lt;14/24)</formula>
    </cfRule>
    <cfRule type="expression" dxfId="3786" priority="545">
      <formula>E$9&lt;8/24</formula>
    </cfRule>
  </conditionalFormatting>
  <conditionalFormatting sqref="E53:N53">
    <cfRule type="expression" dxfId="3785" priority="538">
      <formula>E$9&gt;=20/24</formula>
    </cfRule>
    <cfRule type="expression" dxfId="3784" priority="539">
      <formula>AND(E$9&gt;=14/24,E$9&lt;20/24)</formula>
    </cfRule>
    <cfRule type="expression" dxfId="3783" priority="540">
      <formula>AND(E$9&gt;=8/24,E$9&lt;14/24)</formula>
    </cfRule>
    <cfRule type="expression" dxfId="3782" priority="541">
      <formula>E$9&lt;8/24</formula>
    </cfRule>
  </conditionalFormatting>
  <conditionalFormatting sqref="E53:N55">
    <cfRule type="expression" dxfId="3781" priority="537">
      <formula>E53&gt;$AG53</formula>
    </cfRule>
  </conditionalFormatting>
  <conditionalFormatting sqref="AG70 AG87 E100:O106 S67:W69">
    <cfRule type="expression" dxfId="3780" priority="533">
      <formula>E$9&gt;=20/24</formula>
    </cfRule>
    <cfRule type="expression" dxfId="3779" priority="534">
      <formula>AND(E$9&gt;=14/24,E$9&lt;20/24)</formula>
    </cfRule>
    <cfRule type="expression" dxfId="3778" priority="535">
      <formula>AND(E$9&gt;=8/24,E$9&lt;14/24)</formula>
    </cfRule>
    <cfRule type="expression" dxfId="3777" priority="536">
      <formula>E$9&lt;8/24</formula>
    </cfRule>
  </conditionalFormatting>
  <conditionalFormatting sqref="AG48 AG66 AG70 S67:W69">
    <cfRule type="expression" dxfId="3776" priority="532">
      <formula>S48&gt;$AG48</formula>
    </cfRule>
  </conditionalFormatting>
  <conditionalFormatting sqref="A43">
    <cfRule type="expression" dxfId="3775" priority="526">
      <formula>$AH43=0</formula>
    </cfRule>
  </conditionalFormatting>
  <conditionalFormatting sqref="X91:AF95">
    <cfRule type="expression" dxfId="3774" priority="522">
      <formula>X$9&gt;=20/24</formula>
    </cfRule>
    <cfRule type="expression" dxfId="3773" priority="523">
      <formula>AND(X$9&gt;=14/24,X$9&lt;20/24)</formula>
    </cfRule>
    <cfRule type="expression" dxfId="3772" priority="524">
      <formula>AND(X$9&gt;=8/24,X$9&lt;14/24)</formula>
    </cfRule>
    <cfRule type="expression" dxfId="3771" priority="525">
      <formula>X$9&lt;8/24</formula>
    </cfRule>
  </conditionalFormatting>
  <conditionalFormatting sqref="AL45 AL41 AL22:AL32 AL38:AL39 AL7:AL15 AL17:AL20 AL34:AL36">
    <cfRule type="iconSet" priority="623">
      <iconSet iconSet="3TrafficLights2" reverse="1">
        <cfvo type="percent" val="0"/>
        <cfvo type="num" val="1"/>
        <cfvo type="num" val="1"/>
      </iconSet>
    </cfRule>
  </conditionalFormatting>
  <conditionalFormatting sqref="E49:V49 E51:V51 U50:V50 W49:AF51">
    <cfRule type="expression" dxfId="3770" priority="518">
      <formula>E$9&gt;=20/24</formula>
    </cfRule>
    <cfRule type="expression" dxfId="3769" priority="519">
      <formula>AND(E$9&gt;=14/24,E$9&lt;20/24)</formula>
    </cfRule>
    <cfRule type="expression" dxfId="3768" priority="520">
      <formula>AND(E$9&gt;=8/24,E$9&lt;14/24)</formula>
    </cfRule>
    <cfRule type="expression" dxfId="3767" priority="521">
      <formula>E$9&lt;8/24</formula>
    </cfRule>
  </conditionalFormatting>
  <conditionalFormatting sqref="E49:V49 E51:V51 U50:V50 W49:AF51">
    <cfRule type="expression" dxfId="3766" priority="517">
      <formula>E49&gt;$AG49</formula>
    </cfRule>
  </conditionalFormatting>
  <conditionalFormatting sqref="AG52">
    <cfRule type="expression" dxfId="3765" priority="513">
      <formula>AG$9&gt;=20/24</formula>
    </cfRule>
    <cfRule type="expression" dxfId="3764" priority="514">
      <formula>AND(AG$9&gt;=14/24,AG$9&lt;20/24)</formula>
    </cfRule>
    <cfRule type="expression" dxfId="3763" priority="515">
      <formula>AND(AG$9&gt;=8/24,AG$9&lt;14/24)</formula>
    </cfRule>
    <cfRule type="expression" dxfId="3762" priority="516">
      <formula>AG$9&lt;8/24</formula>
    </cfRule>
  </conditionalFormatting>
  <conditionalFormatting sqref="AG52">
    <cfRule type="expression" dxfId="3761" priority="512">
      <formula>AG52&gt;$AG52</formula>
    </cfRule>
  </conditionalFormatting>
  <conditionalFormatting sqref="C107:AF107">
    <cfRule type="expression" dxfId="3760" priority="508">
      <formula>C$9&gt;=20/24</formula>
    </cfRule>
    <cfRule type="expression" dxfId="3759" priority="509">
      <formula>AND(C$9&gt;=14/24,C$9&lt;20/24)</formula>
    </cfRule>
    <cfRule type="expression" dxfId="3758" priority="510">
      <formula>AND(C$9&gt;=8/24,C$9&lt;14/24)</formula>
    </cfRule>
    <cfRule type="expression" dxfId="3757" priority="511">
      <formula>C$9&lt;8/24</formula>
    </cfRule>
  </conditionalFormatting>
  <conditionalFormatting sqref="AL40">
    <cfRule type="iconSet" priority="507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3756" priority="506">
      <formula>$AH40=0</formula>
    </cfRule>
  </conditionalFormatting>
  <conditionalFormatting sqref="A90">
    <cfRule type="expression" dxfId="3755" priority="504">
      <formula>$AH90=0</formula>
    </cfRule>
  </conditionalFormatting>
  <conditionalFormatting sqref="A87">
    <cfRule type="expression" dxfId="3754" priority="505">
      <formula>$AH87=0</formula>
    </cfRule>
  </conditionalFormatting>
  <conditionalFormatting sqref="D110:AF110">
    <cfRule type="expression" dxfId="3753" priority="500">
      <formula>D$9&gt;=20/24</formula>
    </cfRule>
    <cfRule type="expression" dxfId="3752" priority="501">
      <formula>AND(D$9&gt;=14/24,D$9&lt;20/24)</formula>
    </cfRule>
    <cfRule type="expression" dxfId="3751" priority="502">
      <formula>AND(D$9&gt;=8/24,D$9&lt;14/24)</formula>
    </cfRule>
    <cfRule type="expression" dxfId="3750" priority="503">
      <formula>D$9&lt;8/24</formula>
    </cfRule>
  </conditionalFormatting>
  <conditionalFormatting sqref="A110">
    <cfRule type="expression" dxfId="3749" priority="499">
      <formula>$AH110=0</formula>
    </cfRule>
  </conditionalFormatting>
  <conditionalFormatting sqref="A21">
    <cfRule type="expression" dxfId="3748" priority="497">
      <formula>$AH21=0</formula>
    </cfRule>
  </conditionalFormatting>
  <conditionalFormatting sqref="AL21">
    <cfRule type="iconSet" priority="498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747" priority="495">
      <formula>$AH37=0</formula>
    </cfRule>
  </conditionalFormatting>
  <conditionalFormatting sqref="AL37">
    <cfRule type="iconSet" priority="496">
      <iconSet iconSet="3TrafficLights2" reverse="1">
        <cfvo type="percent" val="0"/>
        <cfvo type="num" val="1"/>
        <cfvo type="num" val="1"/>
      </iconSet>
    </cfRule>
  </conditionalFormatting>
  <conditionalFormatting sqref="Z99:AF99">
    <cfRule type="expression" dxfId="3746" priority="491">
      <formula>Z$9&gt;=20/24</formula>
    </cfRule>
    <cfRule type="expression" dxfId="3745" priority="492">
      <formula>AND(Z$9&gt;=14/24,Z$9&lt;20/24)</formula>
    </cfRule>
    <cfRule type="expression" dxfId="3744" priority="493">
      <formula>AND(Z$9&gt;=8/24,Z$9&lt;14/24)</formula>
    </cfRule>
    <cfRule type="expression" dxfId="3743" priority="494">
      <formula>Z$9&lt;8/24</formula>
    </cfRule>
  </conditionalFormatting>
  <conditionalFormatting sqref="Z100:AF106">
    <cfRule type="expression" dxfId="3742" priority="487">
      <formula>Z$9&gt;=20/24</formula>
    </cfRule>
    <cfRule type="expression" dxfId="3741" priority="488">
      <formula>AND(Z$9&gt;=14/24,Z$9&lt;20/24)</formula>
    </cfRule>
    <cfRule type="expression" dxfId="3740" priority="489">
      <formula>AND(Z$9&gt;=8/24,Z$9&lt;14/24)</formula>
    </cfRule>
    <cfRule type="expression" dxfId="3739" priority="490">
      <formula>Z$9&lt;8/24</formula>
    </cfRule>
  </conditionalFormatting>
  <conditionalFormatting sqref="C109 C111:C116 Z34:AF43 Z17:AF32">
    <cfRule type="expression" dxfId="3738" priority="483">
      <formula>C$9&gt;=20/24</formula>
    </cfRule>
    <cfRule type="expression" dxfId="3737" priority="484">
      <formula>AND(C$9&gt;=14/24,C$9&lt;20/24)</formula>
    </cfRule>
    <cfRule type="expression" dxfId="3736" priority="485">
      <formula>AND(C$9&gt;=8/24,C$9&lt;14/24)</formula>
    </cfRule>
    <cfRule type="expression" dxfId="3735" priority="486">
      <formula>C$9&lt;8/24</formula>
    </cfRule>
  </conditionalFormatting>
  <conditionalFormatting sqref="C47:S47">
    <cfRule type="expression" dxfId="3734" priority="479">
      <formula>C$9&gt;=20/24</formula>
    </cfRule>
    <cfRule type="expression" dxfId="3733" priority="480">
      <formula>AND(C$9&gt;=14/24,C$9&lt;20/24)</formula>
    </cfRule>
    <cfRule type="expression" dxfId="3732" priority="481">
      <formula>AND(C$9&gt;=8/24,C$9&lt;14/24)</formula>
    </cfRule>
    <cfRule type="expression" dxfId="3731" priority="482">
      <formula>C$9&lt;8/24</formula>
    </cfRule>
  </conditionalFormatting>
  <conditionalFormatting sqref="C47:S47 Z34:AF43 Z17:AF32">
    <cfRule type="expression" dxfId="3730" priority="478">
      <formula>C17&gt;$AG17</formula>
    </cfRule>
  </conditionalFormatting>
  <conditionalFormatting sqref="C99:D99">
    <cfRule type="expression" dxfId="3729" priority="474">
      <formula>C$9&gt;=20/24</formula>
    </cfRule>
    <cfRule type="expression" dxfId="3728" priority="475">
      <formula>AND(C$9&gt;=14/24,C$9&lt;20/24)</formula>
    </cfRule>
    <cfRule type="expression" dxfId="3727" priority="476">
      <formula>AND(C$9&gt;=8/24,C$9&lt;14/24)</formula>
    </cfRule>
    <cfRule type="expression" dxfId="3726" priority="477">
      <formula>C$9&lt;8/24</formula>
    </cfRule>
  </conditionalFormatting>
  <conditionalFormatting sqref="C86 C96:W96 C83:AF85 C100:D106 E67:R69 E74:X76 Y75:AF76">
    <cfRule type="expression" dxfId="3725" priority="470">
      <formula>C$9&gt;=20/24</formula>
    </cfRule>
    <cfRule type="expression" dxfId="3724" priority="471">
      <formula>AND(C$9&gt;=14/24,C$9&lt;20/24)</formula>
    </cfRule>
    <cfRule type="expression" dxfId="3723" priority="472">
      <formula>AND(C$9&gt;=8/24,C$9&lt;14/24)</formula>
    </cfRule>
    <cfRule type="expression" dxfId="3722" priority="473">
      <formula>C$9&lt;8/24</formula>
    </cfRule>
  </conditionalFormatting>
  <conditionalFormatting sqref="E56:N57 O56:R56 E67:R69">
    <cfRule type="expression" dxfId="3721" priority="469">
      <formula>E56&gt;$AG56</formula>
    </cfRule>
  </conditionalFormatting>
  <conditionalFormatting sqref="E58:R58">
    <cfRule type="expression" dxfId="3720" priority="465">
      <formula>E$9&gt;=20/24</formula>
    </cfRule>
    <cfRule type="expression" dxfId="3719" priority="466">
      <formula>AND(E$9&gt;=14/24,E$9&lt;20/24)</formula>
    </cfRule>
    <cfRule type="expression" dxfId="3718" priority="467">
      <formula>AND(E$9&gt;=8/24,E$9&lt;14/24)</formula>
    </cfRule>
    <cfRule type="expression" dxfId="3717" priority="468">
      <formula>E$9&lt;8/24</formula>
    </cfRule>
  </conditionalFormatting>
  <conditionalFormatting sqref="E58:R58">
    <cfRule type="expression" dxfId="3716" priority="464">
      <formula>E58&gt;$AG58</formula>
    </cfRule>
  </conditionalFormatting>
  <conditionalFormatting sqref="C71:D71 C54:D57">
    <cfRule type="expression" dxfId="3715" priority="388">
      <formula>C$9&gt;=20/24</formula>
    </cfRule>
    <cfRule type="expression" dxfId="3714" priority="389">
      <formula>AND(C$9&gt;=14/24,C$9&lt;20/24)</formula>
    </cfRule>
    <cfRule type="expression" dxfId="3713" priority="390">
      <formula>AND(C$9&gt;=8/24,C$9&lt;14/24)</formula>
    </cfRule>
    <cfRule type="expression" dxfId="3712" priority="391">
      <formula>C$9&lt;8/24</formula>
    </cfRule>
  </conditionalFormatting>
  <conditionalFormatting sqref="B46:AF46">
    <cfRule type="expression" dxfId="3711" priority="460">
      <formula>B$9&gt;=20/24</formula>
    </cfRule>
    <cfRule type="expression" dxfId="3710" priority="461">
      <formula>AND(B$9&gt;=14/24,B$9&lt;20/24)</formula>
    </cfRule>
    <cfRule type="expression" dxfId="3709" priority="462">
      <formula>AND(B$9&gt;=8/24,B$9&lt;14/24)</formula>
    </cfRule>
    <cfRule type="expression" dxfId="3708" priority="463">
      <formula>B$9&lt;8/24</formula>
    </cfRule>
  </conditionalFormatting>
  <conditionalFormatting sqref="B46:AF46">
    <cfRule type="expression" dxfId="3707" priority="459">
      <formula>B46&gt;$AG46</formula>
    </cfRule>
  </conditionalFormatting>
  <conditionalFormatting sqref="C87:AF87 C89:AF89 C98:AF98 I70:AF70">
    <cfRule type="expression" dxfId="3706" priority="455">
      <formula>C$9&gt;=20/24</formula>
    </cfRule>
    <cfRule type="expression" dxfId="3705" priority="456">
      <formula>AND(C$9&gt;=14/24,C$9&lt;20/24)</formula>
    </cfRule>
    <cfRule type="expression" dxfId="3704" priority="457">
      <formula>AND(C$9&gt;=8/24,C$9&lt;14/24)</formula>
    </cfRule>
    <cfRule type="expression" dxfId="3703" priority="458">
      <formula>C$9&lt;8/24</formula>
    </cfRule>
  </conditionalFormatting>
  <conditionalFormatting sqref="I70:AF70 C65:AF66 B48:AF48">
    <cfRule type="expression" dxfId="3702" priority="454">
      <formula>B48&gt;$AG48</formula>
    </cfRule>
  </conditionalFormatting>
  <conditionalFormatting sqref="C82:AF82">
    <cfRule type="expression" dxfId="3701" priority="450">
      <formula>C$9&gt;=20/24</formula>
    </cfRule>
    <cfRule type="expression" dxfId="3700" priority="451">
      <formula>AND(C$9&gt;=14/24,C$9&lt;20/24)</formula>
    </cfRule>
    <cfRule type="expression" dxfId="3699" priority="452">
      <formula>AND(C$9&gt;=8/24,C$9&lt;14/24)</formula>
    </cfRule>
    <cfRule type="expression" dxfId="3698" priority="453">
      <formula>C$9&lt;8/24</formula>
    </cfRule>
  </conditionalFormatting>
  <conditionalFormatting sqref="C91:W95">
    <cfRule type="expression" dxfId="3697" priority="446">
      <formula>C$9&gt;=20/24</formula>
    </cfRule>
    <cfRule type="expression" dxfId="3696" priority="447">
      <formula>AND(C$9&gt;=14/24,C$9&lt;20/24)</formula>
    </cfRule>
    <cfRule type="expression" dxfId="3695" priority="448">
      <formula>AND(C$9&gt;=8/24,C$9&lt;14/24)</formula>
    </cfRule>
    <cfRule type="expression" dxfId="3694" priority="449">
      <formula>C$9&lt;8/24</formula>
    </cfRule>
  </conditionalFormatting>
  <conditionalFormatting sqref="C52:AF52">
    <cfRule type="expression" dxfId="3693" priority="442">
      <formula>C$9&gt;=20/24</formula>
    </cfRule>
    <cfRule type="expression" dxfId="3692" priority="443">
      <formula>AND(C$9&gt;=14/24,C$9&lt;20/24)</formula>
    </cfRule>
    <cfRule type="expression" dxfId="3691" priority="444">
      <formula>AND(C$9&gt;=8/24,C$9&lt;14/24)</formula>
    </cfRule>
    <cfRule type="expression" dxfId="3690" priority="445">
      <formula>C$9&lt;8/24</formula>
    </cfRule>
  </conditionalFormatting>
  <conditionalFormatting sqref="C52:AF52">
    <cfRule type="expression" dxfId="3689" priority="441">
      <formula>C52&gt;$AG52</formula>
    </cfRule>
  </conditionalFormatting>
  <conditionalFormatting sqref="C49:D49 C51:D51">
    <cfRule type="expression" dxfId="3688" priority="356">
      <formula>C$9&gt;=20/24</formula>
    </cfRule>
    <cfRule type="expression" dxfId="3687" priority="357">
      <formula>AND(C$9&gt;=14/24,C$9&lt;20/24)</formula>
    </cfRule>
    <cfRule type="expression" dxfId="3686" priority="358">
      <formula>AND(C$9&gt;=8/24,C$9&lt;14/24)</formula>
    </cfRule>
    <cfRule type="expression" dxfId="3685" priority="359">
      <formula>C$9&lt;8/24</formula>
    </cfRule>
  </conditionalFormatting>
  <conditionalFormatting sqref="C110">
    <cfRule type="expression" dxfId="3684" priority="433">
      <formula>C$9&gt;=20/24</formula>
    </cfRule>
    <cfRule type="expression" dxfId="3683" priority="434">
      <formula>AND(C$9&gt;=14/24,C$9&lt;20/24)</formula>
    </cfRule>
    <cfRule type="expression" dxfId="3682" priority="435">
      <formula>AND(C$9&gt;=8/24,C$9&lt;14/24)</formula>
    </cfRule>
    <cfRule type="expression" dxfId="3681" priority="436">
      <formula>C$9&lt;8/24</formula>
    </cfRule>
  </conditionalFormatting>
  <conditionalFormatting sqref="E59:AF64">
    <cfRule type="expression" dxfId="3680" priority="429">
      <formula>E$9&gt;=20/24</formula>
    </cfRule>
    <cfRule type="expression" dxfId="3679" priority="430">
      <formula>AND(E$9&gt;=14/24,E$9&lt;20/24)</formula>
    </cfRule>
    <cfRule type="expression" dxfId="3678" priority="431">
      <formula>AND(E$9&gt;=8/24,E$9&lt;14/24)</formula>
    </cfRule>
    <cfRule type="expression" dxfId="3677" priority="432">
      <formula>E$9&lt;8/24</formula>
    </cfRule>
  </conditionalFormatting>
  <conditionalFormatting sqref="E59:AF64">
    <cfRule type="expression" dxfId="3676" priority="428">
      <formula>E59&gt;$AG59</formula>
    </cfRule>
  </conditionalFormatting>
  <conditionalFormatting sqref="Z45:AF45 Z13:AF15">
    <cfRule type="expression" dxfId="3675" priority="427">
      <formula>Z13&gt;$AG13</formula>
    </cfRule>
  </conditionalFormatting>
  <conditionalFormatting sqref="Z12:AF12">
    <cfRule type="expression" dxfId="3674" priority="423">
      <formula>Z$9&gt;=20/24</formula>
    </cfRule>
    <cfRule type="expression" dxfId="3673" priority="424">
      <formula>AND(Z$9&gt;=14/24,Z$9&lt;20/24)</formula>
    </cfRule>
    <cfRule type="expression" dxfId="3672" priority="425">
      <formula>AND(Z$9&gt;=8/24,Z$9&lt;14/24)</formula>
    </cfRule>
    <cfRule type="expression" dxfId="3671" priority="426">
      <formula>Z$9&lt;8/24</formula>
    </cfRule>
  </conditionalFormatting>
  <conditionalFormatting sqref="Z12:AF12">
    <cfRule type="expression" dxfId="3670" priority="422">
      <formula>Z12&gt;$AG12</formula>
    </cfRule>
  </conditionalFormatting>
  <conditionalFormatting sqref="Z13:AF15">
    <cfRule type="expression" dxfId="3669" priority="418">
      <formula>Z$9&gt;=20/24</formula>
    </cfRule>
    <cfRule type="expression" dxfId="3668" priority="419">
      <formula>AND(Z$9&gt;=14/24,Z$9&lt;20/24)</formula>
    </cfRule>
    <cfRule type="expression" dxfId="3667" priority="420">
      <formula>AND(Z$9&gt;=8/24,Z$9&lt;14/24)</formula>
    </cfRule>
    <cfRule type="expression" dxfId="3666" priority="421">
      <formula>Z$9&lt;8/24</formula>
    </cfRule>
  </conditionalFormatting>
  <conditionalFormatting sqref="Z45:AF45">
    <cfRule type="expression" dxfId="3665" priority="414">
      <formula>Z$9&gt;=20/24</formula>
    </cfRule>
    <cfRule type="expression" dxfId="3664" priority="415">
      <formula>AND(Z$9&gt;=14/24,Z$9&lt;20/24)</formula>
    </cfRule>
    <cfRule type="expression" dxfId="3663" priority="416">
      <formula>AND(Z$9&gt;=8/24,Z$9&lt;14/24)</formula>
    </cfRule>
    <cfRule type="expression" dxfId="3662" priority="417">
      <formula>Z$9&lt;8/24</formula>
    </cfRule>
  </conditionalFormatting>
  <conditionalFormatting sqref="F77:AF81">
    <cfRule type="expression" dxfId="3661" priority="410">
      <formula>F$9&gt;=20/24</formula>
    </cfRule>
    <cfRule type="expression" dxfId="3660" priority="411">
      <formula>AND(F$9&gt;=14/24,F$9&lt;20/24)</formula>
    </cfRule>
    <cfRule type="expression" dxfId="3659" priority="412">
      <formula>AND(F$9&gt;=8/24,F$9&lt;14/24)</formula>
    </cfRule>
    <cfRule type="expression" dxfId="3658" priority="413">
      <formula>F$9&lt;8/24</formula>
    </cfRule>
  </conditionalFormatting>
  <conditionalFormatting sqref="AL78:AN78 AL84:AN84 AN79:AN80">
    <cfRule type="expression" dxfId="3657" priority="406">
      <formula>AL$9&gt;=20/24</formula>
    </cfRule>
    <cfRule type="expression" dxfId="3656" priority="407">
      <formula>AND(AL$9&gt;=14/24,AL$9&lt;20/24)</formula>
    </cfRule>
    <cfRule type="expression" dxfId="3655" priority="408">
      <formula>AND(AL$9&gt;=8/24,AL$9&lt;14/24)</formula>
    </cfRule>
    <cfRule type="expression" dxfId="3654" priority="409">
      <formula>AL$9&lt;8/24</formula>
    </cfRule>
  </conditionalFormatting>
  <conditionalFormatting sqref="AN81:AN82">
    <cfRule type="expression" dxfId="3653" priority="402">
      <formula>AN$9&gt;=20/24</formula>
    </cfRule>
    <cfRule type="expression" dxfId="3652" priority="403">
      <formula>AND(AN$9&gt;=14/24,AN$9&lt;20/24)</formula>
    </cfRule>
    <cfRule type="expression" dxfId="3651" priority="404">
      <formula>AND(AN$9&gt;=8/24,AN$9&lt;14/24)</formula>
    </cfRule>
    <cfRule type="expression" dxfId="3650" priority="405">
      <formula>AN$9&lt;8/24</formula>
    </cfRule>
  </conditionalFormatting>
  <conditionalFormatting sqref="AL79:AM83">
    <cfRule type="expression" dxfId="3649" priority="624">
      <formula>AJ$9&gt;=20/24</formula>
    </cfRule>
    <cfRule type="expression" dxfId="3648" priority="625">
      <formula>AND(AJ$9&gt;=14/24,AJ$9&lt;20/24)</formula>
    </cfRule>
    <cfRule type="expression" dxfId="3647" priority="626">
      <formula>AND(AJ$9&gt;=8/24,AJ$9&lt;14/24)</formula>
    </cfRule>
    <cfRule type="expression" dxfId="3646" priority="627">
      <formula>AJ$9&lt;8/24</formula>
    </cfRule>
  </conditionalFormatting>
  <conditionalFormatting sqref="A117">
    <cfRule type="expression" dxfId="3645" priority="401">
      <formula>$AH117=0</formula>
    </cfRule>
  </conditionalFormatting>
  <conditionalFormatting sqref="C53:D53">
    <cfRule type="expression" dxfId="3644" priority="384">
      <formula>C$9&gt;=20/24</formula>
    </cfRule>
    <cfRule type="expression" dxfId="3643" priority="385">
      <formula>AND(C$9&gt;=14/24,C$9&lt;20/24)</formula>
    </cfRule>
    <cfRule type="expression" dxfId="3642" priority="386">
      <formula>AND(C$9&gt;=8/24,C$9&lt;14/24)</formula>
    </cfRule>
    <cfRule type="expression" dxfId="3641" priority="387">
      <formula>C$9&lt;8/24</formula>
    </cfRule>
  </conditionalFormatting>
  <conditionalFormatting sqref="C53:D57">
    <cfRule type="expression" dxfId="3640" priority="383">
      <formula>C53&gt;$AG53</formula>
    </cfRule>
  </conditionalFormatting>
  <conditionalFormatting sqref="C67:D69 C72:D74">
    <cfRule type="expression" dxfId="3639" priority="379">
      <formula>C$9&gt;=20/24</formula>
    </cfRule>
    <cfRule type="expression" dxfId="3638" priority="380">
      <formula>AND(C$9&gt;=14/24,C$9&lt;20/24)</formula>
    </cfRule>
    <cfRule type="expression" dxfId="3637" priority="381">
      <formula>AND(C$9&gt;=8/24,C$9&lt;14/24)</formula>
    </cfRule>
    <cfRule type="expression" dxfId="3636" priority="382">
      <formula>C$9&lt;8/24</formula>
    </cfRule>
  </conditionalFormatting>
  <conditionalFormatting sqref="C67:D69">
    <cfRule type="expression" dxfId="3635" priority="378">
      <formula>C67&gt;$AG67</formula>
    </cfRule>
  </conditionalFormatting>
  <conditionalFormatting sqref="C88">
    <cfRule type="expression" dxfId="3634" priority="374">
      <formula>C$9&gt;=20/24</formula>
    </cfRule>
    <cfRule type="expression" dxfId="3633" priority="375">
      <formula>AND(C$9&gt;=14/24,C$9&lt;20/24)</formula>
    </cfRule>
    <cfRule type="expression" dxfId="3632" priority="376">
      <formula>AND(C$9&gt;=8/24,C$9&lt;14/24)</formula>
    </cfRule>
    <cfRule type="expression" dxfId="3631" priority="377">
      <formula>C$9&lt;8/24</formula>
    </cfRule>
  </conditionalFormatting>
  <conditionalFormatting sqref="C58:D58">
    <cfRule type="expression" dxfId="3630" priority="365">
      <formula>C$9&gt;=20/24</formula>
    </cfRule>
    <cfRule type="expression" dxfId="3629" priority="366">
      <formula>AND(C$9&gt;=14/24,C$9&lt;20/24)</formula>
    </cfRule>
    <cfRule type="expression" dxfId="3628" priority="367">
      <formula>AND(C$9&gt;=8/24,C$9&lt;14/24)</formula>
    </cfRule>
    <cfRule type="expression" dxfId="3627" priority="368">
      <formula>C$9&lt;8/24</formula>
    </cfRule>
  </conditionalFormatting>
  <conditionalFormatting sqref="C58:D58">
    <cfRule type="expression" dxfId="3626" priority="364">
      <formula>C58&gt;$AG58</formula>
    </cfRule>
  </conditionalFormatting>
  <conditionalFormatting sqref="C49:D49 C51:D51">
    <cfRule type="expression" dxfId="3625" priority="355">
      <formula>C49&gt;$AG49</formula>
    </cfRule>
  </conditionalFormatting>
  <conditionalFormatting sqref="C75:D76">
    <cfRule type="expression" dxfId="3624" priority="343">
      <formula>C$9&gt;=20/24</formula>
    </cfRule>
    <cfRule type="expression" dxfId="3623" priority="344">
      <formula>AND(C$9&gt;=14/24,C$9&lt;20/24)</formula>
    </cfRule>
    <cfRule type="expression" dxfId="3622" priority="345">
      <formula>AND(C$9&gt;=8/24,C$9&lt;14/24)</formula>
    </cfRule>
    <cfRule type="expression" dxfId="3621" priority="346">
      <formula>C$9&lt;8/24</formula>
    </cfRule>
  </conditionalFormatting>
  <conditionalFormatting sqref="C59:D64">
    <cfRule type="expression" dxfId="3620" priority="321">
      <formula>C$9&gt;=20/24</formula>
    </cfRule>
    <cfRule type="expression" dxfId="3619" priority="322">
      <formula>AND(C$9&gt;=14/24,C$9&lt;20/24)</formula>
    </cfRule>
    <cfRule type="expression" dxfId="3618" priority="323">
      <formula>AND(C$9&gt;=8/24,C$9&lt;14/24)</formula>
    </cfRule>
    <cfRule type="expression" dxfId="3617" priority="324">
      <formula>C$9&lt;8/24</formula>
    </cfRule>
  </conditionalFormatting>
  <conditionalFormatting sqref="C59:D64">
    <cfRule type="expression" dxfId="3616" priority="320">
      <formula>C59&gt;$AG59</formula>
    </cfRule>
  </conditionalFormatting>
  <conditionalFormatting sqref="C77:E81">
    <cfRule type="expression" dxfId="3615" priority="316">
      <formula>C$9&gt;=20/24</formula>
    </cfRule>
    <cfRule type="expression" dxfId="3614" priority="317">
      <formula>AND(C$9&gt;=14/24,C$9&lt;20/24)</formula>
    </cfRule>
    <cfRule type="expression" dxfId="3613" priority="318">
      <formula>AND(C$9&gt;=8/24,C$9&lt;14/24)</formula>
    </cfRule>
    <cfRule type="expression" dxfId="3612" priority="319">
      <formula>C$9&lt;8/24</formula>
    </cfRule>
  </conditionalFormatting>
  <conditionalFormatting sqref="A11">
    <cfRule type="expression" dxfId="3611" priority="315">
      <formula>$AH11=0</formula>
    </cfRule>
  </conditionalFormatting>
  <conditionalFormatting sqref="Z11:AF11">
    <cfRule type="expression" dxfId="3610" priority="311">
      <formula>Z$9&gt;=20/24</formula>
    </cfRule>
    <cfRule type="expression" dxfId="3609" priority="312">
      <formula>AND(Z$9&gt;=14/24,Z$9&lt;20/24)</formula>
    </cfRule>
    <cfRule type="expression" dxfId="3608" priority="313">
      <formula>AND(Z$9&gt;=8/24,Z$9&lt;14/24)</formula>
    </cfRule>
    <cfRule type="expression" dxfId="3607" priority="314">
      <formula>Z$9&lt;8/24</formula>
    </cfRule>
  </conditionalFormatting>
  <conditionalFormatting sqref="Z11:AF11">
    <cfRule type="expression" dxfId="3606" priority="310">
      <formula>Z11&gt;$AG11</formula>
    </cfRule>
  </conditionalFormatting>
  <conditionalFormatting sqref="A16">
    <cfRule type="expression" dxfId="3605" priority="303">
      <formula>$AH16=0</formula>
    </cfRule>
  </conditionalFormatting>
  <conditionalFormatting sqref="AL16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3604" priority="299">
      <formula>Z$9&gt;=20/24</formula>
    </cfRule>
    <cfRule type="expression" dxfId="3603" priority="300">
      <formula>AND(Z$9&gt;=14/24,Z$9&lt;20/24)</formula>
    </cfRule>
    <cfRule type="expression" dxfId="3602" priority="301">
      <formula>AND(Z$9&gt;=8/24,Z$9&lt;14/24)</formula>
    </cfRule>
    <cfRule type="expression" dxfId="3601" priority="302">
      <formula>Z$9&lt;8/24</formula>
    </cfRule>
  </conditionalFormatting>
  <conditionalFormatting sqref="Z16:AF16">
    <cfRule type="expression" dxfId="3600" priority="298">
      <formula>Z16&gt;$AG16</formula>
    </cfRule>
  </conditionalFormatting>
  <conditionalFormatting sqref="A33">
    <cfRule type="expression" dxfId="3599" priority="291">
      <formula>$AH33=0</formula>
    </cfRule>
  </conditionalFormatting>
  <conditionalFormatting sqref="AL33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3598" priority="287">
      <formula>Z$9&gt;=20/24</formula>
    </cfRule>
    <cfRule type="expression" dxfId="3597" priority="288">
      <formula>AND(Z$9&gt;=14/24,Z$9&lt;20/24)</formula>
    </cfRule>
    <cfRule type="expression" dxfId="3596" priority="289">
      <formula>AND(Z$9&gt;=8/24,Z$9&lt;14/24)</formula>
    </cfRule>
    <cfRule type="expression" dxfId="3595" priority="290">
      <formula>Z$9&lt;8/24</formula>
    </cfRule>
  </conditionalFormatting>
  <conditionalFormatting sqref="Z33:AF33">
    <cfRule type="expression" dxfId="3594" priority="286">
      <formula>Z33&gt;$AG33</formula>
    </cfRule>
  </conditionalFormatting>
  <conditionalFormatting sqref="A44">
    <cfRule type="expression" dxfId="3593" priority="279">
      <formula>$AH44=0</formula>
    </cfRule>
  </conditionalFormatting>
  <conditionalFormatting sqref="AL44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3592" priority="278">
      <formula>Z44&gt;$AG44</formula>
    </cfRule>
  </conditionalFormatting>
  <conditionalFormatting sqref="Z44:AF44">
    <cfRule type="expression" dxfId="3591" priority="274">
      <formula>Z$9&gt;=20/24</formula>
    </cfRule>
    <cfRule type="expression" dxfId="3590" priority="275">
      <formula>AND(Z$9&gt;=14/24,Z$9&lt;20/24)</formula>
    </cfRule>
    <cfRule type="expression" dxfId="3589" priority="276">
      <formula>AND(Z$9&gt;=8/24,Z$9&lt;14/24)</formula>
    </cfRule>
    <cfRule type="expression" dxfId="3588" priority="277">
      <formula>Z$9&lt;8/24</formula>
    </cfRule>
  </conditionalFormatting>
  <conditionalFormatting sqref="D117:AF117">
    <cfRule type="expression" dxfId="3587" priority="265">
      <formula>D$9&gt;=20/24</formula>
    </cfRule>
    <cfRule type="expression" dxfId="3586" priority="266">
      <formula>AND(D$9&gt;=14/24,D$9&lt;20/24)</formula>
    </cfRule>
    <cfRule type="expression" dxfId="3585" priority="267">
      <formula>AND(D$9&gt;=8/24,D$9&lt;14/24)</formula>
    </cfRule>
    <cfRule type="expression" dxfId="3584" priority="268">
      <formula>D$9&lt;8/24</formula>
    </cfRule>
  </conditionalFormatting>
  <conditionalFormatting sqref="C117">
    <cfRule type="expression" dxfId="3583" priority="261">
      <formula>C$9&gt;=20/24</formula>
    </cfRule>
    <cfRule type="expression" dxfId="3582" priority="262">
      <formula>AND(C$9&gt;=14/24,C$9&lt;20/24)</formula>
    </cfRule>
    <cfRule type="expression" dxfId="3581" priority="263">
      <formula>AND(C$9&gt;=8/24,C$9&lt;14/24)</formula>
    </cfRule>
    <cfRule type="expression" dxfId="3580" priority="264">
      <formula>C$9&lt;8/24</formula>
    </cfRule>
  </conditionalFormatting>
  <conditionalFormatting sqref="B111:B116 B109">
    <cfRule type="expression" dxfId="3579" priority="125">
      <formula>B$9&gt;=20/24</formula>
    </cfRule>
    <cfRule type="expression" dxfId="3578" priority="126">
      <formula>AND(B$9&gt;=14/24,B$9&lt;20/24)</formula>
    </cfRule>
    <cfRule type="expression" dxfId="3577" priority="127">
      <formula>AND(B$9&gt;=8/24,B$9&lt;14/24)</formula>
    </cfRule>
    <cfRule type="expression" dxfId="3576" priority="128">
      <formula>B$9&lt;8/24</formula>
    </cfRule>
  </conditionalFormatting>
  <conditionalFormatting sqref="B99">
    <cfRule type="expression" dxfId="3575" priority="121">
      <formula>B$9&gt;=20/24</formula>
    </cfRule>
    <cfRule type="expression" dxfId="3574" priority="122">
      <formula>AND(B$9&gt;=14/24,B$9&lt;20/24)</formula>
    </cfRule>
    <cfRule type="expression" dxfId="3573" priority="123">
      <formula>AND(B$9&gt;=8/24,B$9&lt;14/24)</formula>
    </cfRule>
    <cfRule type="expression" dxfId="3572" priority="124">
      <formula>B$9&lt;8/24</formula>
    </cfRule>
  </conditionalFormatting>
  <conditionalFormatting sqref="B54:B57 B71">
    <cfRule type="expression" dxfId="3571" priority="117">
      <formula>B$9&gt;=20/24</formula>
    </cfRule>
    <cfRule type="expression" dxfId="3570" priority="118">
      <formula>AND(B$9&gt;=14/24,B$9&lt;20/24)</formula>
    </cfRule>
    <cfRule type="expression" dxfId="3569" priority="119">
      <formula>AND(B$9&gt;=8/24,B$9&lt;14/24)</formula>
    </cfRule>
    <cfRule type="expression" dxfId="3568" priority="120">
      <formula>B$9&lt;8/24</formula>
    </cfRule>
  </conditionalFormatting>
  <conditionalFormatting sqref="B53">
    <cfRule type="expression" dxfId="3567" priority="113">
      <formula>B$9&gt;=20/24</formula>
    </cfRule>
    <cfRule type="expression" dxfId="3566" priority="114">
      <formula>AND(B$9&gt;=14/24,B$9&lt;20/24)</formula>
    </cfRule>
    <cfRule type="expression" dxfId="3565" priority="115">
      <formula>AND(B$9&gt;=8/24,B$9&lt;14/24)</formula>
    </cfRule>
    <cfRule type="expression" dxfId="3564" priority="116">
      <formula>B$9&lt;8/24</formula>
    </cfRule>
  </conditionalFormatting>
  <conditionalFormatting sqref="B53:B57">
    <cfRule type="expression" dxfId="3563" priority="112">
      <formula>B53&gt;$AG53</formula>
    </cfRule>
  </conditionalFormatting>
  <conditionalFormatting sqref="B100:B106 B86 B67:B69 B47 B72:B74 B96">
    <cfRule type="expression" dxfId="3562" priority="108">
      <formula>B$9&gt;=20/24</formula>
    </cfRule>
    <cfRule type="expression" dxfId="3561" priority="109">
      <formula>AND(B$9&gt;=14/24,B$9&lt;20/24)</formula>
    </cfRule>
    <cfRule type="expression" dxfId="3560" priority="110">
      <formula>AND(B$9&gt;=8/24,B$9&lt;14/24)</formula>
    </cfRule>
    <cfRule type="expression" dxfId="3559" priority="111">
      <formula>B$9&lt;8/24</formula>
    </cfRule>
  </conditionalFormatting>
  <conditionalFormatting sqref="B67:B69 B47">
    <cfRule type="expression" dxfId="3558" priority="107">
      <formula>B47&gt;$AG47</formula>
    </cfRule>
  </conditionalFormatting>
  <conditionalFormatting sqref="B88 B97">
    <cfRule type="expression" dxfId="3557" priority="103">
      <formula>B$9&gt;=20/24</formula>
    </cfRule>
    <cfRule type="expression" dxfId="3556" priority="104">
      <formula>AND(B$9&gt;=14/24,B$9&lt;20/24)</formula>
    </cfRule>
    <cfRule type="expression" dxfId="3555" priority="105">
      <formula>AND(B$9&gt;=8/24,B$9&lt;14/24)</formula>
    </cfRule>
    <cfRule type="expression" dxfId="3554" priority="106">
      <formula>B$9&lt;8/24</formula>
    </cfRule>
  </conditionalFormatting>
  <conditionalFormatting sqref="B58">
    <cfRule type="expression" dxfId="3553" priority="99">
      <formula>B$9&gt;=20/24</formula>
    </cfRule>
    <cfRule type="expression" dxfId="3552" priority="100">
      <formula>AND(B$9&gt;=14/24,B$9&lt;20/24)</formula>
    </cfRule>
    <cfRule type="expression" dxfId="3551" priority="101">
      <formula>AND(B$9&gt;=8/24,B$9&lt;14/24)</formula>
    </cfRule>
    <cfRule type="expression" dxfId="3550" priority="102">
      <formula>B$9&lt;8/24</formula>
    </cfRule>
  </conditionalFormatting>
  <conditionalFormatting sqref="B58">
    <cfRule type="expression" dxfId="3549" priority="98">
      <formula>B58&gt;$AG58</formula>
    </cfRule>
  </conditionalFormatting>
  <conditionalFormatting sqref="B91:B95">
    <cfRule type="expression" dxfId="3548" priority="94">
      <formula>B$9&gt;=20/24</formula>
    </cfRule>
    <cfRule type="expression" dxfId="3547" priority="95">
      <formula>AND(B$9&gt;=14/24,B$9&lt;20/24)</formula>
    </cfRule>
    <cfRule type="expression" dxfId="3546" priority="96">
      <formula>AND(B$9&gt;=8/24,B$9&lt;14/24)</formula>
    </cfRule>
    <cfRule type="expression" dxfId="3545" priority="97">
      <formula>B$9&lt;8/24</formula>
    </cfRule>
  </conditionalFormatting>
  <conditionalFormatting sqref="B49:B51 C50:T50">
    <cfRule type="expression" dxfId="3544" priority="90">
      <formula>B$9&gt;=20/24</formula>
    </cfRule>
    <cfRule type="expression" dxfId="3543" priority="91">
      <formula>AND(B$9&gt;=14/24,B$9&lt;20/24)</formula>
    </cfRule>
    <cfRule type="expression" dxfId="3542" priority="92">
      <formula>AND(B$9&gt;=8/24,B$9&lt;14/24)</formula>
    </cfRule>
    <cfRule type="expression" dxfId="3541" priority="93">
      <formula>B$9&lt;8/24</formula>
    </cfRule>
  </conditionalFormatting>
  <conditionalFormatting sqref="B49:B51 C50:T50">
    <cfRule type="expression" dxfId="3540" priority="89">
      <formula>B49&gt;$AG49</formula>
    </cfRule>
  </conditionalFormatting>
  <conditionalFormatting sqref="B107">
    <cfRule type="expression" dxfId="3539" priority="85">
      <formula>B$9&gt;=20/24</formula>
    </cfRule>
    <cfRule type="expression" dxfId="3538" priority="86">
      <formula>AND(B$9&gt;=14/24,B$9&lt;20/24)</formula>
    </cfRule>
    <cfRule type="expression" dxfId="3537" priority="87">
      <formula>AND(B$9&gt;=8/24,B$9&lt;14/24)</formula>
    </cfRule>
    <cfRule type="expression" dxfId="3536" priority="88">
      <formula>B$9&lt;8/24</formula>
    </cfRule>
  </conditionalFormatting>
  <conditionalFormatting sqref="B110">
    <cfRule type="expression" dxfId="3535" priority="81">
      <formula>B$9&gt;=20/24</formula>
    </cfRule>
    <cfRule type="expression" dxfId="3534" priority="82">
      <formula>AND(B$9&gt;=14/24,B$9&lt;20/24)</formula>
    </cfRule>
    <cfRule type="expression" dxfId="3533" priority="83">
      <formula>AND(B$9&gt;=8/24,B$9&lt;14/24)</formula>
    </cfRule>
    <cfRule type="expression" dxfId="3532" priority="84">
      <formula>B$9&lt;8/24</formula>
    </cfRule>
  </conditionalFormatting>
  <conditionalFormatting sqref="B17:Y26">
    <cfRule type="expression" dxfId="3531" priority="77">
      <formula>B$9&gt;=20/24</formula>
    </cfRule>
    <cfRule type="expression" dxfId="3530" priority="78">
      <formula>AND(B$9&gt;=14/24,B$9&lt;20/24)</formula>
    </cfRule>
    <cfRule type="expression" dxfId="3529" priority="79">
      <formula>AND(B$9&gt;=8/24,B$9&lt;14/24)</formula>
    </cfRule>
    <cfRule type="expression" dxfId="3528" priority="80">
      <formula>B$9&lt;8/24</formula>
    </cfRule>
  </conditionalFormatting>
  <conditionalFormatting sqref="B17:Y26">
    <cfRule type="expression" dxfId="3527" priority="76">
      <formula>B17&gt;$AG17</formula>
    </cfRule>
  </conditionalFormatting>
  <conditionalFormatting sqref="B83:B85 B75:B76">
    <cfRule type="expression" dxfId="3526" priority="72">
      <formula>B$9&gt;=20/24</formula>
    </cfRule>
    <cfRule type="expression" dxfId="3525" priority="73">
      <formula>AND(B$9&gt;=14/24,B$9&lt;20/24)</formula>
    </cfRule>
    <cfRule type="expression" dxfId="3524" priority="74">
      <formula>AND(B$9&gt;=8/24,B$9&lt;14/24)</formula>
    </cfRule>
    <cfRule type="expression" dxfId="3523" priority="75">
      <formula>B$9&lt;8/24</formula>
    </cfRule>
  </conditionalFormatting>
  <conditionalFormatting sqref="B98 B89 B87 B70:H70">
    <cfRule type="expression" dxfId="3522" priority="63">
      <formula>B$9&gt;=20/24</formula>
    </cfRule>
    <cfRule type="expression" dxfId="3521" priority="64">
      <formula>AND(B$9&gt;=14/24,B$9&lt;20/24)</formula>
    </cfRule>
    <cfRule type="expression" dxfId="3520" priority="65">
      <formula>AND(B$9&gt;=8/24,B$9&lt;14/24)</formula>
    </cfRule>
    <cfRule type="expression" dxfId="3519" priority="66">
      <formula>B$9&lt;8/24</formula>
    </cfRule>
  </conditionalFormatting>
  <conditionalFormatting sqref="B65:B66 B70:H70">
    <cfRule type="expression" dxfId="3518" priority="62">
      <formula>B65&gt;$AG65</formula>
    </cfRule>
  </conditionalFormatting>
  <conditionalFormatting sqref="B82">
    <cfRule type="expression" dxfId="3517" priority="58">
      <formula>B$9&gt;=20/24</formula>
    </cfRule>
    <cfRule type="expression" dxfId="3516" priority="59">
      <formula>AND(B$9&gt;=14/24,B$9&lt;20/24)</formula>
    </cfRule>
    <cfRule type="expression" dxfId="3515" priority="60">
      <formula>AND(B$9&gt;=8/24,B$9&lt;14/24)</formula>
    </cfRule>
    <cfRule type="expression" dxfId="3514" priority="61">
      <formula>B$9&lt;8/24</formula>
    </cfRule>
  </conditionalFormatting>
  <conditionalFormatting sqref="B52">
    <cfRule type="expression" dxfId="3513" priority="54">
      <formula>B$9&gt;=20/24</formula>
    </cfRule>
    <cfRule type="expression" dxfId="3512" priority="55">
      <formula>AND(B$9&gt;=14/24,B$9&lt;20/24)</formula>
    </cfRule>
    <cfRule type="expression" dxfId="3511" priority="56">
      <formula>AND(B$9&gt;=8/24,B$9&lt;14/24)</formula>
    </cfRule>
    <cfRule type="expression" dxfId="3510" priority="57">
      <formula>B$9&lt;8/24</formula>
    </cfRule>
  </conditionalFormatting>
  <conditionalFormatting sqref="B52">
    <cfRule type="expression" dxfId="3509" priority="53">
      <formula>B52&gt;$AG52</formula>
    </cfRule>
  </conditionalFormatting>
  <conditionalFormatting sqref="B59:B64">
    <cfRule type="expression" dxfId="3508" priority="45">
      <formula>B$9&gt;=20/24</formula>
    </cfRule>
    <cfRule type="expression" dxfId="3507" priority="46">
      <formula>AND(B$9&gt;=14/24,B$9&lt;20/24)</formula>
    </cfRule>
    <cfRule type="expression" dxfId="3506" priority="47">
      <formula>AND(B$9&gt;=8/24,B$9&lt;14/24)</formula>
    </cfRule>
    <cfRule type="expression" dxfId="3505" priority="48">
      <formula>B$9&lt;8/24</formula>
    </cfRule>
  </conditionalFormatting>
  <conditionalFormatting sqref="B59:B64">
    <cfRule type="expression" dxfId="3504" priority="44">
      <formula>B59&gt;$AG59</formula>
    </cfRule>
  </conditionalFormatting>
  <conditionalFormatting sqref="B13:Y15">
    <cfRule type="expression" dxfId="3503" priority="43">
      <formula>B13&gt;$AG13</formula>
    </cfRule>
  </conditionalFormatting>
  <conditionalFormatting sqref="B12:Y12">
    <cfRule type="expression" dxfId="3502" priority="39">
      <formula>B$9&gt;=20/24</formula>
    </cfRule>
    <cfRule type="expression" dxfId="3501" priority="40">
      <formula>AND(B$9&gt;=14/24,B$9&lt;20/24)</formula>
    </cfRule>
    <cfRule type="expression" dxfId="3500" priority="41">
      <formula>AND(B$9&gt;=8/24,B$9&lt;14/24)</formula>
    </cfRule>
    <cfRule type="expression" dxfId="3499" priority="42">
      <formula>B$9&lt;8/24</formula>
    </cfRule>
  </conditionalFormatting>
  <conditionalFormatting sqref="B12:Y12">
    <cfRule type="expression" dxfId="3498" priority="38">
      <formula>B12&gt;$AG12</formula>
    </cfRule>
  </conditionalFormatting>
  <conditionalFormatting sqref="B13:Y15">
    <cfRule type="expression" dxfId="3497" priority="34">
      <formula>B$9&gt;=20/24</formula>
    </cfRule>
    <cfRule type="expression" dxfId="3496" priority="35">
      <formula>AND(B$9&gt;=14/24,B$9&lt;20/24)</formula>
    </cfRule>
    <cfRule type="expression" dxfId="3495" priority="36">
      <formula>AND(B$9&gt;=8/24,B$9&lt;14/24)</formula>
    </cfRule>
    <cfRule type="expression" dxfId="3494" priority="37">
      <formula>B$9&lt;8/24</formula>
    </cfRule>
  </conditionalFormatting>
  <conditionalFormatting sqref="B77:B81">
    <cfRule type="expression" dxfId="3493" priority="30">
      <formula>B$9&gt;=20/24</formula>
    </cfRule>
    <cfRule type="expression" dxfId="3492" priority="31">
      <formula>AND(B$9&gt;=14/24,B$9&lt;20/24)</formula>
    </cfRule>
    <cfRule type="expression" dxfId="3491" priority="32">
      <formula>AND(B$9&gt;=8/24,B$9&lt;14/24)</formula>
    </cfRule>
    <cfRule type="expression" dxfId="3490" priority="33">
      <formula>B$9&lt;8/24</formula>
    </cfRule>
  </conditionalFormatting>
  <conditionalFormatting sqref="B11:Y11">
    <cfRule type="expression" dxfId="3489" priority="26">
      <formula>B$9&gt;=20/24</formula>
    </cfRule>
    <cfRule type="expression" dxfId="3488" priority="27">
      <formula>AND(B$9&gt;=14/24,B$9&lt;20/24)</formula>
    </cfRule>
    <cfRule type="expression" dxfId="3487" priority="28">
      <formula>AND(B$9&gt;=8/24,B$9&lt;14/24)</formula>
    </cfRule>
    <cfRule type="expression" dxfId="3486" priority="29">
      <formula>B$9&lt;8/24</formula>
    </cfRule>
  </conditionalFormatting>
  <conditionalFormatting sqref="B11:Y11">
    <cfRule type="expression" dxfId="3485" priority="25">
      <formula>B11&gt;$AG11</formula>
    </cfRule>
  </conditionalFormatting>
  <conditionalFormatting sqref="B16:Y16">
    <cfRule type="expression" dxfId="3484" priority="21">
      <formula>B$9&gt;=20/24</formula>
    </cfRule>
    <cfRule type="expression" dxfId="3483" priority="22">
      <formula>AND(B$9&gt;=14/24,B$9&lt;20/24)</formula>
    </cfRule>
    <cfRule type="expression" dxfId="3482" priority="23">
      <formula>AND(B$9&gt;=8/24,B$9&lt;14/24)</formula>
    </cfRule>
    <cfRule type="expression" dxfId="3481" priority="24">
      <formula>B$9&lt;8/24</formula>
    </cfRule>
  </conditionalFormatting>
  <conditionalFormatting sqref="B16:Y16">
    <cfRule type="expression" dxfId="3480" priority="20">
      <formula>B16&gt;$AG16</formula>
    </cfRule>
  </conditionalFormatting>
  <conditionalFormatting sqref="B117">
    <cfRule type="expression" dxfId="3479" priority="16">
      <formula>B$9&gt;=20/24</formula>
    </cfRule>
    <cfRule type="expression" dxfId="3478" priority="17">
      <formula>AND(B$9&gt;=14/24,B$9&lt;20/24)</formula>
    </cfRule>
    <cfRule type="expression" dxfId="3477" priority="18">
      <formula>AND(B$9&gt;=8/24,B$9&lt;14/24)</formula>
    </cfRule>
    <cfRule type="expression" dxfId="3476" priority="19">
      <formula>B$9&lt;8/24</formula>
    </cfRule>
  </conditionalFormatting>
  <conditionalFormatting sqref="B27:Y32 B45:Y45 B34:Y43">
    <cfRule type="expression" dxfId="3475" priority="12">
      <formula>B$9&gt;=20/24</formula>
    </cfRule>
    <cfRule type="expression" dxfId="3474" priority="13">
      <formula>AND(B$9&gt;=14/24,B$9&lt;20/24)</formula>
    </cfRule>
    <cfRule type="expression" dxfId="3473" priority="14">
      <formula>AND(B$9&gt;=8/24,B$9&lt;14/24)</formula>
    </cfRule>
    <cfRule type="expression" dxfId="3472" priority="15">
      <formula>B$9&lt;8/24</formula>
    </cfRule>
  </conditionalFormatting>
  <conditionalFormatting sqref="B27:Y32 B45:Y45 B34:Y43">
    <cfRule type="expression" dxfId="3471" priority="11">
      <formula>B27&gt;$AG27</formula>
    </cfRule>
  </conditionalFormatting>
  <conditionalFormatting sqref="B33:Y33">
    <cfRule type="expression" dxfId="3470" priority="7">
      <formula>B$9&gt;=20/24</formula>
    </cfRule>
    <cfRule type="expression" dxfId="3469" priority="8">
      <formula>AND(B$9&gt;=14/24,B$9&lt;20/24)</formula>
    </cfRule>
    <cfRule type="expression" dxfId="3468" priority="9">
      <formula>AND(B$9&gt;=8/24,B$9&lt;14/24)</formula>
    </cfRule>
    <cfRule type="expression" dxfId="3467" priority="10">
      <formula>B$9&lt;8/24</formula>
    </cfRule>
  </conditionalFormatting>
  <conditionalFormatting sqref="B33:Y33">
    <cfRule type="expression" dxfId="3466" priority="6">
      <formula>B33&gt;$AG33</formula>
    </cfRule>
  </conditionalFormatting>
  <conditionalFormatting sqref="B44:Y44">
    <cfRule type="expression" dxfId="3465" priority="2">
      <formula>B$9&gt;=20/24</formula>
    </cfRule>
    <cfRule type="expression" dxfId="3464" priority="3">
      <formula>AND(B$9&gt;=14/24,B$9&lt;20/24)</formula>
    </cfRule>
    <cfRule type="expression" dxfId="3463" priority="4">
      <formula>AND(B$9&gt;=8/24,B$9&lt;14/24)</formula>
    </cfRule>
    <cfRule type="expression" dxfId="3462" priority="5">
      <formula>B$9&lt;8/24</formula>
    </cfRule>
  </conditionalFormatting>
  <conditionalFormatting sqref="B44:Y44">
    <cfRule type="expression" dxfId="3461" priority="1">
      <formula>B44&gt;$AG44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7" id="{CCEADE75-264C-4704-A706-8B1CC2DFC60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8" id="{D064F66B-F6FB-4F2A-AB2C-536226F3D93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9" id="{ABFDC953-5D8C-463B-8E10-B0EE8839E68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0" id="{27D9A537-BD57-4D12-9A1F-BB55F134B6A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49" id="{764E53D4-99B3-41BC-A230-848DB4486C9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2DE7B84F-D869-40A1-8302-F1DD1AF73F0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53B9C972-6AE2-4C39-BCD8-F71796A80B1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C3376F6F-416E-4C65-B24C-00F47125419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60" activePane="bottomLeft" state="frozen"/>
      <selection activeCell="Z85" sqref="Z85"/>
      <selection pane="bottomLeft" activeCell="W89" sqref="W89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2079/12/24</v>
      </c>
      <c r="C4" s="196"/>
      <c r="D4" s="196"/>
      <c r="E4" s="197" t="str">
        <f ca="1">"2079/"&amp;"12/"&amp;INT(MID(CELL("filename",G6),FIND("]",CELL("filename",G6))+1,200))</f>
        <v>2079/12/24</v>
      </c>
      <c r="F4" s="197"/>
      <c r="G4" s="197"/>
      <c r="H4" s="197" t="str">
        <f ca="1">TEXT(E4,"dddd")</f>
        <v>Sunday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448</v>
      </c>
      <c r="C5" s="33">
        <f t="shared" si="0"/>
        <v>465</v>
      </c>
      <c r="D5" s="33">
        <f t="shared" si="0"/>
        <v>475.59999999999997</v>
      </c>
      <c r="E5" s="33">
        <f t="shared" si="0"/>
        <v>457.4</v>
      </c>
      <c r="F5" s="33">
        <f t="shared" si="0"/>
        <v>478.2</v>
      </c>
      <c r="G5" s="33">
        <f t="shared" si="0"/>
        <v>447</v>
      </c>
      <c r="H5" s="33">
        <f t="shared" si="0"/>
        <v>420.40000000000003</v>
      </c>
      <c r="I5" s="33">
        <f t="shared" si="0"/>
        <v>428.4</v>
      </c>
      <c r="J5" s="33">
        <f t="shared" si="0"/>
        <v>423.69999999999993</v>
      </c>
      <c r="K5" s="33">
        <f t="shared" si="0"/>
        <v>444.39999999999992</v>
      </c>
      <c r="L5" s="33">
        <f t="shared" si="0"/>
        <v>449.7</v>
      </c>
      <c r="M5" s="33">
        <f t="shared" si="0"/>
        <v>482.7</v>
      </c>
      <c r="N5" s="33">
        <f t="shared" si="0"/>
        <v>469.7</v>
      </c>
      <c r="O5" s="33">
        <f t="shared" si="0"/>
        <v>512.90000000000009</v>
      </c>
      <c r="P5" s="33">
        <f t="shared" si="0"/>
        <v>529</v>
      </c>
      <c r="Q5" s="33">
        <f t="shared" si="0"/>
        <v>492.20000000000005</v>
      </c>
      <c r="R5" s="33">
        <f t="shared" si="0"/>
        <v>529.70000000000005</v>
      </c>
      <c r="S5" s="33">
        <f t="shared" si="0"/>
        <v>538.9</v>
      </c>
      <c r="T5" s="33">
        <f t="shared" si="0"/>
        <v>548.9</v>
      </c>
      <c r="U5" s="33">
        <f t="shared" si="0"/>
        <v>529.70000000000005</v>
      </c>
      <c r="V5" s="33">
        <f t="shared" si="0"/>
        <v>557.5</v>
      </c>
      <c r="W5" s="33">
        <f t="shared" si="0"/>
        <v>482.20000000000005</v>
      </c>
      <c r="X5" s="33">
        <f t="shared" si="0"/>
        <v>488.50000000000006</v>
      </c>
      <c r="Y5" s="33">
        <f t="shared" si="0"/>
        <v>473.90000000000003</v>
      </c>
      <c r="Z5" s="33">
        <f t="shared" si="0"/>
        <v>431.90000000000003</v>
      </c>
      <c r="AA5" s="33">
        <f t="shared" si="0"/>
        <v>398.5</v>
      </c>
      <c r="AB5" s="33">
        <f t="shared" si="0"/>
        <v>415.1</v>
      </c>
      <c r="AC5" s="33">
        <f t="shared" si="0"/>
        <v>362</v>
      </c>
      <c r="AD5" s="33">
        <f t="shared" si="0"/>
        <v>410.2</v>
      </c>
      <c r="AE5" s="33">
        <f t="shared" si="0"/>
        <v>419.8</v>
      </c>
      <c r="AF5" s="33">
        <f>B82</f>
        <v>430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1500MW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Load=1165</v>
      </c>
      <c r="B7" s="38">
        <f t="shared" ref="B7:AF7" si="1">B89</f>
        <v>1166.44</v>
      </c>
      <c r="C7" s="38">
        <f t="shared" si="1"/>
        <v>1204.44</v>
      </c>
      <c r="D7" s="38">
        <f t="shared" si="1"/>
        <v>1169.44</v>
      </c>
      <c r="E7" s="38">
        <f t="shared" si="1"/>
        <v>1164.6400000000001</v>
      </c>
      <c r="F7" s="38">
        <f t="shared" si="1"/>
        <v>1179.8400000000001</v>
      </c>
      <c r="G7" s="38">
        <f t="shared" si="1"/>
        <v>1210.44</v>
      </c>
      <c r="H7" s="38">
        <f t="shared" si="1"/>
        <v>1234.1399999999999</v>
      </c>
      <c r="I7" s="38">
        <f t="shared" si="1"/>
        <v>1305.44</v>
      </c>
      <c r="J7" s="38">
        <f t="shared" si="1"/>
        <v>1407.3400000000001</v>
      </c>
      <c r="K7" s="38">
        <f t="shared" si="1"/>
        <v>1436.2399999999998</v>
      </c>
      <c r="L7" s="38">
        <f t="shared" si="1"/>
        <v>1488.7399999999998</v>
      </c>
      <c r="M7" s="38">
        <f t="shared" si="1"/>
        <v>1458.54</v>
      </c>
      <c r="N7" s="38">
        <f>N89</f>
        <v>1499.54</v>
      </c>
      <c r="O7" s="38">
        <f t="shared" si="1"/>
        <v>1382.0400000000002</v>
      </c>
      <c r="P7" s="38">
        <f t="shared" si="1"/>
        <v>1499.8400000000001</v>
      </c>
      <c r="Q7" s="38">
        <f t="shared" si="1"/>
        <v>1521.94</v>
      </c>
      <c r="R7" s="38">
        <f t="shared" si="1"/>
        <v>1480.74</v>
      </c>
      <c r="S7" s="38">
        <f t="shared" si="1"/>
        <v>1515.54</v>
      </c>
      <c r="T7" s="38">
        <f t="shared" si="1"/>
        <v>1494.7399999999998</v>
      </c>
      <c r="U7" s="38">
        <f t="shared" si="1"/>
        <v>1523.7399999999998</v>
      </c>
      <c r="V7" s="38">
        <f t="shared" si="1"/>
        <v>1485.5400000000002</v>
      </c>
      <c r="W7" s="38">
        <f t="shared" si="1"/>
        <v>1448.2400000000002</v>
      </c>
      <c r="X7" s="38">
        <f t="shared" si="1"/>
        <v>1508.14</v>
      </c>
      <c r="Y7" s="38">
        <f t="shared" si="1"/>
        <v>1622.74</v>
      </c>
      <c r="Z7" s="38">
        <f t="shared" si="1"/>
        <v>1654.14</v>
      </c>
      <c r="AA7" s="38">
        <f t="shared" si="1"/>
        <v>1619.14</v>
      </c>
      <c r="AB7" s="38">
        <f t="shared" si="1"/>
        <v>1572.24</v>
      </c>
      <c r="AC7" s="38">
        <f t="shared" si="1"/>
        <v>1531.8400000000001</v>
      </c>
      <c r="AD7" s="38">
        <f t="shared" si="1"/>
        <v>1265.44</v>
      </c>
      <c r="AE7" s="38">
        <f t="shared" si="1"/>
        <v>1317.3400000000001</v>
      </c>
      <c r="AF7" s="38">
        <f t="shared" si="1"/>
        <v>1272.1399999999999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27</v>
      </c>
      <c r="C11" s="50">
        <v>27</v>
      </c>
      <c r="D11" s="50">
        <v>27</v>
      </c>
      <c r="E11" s="50">
        <v>27</v>
      </c>
      <c r="F11" s="50">
        <v>27</v>
      </c>
      <c r="G11" s="50">
        <v>26</v>
      </c>
      <c r="H11" s="50">
        <v>26</v>
      </c>
      <c r="I11" s="50">
        <v>26</v>
      </c>
      <c r="J11" s="50">
        <v>26</v>
      </c>
      <c r="K11" s="50">
        <v>27</v>
      </c>
      <c r="L11" s="50">
        <v>27</v>
      </c>
      <c r="M11" s="50">
        <v>27</v>
      </c>
      <c r="N11" s="50">
        <v>27</v>
      </c>
      <c r="O11" s="50">
        <v>27</v>
      </c>
      <c r="P11" s="50">
        <v>27</v>
      </c>
      <c r="Q11" s="50">
        <v>27</v>
      </c>
      <c r="R11" s="50">
        <v>27</v>
      </c>
      <c r="S11" s="50">
        <v>27</v>
      </c>
      <c r="T11" s="50">
        <v>27</v>
      </c>
      <c r="U11" s="50">
        <v>27</v>
      </c>
      <c r="V11" s="50">
        <v>27</v>
      </c>
      <c r="W11" s="50">
        <v>27</v>
      </c>
      <c r="X11" s="50">
        <v>27</v>
      </c>
      <c r="Y11" s="50">
        <v>27</v>
      </c>
      <c r="Z11" s="50">
        <v>27</v>
      </c>
      <c r="AA11" s="50">
        <v>27</v>
      </c>
      <c r="AB11" s="50">
        <v>27</v>
      </c>
      <c r="AC11" s="50">
        <v>27</v>
      </c>
      <c r="AD11" s="50">
        <v>27</v>
      </c>
      <c r="AE11" s="50">
        <v>27</v>
      </c>
      <c r="AF11" s="50">
        <v>27</v>
      </c>
      <c r="AG11" s="51">
        <v>86</v>
      </c>
      <c r="AH11" s="52">
        <f t="shared" ref="AH11:AH74" si="2">MAX(B11:AF11)</f>
        <v>27</v>
      </c>
      <c r="AI11" s="53">
        <f t="shared" ref="AI11:AI74" si="3">MIN(B11:AF11)</f>
        <v>26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14.5</v>
      </c>
      <c r="C12" s="50">
        <v>14.5</v>
      </c>
      <c r="D12" s="50">
        <v>14.5</v>
      </c>
      <c r="E12" s="50">
        <v>14.5</v>
      </c>
      <c r="F12" s="50">
        <v>14.5</v>
      </c>
      <c r="G12" s="50">
        <v>14.5</v>
      </c>
      <c r="H12" s="50">
        <v>14.5</v>
      </c>
      <c r="I12" s="50">
        <v>14.5</v>
      </c>
      <c r="J12" s="50">
        <v>14.5</v>
      </c>
      <c r="K12" s="50">
        <v>14.5</v>
      </c>
      <c r="L12" s="50">
        <v>14.5</v>
      </c>
      <c r="M12" s="50">
        <v>14</v>
      </c>
      <c r="N12" s="50">
        <v>14</v>
      </c>
      <c r="O12" s="50">
        <v>14</v>
      </c>
      <c r="P12" s="50">
        <v>14</v>
      </c>
      <c r="Q12" s="50">
        <v>14</v>
      </c>
      <c r="R12" s="50">
        <v>14</v>
      </c>
      <c r="S12" s="50">
        <v>14</v>
      </c>
      <c r="T12" s="50">
        <v>14</v>
      </c>
      <c r="U12" s="50">
        <v>14</v>
      </c>
      <c r="V12" s="50">
        <v>14</v>
      </c>
      <c r="W12" s="50">
        <v>14</v>
      </c>
      <c r="X12" s="50">
        <v>14</v>
      </c>
      <c r="Y12" s="50">
        <v>14</v>
      </c>
      <c r="Z12" s="50">
        <v>14</v>
      </c>
      <c r="AA12" s="50">
        <v>14</v>
      </c>
      <c r="AB12" s="50">
        <v>14</v>
      </c>
      <c r="AC12" s="50">
        <v>14</v>
      </c>
      <c r="AD12" s="50">
        <v>14</v>
      </c>
      <c r="AE12" s="50">
        <v>14</v>
      </c>
      <c r="AF12" s="50">
        <v>14</v>
      </c>
      <c r="AG12" s="51">
        <v>52.4</v>
      </c>
      <c r="AH12" s="52">
        <f t="shared" si="2"/>
        <v>14.5</v>
      </c>
      <c r="AI12" s="53">
        <f t="shared" si="3"/>
        <v>14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28.8</v>
      </c>
      <c r="C13" s="50">
        <v>28.8</v>
      </c>
      <c r="D13" s="50">
        <v>28.8</v>
      </c>
      <c r="E13" s="50">
        <v>28.8</v>
      </c>
      <c r="F13" s="50">
        <v>28.8</v>
      </c>
      <c r="G13" s="50">
        <v>28.8</v>
      </c>
      <c r="H13" s="50">
        <v>28.8</v>
      </c>
      <c r="I13" s="50">
        <v>28.8</v>
      </c>
      <c r="J13" s="50">
        <v>28.8</v>
      </c>
      <c r="K13" s="50">
        <v>28.8</v>
      </c>
      <c r="L13" s="50">
        <v>28.8</v>
      </c>
      <c r="M13" s="50">
        <v>28.3</v>
      </c>
      <c r="N13" s="50">
        <v>28.3</v>
      </c>
      <c r="O13" s="50">
        <v>28.3</v>
      </c>
      <c r="P13" s="50">
        <v>28.3</v>
      </c>
      <c r="Q13" s="50">
        <v>28.3</v>
      </c>
      <c r="R13" s="50">
        <v>28.3</v>
      </c>
      <c r="S13" s="50">
        <v>28.3</v>
      </c>
      <c r="T13" s="50">
        <v>28.3</v>
      </c>
      <c r="U13" s="50">
        <v>28.3</v>
      </c>
      <c r="V13" s="50">
        <v>28.3</v>
      </c>
      <c r="W13" s="50">
        <v>28.3</v>
      </c>
      <c r="X13" s="50">
        <v>28.3</v>
      </c>
      <c r="Y13" s="50">
        <v>28.3</v>
      </c>
      <c r="Z13" s="50">
        <v>28.3</v>
      </c>
      <c r="AA13" s="50">
        <v>28.3</v>
      </c>
      <c r="AB13" s="50">
        <v>28.3</v>
      </c>
      <c r="AC13" s="50">
        <v>28.3</v>
      </c>
      <c r="AD13" s="50">
        <v>28.3</v>
      </c>
      <c r="AE13" s="50">
        <v>28.3</v>
      </c>
      <c r="AF13" s="50">
        <v>28.3</v>
      </c>
      <c r="AG13" s="55">
        <v>50</v>
      </c>
      <c r="AH13" s="52">
        <f t="shared" si="2"/>
        <v>28.8</v>
      </c>
      <c r="AI13" s="53">
        <f t="shared" si="3"/>
        <v>28.3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17.899999999999999</v>
      </c>
      <c r="C14" s="50">
        <v>17.899999999999999</v>
      </c>
      <c r="D14" s="50">
        <v>17.899999999999999</v>
      </c>
      <c r="E14" s="50">
        <v>17.899999999999999</v>
      </c>
      <c r="F14" s="50">
        <v>17.899999999999999</v>
      </c>
      <c r="G14" s="50">
        <v>17.899999999999999</v>
      </c>
      <c r="H14" s="50">
        <v>17.899999999999999</v>
      </c>
      <c r="I14" s="50">
        <v>17.899999999999999</v>
      </c>
      <c r="J14" s="50">
        <v>17.899999999999999</v>
      </c>
      <c r="K14" s="50">
        <v>17.899999999999999</v>
      </c>
      <c r="L14" s="50">
        <v>17.899999999999999</v>
      </c>
      <c r="M14" s="50">
        <v>15.6</v>
      </c>
      <c r="N14" s="50">
        <v>15.6</v>
      </c>
      <c r="O14" s="50">
        <v>15.6</v>
      </c>
      <c r="P14" s="50">
        <v>15.6</v>
      </c>
      <c r="Q14" s="50">
        <v>15.6</v>
      </c>
      <c r="R14" s="50">
        <v>15.6</v>
      </c>
      <c r="S14" s="50">
        <v>15.6</v>
      </c>
      <c r="T14" s="50">
        <v>15.6</v>
      </c>
      <c r="U14" s="50">
        <v>15.6</v>
      </c>
      <c r="V14" s="50">
        <v>15.6</v>
      </c>
      <c r="W14" s="50">
        <v>15.6</v>
      </c>
      <c r="X14" s="50">
        <v>15.6</v>
      </c>
      <c r="Y14" s="50">
        <v>15.6</v>
      </c>
      <c r="Z14" s="50">
        <v>15.6</v>
      </c>
      <c r="AA14" s="50">
        <v>15.6</v>
      </c>
      <c r="AB14" s="50">
        <v>15.6</v>
      </c>
      <c r="AC14" s="50">
        <v>15.6</v>
      </c>
      <c r="AD14" s="50">
        <v>15.6</v>
      </c>
      <c r="AE14" s="50">
        <v>15.6</v>
      </c>
      <c r="AF14" s="50">
        <v>15.6</v>
      </c>
      <c r="AG14" s="55">
        <v>45</v>
      </c>
      <c r="AH14" s="52">
        <f t="shared" si="2"/>
        <v>17.899999999999999</v>
      </c>
      <c r="AI14" s="53">
        <f t="shared" si="3"/>
        <v>15.6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9</v>
      </c>
      <c r="C15" s="50">
        <v>9</v>
      </c>
      <c r="D15" s="50">
        <v>9</v>
      </c>
      <c r="E15" s="50">
        <v>9</v>
      </c>
      <c r="F15" s="50">
        <v>9</v>
      </c>
      <c r="G15" s="50">
        <v>9</v>
      </c>
      <c r="H15" s="50">
        <v>9</v>
      </c>
      <c r="I15" s="50">
        <v>9</v>
      </c>
      <c r="J15" s="50">
        <v>9</v>
      </c>
      <c r="K15" s="50">
        <v>9</v>
      </c>
      <c r="L15" s="50">
        <v>9</v>
      </c>
      <c r="M15" s="50">
        <v>8</v>
      </c>
      <c r="N15" s="50">
        <v>8</v>
      </c>
      <c r="O15" s="50">
        <v>8</v>
      </c>
      <c r="P15" s="50">
        <v>8</v>
      </c>
      <c r="Q15" s="50">
        <v>8</v>
      </c>
      <c r="R15" s="50">
        <v>8</v>
      </c>
      <c r="S15" s="50">
        <v>8</v>
      </c>
      <c r="T15" s="50">
        <v>8</v>
      </c>
      <c r="U15" s="50">
        <v>8</v>
      </c>
      <c r="V15" s="50">
        <v>8</v>
      </c>
      <c r="W15" s="50">
        <v>8</v>
      </c>
      <c r="X15" s="50">
        <v>8</v>
      </c>
      <c r="Y15" s="50">
        <v>8</v>
      </c>
      <c r="Z15" s="50">
        <v>8</v>
      </c>
      <c r="AA15" s="50">
        <v>8</v>
      </c>
      <c r="AB15" s="50">
        <v>8</v>
      </c>
      <c r="AC15" s="50">
        <v>8</v>
      </c>
      <c r="AD15" s="50">
        <v>8</v>
      </c>
      <c r="AE15" s="50">
        <v>8</v>
      </c>
      <c r="AF15" s="50">
        <v>8</v>
      </c>
      <c r="AG15" s="55">
        <v>42</v>
      </c>
      <c r="AH15" s="52">
        <f t="shared" si="2"/>
        <v>9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9</v>
      </c>
      <c r="C18" s="50">
        <v>9</v>
      </c>
      <c r="D18" s="50">
        <v>9</v>
      </c>
      <c r="E18" s="50">
        <v>9</v>
      </c>
      <c r="F18" s="50">
        <v>9</v>
      </c>
      <c r="G18" s="50">
        <v>9</v>
      </c>
      <c r="H18" s="50">
        <v>9</v>
      </c>
      <c r="I18" s="50">
        <v>9</v>
      </c>
      <c r="J18" s="50">
        <v>9</v>
      </c>
      <c r="K18" s="50">
        <v>9</v>
      </c>
      <c r="L18" s="50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50">
        <v>9</v>
      </c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6">
        <v>30</v>
      </c>
      <c r="AH18" s="52">
        <f t="shared" si="2"/>
        <v>9</v>
      </c>
      <c r="AI18" s="53">
        <f t="shared" si="3"/>
        <v>9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8</v>
      </c>
      <c r="C19" s="50">
        <v>8</v>
      </c>
      <c r="D19" s="50">
        <v>8</v>
      </c>
      <c r="E19" s="50">
        <v>8</v>
      </c>
      <c r="F19" s="50">
        <v>8</v>
      </c>
      <c r="G19" s="50">
        <v>8</v>
      </c>
      <c r="H19" s="50">
        <v>8</v>
      </c>
      <c r="I19" s="50">
        <v>8</v>
      </c>
      <c r="J19" s="50">
        <v>8</v>
      </c>
      <c r="K19" s="50">
        <v>8</v>
      </c>
      <c r="L19" s="50">
        <v>8</v>
      </c>
      <c r="M19" s="50">
        <v>8</v>
      </c>
      <c r="N19" s="50">
        <v>8</v>
      </c>
      <c r="O19" s="50">
        <v>8</v>
      </c>
      <c r="P19" s="50">
        <v>8</v>
      </c>
      <c r="Q19" s="50">
        <v>8</v>
      </c>
      <c r="R19" s="50">
        <v>8</v>
      </c>
      <c r="S19" s="50">
        <v>8</v>
      </c>
      <c r="T19" s="50">
        <v>8</v>
      </c>
      <c r="U19" s="50">
        <v>8</v>
      </c>
      <c r="V19" s="50">
        <v>8</v>
      </c>
      <c r="W19" s="50">
        <v>8</v>
      </c>
      <c r="X19" s="50">
        <v>8</v>
      </c>
      <c r="Y19" s="50">
        <v>8</v>
      </c>
      <c r="Z19" s="50">
        <v>8</v>
      </c>
      <c r="AA19" s="50">
        <v>8</v>
      </c>
      <c r="AB19" s="50">
        <v>8</v>
      </c>
      <c r="AC19" s="50">
        <v>8</v>
      </c>
      <c r="AD19" s="50">
        <v>8</v>
      </c>
      <c r="AE19" s="50">
        <v>8</v>
      </c>
      <c r="AF19" s="50">
        <v>8</v>
      </c>
      <c r="AG19" s="55">
        <v>24.2</v>
      </c>
      <c r="AH19" s="52">
        <f t="shared" si="2"/>
        <v>8</v>
      </c>
      <c r="AI19" s="53">
        <f t="shared" si="3"/>
        <v>8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10.5</v>
      </c>
      <c r="C22" s="50">
        <v>10.5</v>
      </c>
      <c r="D22" s="50">
        <v>10.5</v>
      </c>
      <c r="E22" s="50">
        <v>10.5</v>
      </c>
      <c r="F22" s="50">
        <v>10.5</v>
      </c>
      <c r="G22" s="50">
        <v>10.5</v>
      </c>
      <c r="H22" s="50">
        <v>10.5</v>
      </c>
      <c r="I22" s="50">
        <v>10.5</v>
      </c>
      <c r="J22" s="50">
        <v>10.5</v>
      </c>
      <c r="K22" s="50">
        <v>10.5</v>
      </c>
      <c r="L22" s="50">
        <v>10.5</v>
      </c>
      <c r="M22" s="50">
        <v>10.5</v>
      </c>
      <c r="N22" s="50">
        <v>10.5</v>
      </c>
      <c r="O22" s="50">
        <v>10.5</v>
      </c>
      <c r="P22" s="50">
        <v>10.5</v>
      </c>
      <c r="Q22" s="50">
        <v>10.5</v>
      </c>
      <c r="R22" s="50">
        <v>10.5</v>
      </c>
      <c r="S22" s="50">
        <v>10.5</v>
      </c>
      <c r="T22" s="50">
        <v>10.5</v>
      </c>
      <c r="U22" s="50">
        <v>10.5</v>
      </c>
      <c r="V22" s="50">
        <v>10.5</v>
      </c>
      <c r="W22" s="50">
        <v>10.5</v>
      </c>
      <c r="X22" s="50">
        <v>10.5</v>
      </c>
      <c r="Y22" s="50">
        <v>10.5</v>
      </c>
      <c r="Z22" s="50">
        <v>10.5</v>
      </c>
      <c r="AA22" s="50">
        <v>10.5</v>
      </c>
      <c r="AB22" s="50">
        <v>10.5</v>
      </c>
      <c r="AC22" s="50">
        <v>10.5</v>
      </c>
      <c r="AD22" s="50">
        <v>10.5</v>
      </c>
      <c r="AE22" s="50">
        <v>10.5</v>
      </c>
      <c r="AF22" s="50">
        <v>10.5</v>
      </c>
      <c r="AG22" s="55">
        <v>25</v>
      </c>
      <c r="AH22" s="52">
        <f t="shared" si="2"/>
        <v>10.5</v>
      </c>
      <c r="AI22" s="53">
        <f t="shared" si="3"/>
        <v>10.5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6.5</v>
      </c>
      <c r="C23" s="50">
        <v>6.5</v>
      </c>
      <c r="D23" s="50">
        <v>6.5</v>
      </c>
      <c r="E23" s="50">
        <v>6.5</v>
      </c>
      <c r="F23" s="50">
        <v>6.5</v>
      </c>
      <c r="G23" s="50">
        <v>6.5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6.5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6.8</v>
      </c>
      <c r="C26" s="50">
        <v>6.8</v>
      </c>
      <c r="D26" s="50">
        <v>6.8</v>
      </c>
      <c r="E26" s="50">
        <v>6.8</v>
      </c>
      <c r="F26" s="50">
        <v>6.8</v>
      </c>
      <c r="G26" s="50">
        <v>6.8</v>
      </c>
      <c r="H26" s="50">
        <v>6.8</v>
      </c>
      <c r="I26" s="50">
        <v>6.8</v>
      </c>
      <c r="J26" s="50">
        <v>6.8</v>
      </c>
      <c r="K26" s="50">
        <v>6.8</v>
      </c>
      <c r="L26" s="50">
        <v>6.8</v>
      </c>
      <c r="M26" s="50">
        <v>6.8</v>
      </c>
      <c r="N26" s="50">
        <v>6.8</v>
      </c>
      <c r="O26" s="50">
        <v>6.8</v>
      </c>
      <c r="P26" s="50">
        <v>6.8</v>
      </c>
      <c r="Q26" s="50">
        <v>6.8</v>
      </c>
      <c r="R26" s="50">
        <v>6.8</v>
      </c>
      <c r="S26" s="50">
        <v>6.8</v>
      </c>
      <c r="T26" s="50">
        <v>6.8</v>
      </c>
      <c r="U26" s="50">
        <v>6.8</v>
      </c>
      <c r="V26" s="50">
        <v>6.8</v>
      </c>
      <c r="W26" s="50">
        <v>6.8</v>
      </c>
      <c r="X26" s="50">
        <v>6.8</v>
      </c>
      <c r="Y26" s="50">
        <v>6.8</v>
      </c>
      <c r="Z26" s="50">
        <v>6.8</v>
      </c>
      <c r="AA26" s="50">
        <v>6.8</v>
      </c>
      <c r="AB26" s="50">
        <v>6.8</v>
      </c>
      <c r="AC26" s="50">
        <v>6.8</v>
      </c>
      <c r="AD26" s="50">
        <v>6.8</v>
      </c>
      <c r="AE26" s="50">
        <v>6.8</v>
      </c>
      <c r="AF26" s="50">
        <v>6.8</v>
      </c>
      <c r="AG26" s="55">
        <v>23.5</v>
      </c>
      <c r="AH26" s="52">
        <f t="shared" si="2"/>
        <v>6.8</v>
      </c>
      <c r="AI26" s="53">
        <f t="shared" si="3"/>
        <v>6.8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15</v>
      </c>
      <c r="C30" s="50">
        <v>15</v>
      </c>
      <c r="D30" s="50">
        <v>15</v>
      </c>
      <c r="E30" s="50">
        <v>15</v>
      </c>
      <c r="F30" s="50">
        <v>15</v>
      </c>
      <c r="G30" s="50">
        <v>15</v>
      </c>
      <c r="H30" s="50">
        <v>15</v>
      </c>
      <c r="I30" s="50">
        <v>15</v>
      </c>
      <c r="J30" s="50">
        <v>15</v>
      </c>
      <c r="K30" s="50">
        <v>15</v>
      </c>
      <c r="L30" s="50">
        <v>15</v>
      </c>
      <c r="M30" s="50">
        <v>9</v>
      </c>
      <c r="N30" s="50">
        <v>9</v>
      </c>
      <c r="O30" s="50">
        <v>9</v>
      </c>
      <c r="P30" s="50">
        <v>9</v>
      </c>
      <c r="Q30" s="50">
        <v>9</v>
      </c>
      <c r="R30" s="50">
        <v>9</v>
      </c>
      <c r="S30" s="50">
        <v>9</v>
      </c>
      <c r="T30" s="50">
        <v>9</v>
      </c>
      <c r="U30" s="50">
        <v>9</v>
      </c>
      <c r="V30" s="50">
        <v>9</v>
      </c>
      <c r="W30" s="50">
        <v>9</v>
      </c>
      <c r="X30" s="50">
        <v>9</v>
      </c>
      <c r="Y30" s="50">
        <v>9</v>
      </c>
      <c r="Z30" s="50">
        <v>9</v>
      </c>
      <c r="AA30" s="50">
        <v>9</v>
      </c>
      <c r="AB30" s="50">
        <v>9</v>
      </c>
      <c r="AC30" s="50">
        <v>9</v>
      </c>
      <c r="AD30" s="50">
        <v>9</v>
      </c>
      <c r="AE30" s="50">
        <v>9</v>
      </c>
      <c r="AF30" s="50">
        <v>9</v>
      </c>
      <c r="AG30" s="55">
        <v>22</v>
      </c>
      <c r="AH30" s="52">
        <f t="shared" si="2"/>
        <v>15</v>
      </c>
      <c r="AI30" s="53">
        <f t="shared" si="3"/>
        <v>9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3.5</v>
      </c>
      <c r="C37" s="50">
        <v>3.5</v>
      </c>
      <c r="D37" s="50">
        <v>3.5</v>
      </c>
      <c r="E37" s="50">
        <v>3.5</v>
      </c>
      <c r="F37" s="50">
        <v>3.5</v>
      </c>
      <c r="G37" s="50">
        <v>3.5</v>
      </c>
      <c r="H37" s="50">
        <v>3.5</v>
      </c>
      <c r="I37" s="50">
        <v>3.5</v>
      </c>
      <c r="J37" s="50">
        <v>3.5</v>
      </c>
      <c r="K37" s="50">
        <v>3.5</v>
      </c>
      <c r="L37" s="50">
        <v>3.5</v>
      </c>
      <c r="M37" s="50">
        <v>3.5</v>
      </c>
      <c r="N37" s="50">
        <v>3.5</v>
      </c>
      <c r="O37" s="50">
        <v>3.5</v>
      </c>
      <c r="P37" s="50">
        <v>3.5</v>
      </c>
      <c r="Q37" s="50">
        <v>3.5</v>
      </c>
      <c r="R37" s="50">
        <v>3.5</v>
      </c>
      <c r="S37" s="50">
        <v>3.5</v>
      </c>
      <c r="T37" s="50">
        <v>3.5</v>
      </c>
      <c r="U37" s="50">
        <v>3.5</v>
      </c>
      <c r="V37" s="50">
        <v>3.5</v>
      </c>
      <c r="W37" s="50">
        <v>3.5</v>
      </c>
      <c r="X37" s="50">
        <v>3.5</v>
      </c>
      <c r="Y37" s="50">
        <v>3.5</v>
      </c>
      <c r="Z37" s="50">
        <v>3.5</v>
      </c>
      <c r="AA37" s="50">
        <v>3.5</v>
      </c>
      <c r="AB37" s="50">
        <v>3.5</v>
      </c>
      <c r="AC37" s="50">
        <v>3.5</v>
      </c>
      <c r="AD37" s="50">
        <v>3.5</v>
      </c>
      <c r="AE37" s="50">
        <v>3.5</v>
      </c>
      <c r="AF37" s="50">
        <v>3.5</v>
      </c>
      <c r="AG37" s="55">
        <v>12</v>
      </c>
      <c r="AH37" s="52">
        <f t="shared" si="2"/>
        <v>3.5</v>
      </c>
      <c r="AI37" s="53">
        <f t="shared" si="3"/>
        <v>3.5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6.7</v>
      </c>
      <c r="C38" s="50">
        <v>6.7</v>
      </c>
      <c r="D38" s="50">
        <v>6.7</v>
      </c>
      <c r="E38" s="50">
        <v>6.7</v>
      </c>
      <c r="F38" s="50">
        <v>6.7</v>
      </c>
      <c r="G38" s="50">
        <v>6.7</v>
      </c>
      <c r="H38" s="50">
        <v>6.7</v>
      </c>
      <c r="I38" s="50">
        <v>6.7</v>
      </c>
      <c r="J38" s="50">
        <v>6.7</v>
      </c>
      <c r="K38" s="50">
        <v>6.7</v>
      </c>
      <c r="L38" s="50">
        <v>6.7</v>
      </c>
      <c r="M38" s="50">
        <v>6.7</v>
      </c>
      <c r="N38" s="50">
        <v>6.7</v>
      </c>
      <c r="O38" s="50">
        <v>6.7</v>
      </c>
      <c r="P38" s="50">
        <v>6.7</v>
      </c>
      <c r="Q38" s="50">
        <v>6.7</v>
      </c>
      <c r="R38" s="50">
        <v>6.7</v>
      </c>
      <c r="S38" s="50">
        <v>6.7</v>
      </c>
      <c r="T38" s="50">
        <v>6.7</v>
      </c>
      <c r="U38" s="50">
        <v>6.7</v>
      </c>
      <c r="V38" s="50">
        <v>6.7</v>
      </c>
      <c r="W38" s="50">
        <v>6.7</v>
      </c>
      <c r="X38" s="50">
        <v>6.7</v>
      </c>
      <c r="Y38" s="50">
        <v>6.7</v>
      </c>
      <c r="Z38" s="50">
        <v>6.7</v>
      </c>
      <c r="AA38" s="50">
        <v>6.7</v>
      </c>
      <c r="AB38" s="50">
        <v>6.7</v>
      </c>
      <c r="AC38" s="50">
        <v>6.7</v>
      </c>
      <c r="AD38" s="50">
        <v>6.7</v>
      </c>
      <c r="AE38" s="50">
        <v>6.7</v>
      </c>
      <c r="AF38" s="50">
        <v>6.7</v>
      </c>
      <c r="AG38" s="55">
        <v>12</v>
      </c>
      <c r="AH38" s="52">
        <f t="shared" si="2"/>
        <v>6.7</v>
      </c>
      <c r="AI38" s="53">
        <f t="shared" si="3"/>
        <v>6.7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6">
        <v>11.88</v>
      </c>
      <c r="AH41" s="52">
        <f t="shared" si="2"/>
        <v>0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205</v>
      </c>
      <c r="C46" s="63">
        <v>205</v>
      </c>
      <c r="D46" s="63">
        <v>205</v>
      </c>
      <c r="E46" s="63">
        <v>205</v>
      </c>
      <c r="F46" s="63">
        <v>205</v>
      </c>
      <c r="G46" s="63">
        <v>205</v>
      </c>
      <c r="H46" s="63">
        <v>205</v>
      </c>
      <c r="I46" s="63">
        <v>205</v>
      </c>
      <c r="J46" s="63">
        <v>205</v>
      </c>
      <c r="K46" s="63">
        <v>205</v>
      </c>
      <c r="L46" s="63">
        <v>205</v>
      </c>
      <c r="M46" s="63">
        <v>205</v>
      </c>
      <c r="N46" s="63">
        <v>205</v>
      </c>
      <c r="O46" s="63">
        <v>205</v>
      </c>
      <c r="P46" s="63">
        <v>205</v>
      </c>
      <c r="Q46" s="63">
        <v>205</v>
      </c>
      <c r="R46" s="63">
        <v>205</v>
      </c>
      <c r="S46" s="63">
        <v>205</v>
      </c>
      <c r="T46" s="63">
        <v>205</v>
      </c>
      <c r="U46" s="63">
        <v>205</v>
      </c>
      <c r="V46" s="63">
        <v>205</v>
      </c>
      <c r="W46" s="63">
        <v>205</v>
      </c>
      <c r="X46" s="63">
        <v>205</v>
      </c>
      <c r="Y46" s="63">
        <v>205</v>
      </c>
      <c r="Z46" s="63">
        <v>205</v>
      </c>
      <c r="AA46" s="63">
        <v>205</v>
      </c>
      <c r="AB46" s="63">
        <v>205</v>
      </c>
      <c r="AC46" s="63">
        <v>205</v>
      </c>
      <c r="AD46" s="63">
        <v>205</v>
      </c>
      <c r="AE46" s="63">
        <v>205</v>
      </c>
      <c r="AF46" s="63">
        <v>205</v>
      </c>
      <c r="AG46" s="61">
        <v>85</v>
      </c>
      <c r="AH46" s="52">
        <f t="shared" si="2"/>
        <v>205</v>
      </c>
      <c r="AI46" s="53">
        <f t="shared" si="3"/>
        <v>205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459.9</v>
      </c>
      <c r="C48" s="67">
        <f t="shared" si="4"/>
        <v>459.9</v>
      </c>
      <c r="D48" s="67">
        <f t="shared" si="4"/>
        <v>459.9</v>
      </c>
      <c r="E48" s="67">
        <f t="shared" si="4"/>
        <v>459.9</v>
      </c>
      <c r="F48" s="67">
        <f t="shared" si="4"/>
        <v>459.9</v>
      </c>
      <c r="G48" s="67">
        <f t="shared" si="4"/>
        <v>459.9</v>
      </c>
      <c r="H48" s="67">
        <f t="shared" si="4"/>
        <v>453.4</v>
      </c>
      <c r="I48" s="67">
        <f t="shared" si="4"/>
        <v>453.4</v>
      </c>
      <c r="J48" s="67">
        <f t="shared" si="4"/>
        <v>453.4</v>
      </c>
      <c r="K48" s="67">
        <f t="shared" si="4"/>
        <v>453.4</v>
      </c>
      <c r="L48" s="67">
        <f t="shared" si="4"/>
        <v>453.4</v>
      </c>
      <c r="M48" s="67">
        <f t="shared" si="4"/>
        <v>443.1</v>
      </c>
      <c r="N48" s="67">
        <f t="shared" si="4"/>
        <v>443.1</v>
      </c>
      <c r="O48" s="67">
        <f t="shared" si="4"/>
        <v>443.1</v>
      </c>
      <c r="P48" s="67">
        <f t="shared" si="4"/>
        <v>443.1</v>
      </c>
      <c r="Q48" s="67">
        <f t="shared" si="4"/>
        <v>443.1</v>
      </c>
      <c r="R48" s="67">
        <f t="shared" si="4"/>
        <v>443.1</v>
      </c>
      <c r="S48" s="67">
        <f t="shared" si="4"/>
        <v>443.1</v>
      </c>
      <c r="T48" s="67">
        <f t="shared" ref="T48:V48" si="5">SUM(T12:T46)</f>
        <v>443.1</v>
      </c>
      <c r="U48" s="67">
        <f t="shared" si="5"/>
        <v>443.1</v>
      </c>
      <c r="V48" s="67">
        <f t="shared" si="5"/>
        <v>443.1</v>
      </c>
      <c r="W48" s="67">
        <f t="shared" ref="W48:X48" si="6">SUM(W12:W46)</f>
        <v>443.1</v>
      </c>
      <c r="X48" s="67">
        <f t="shared" si="6"/>
        <v>443.1</v>
      </c>
      <c r="Y48" s="67">
        <f t="shared" ref="Y48" si="7">SUM(Y12:Y46)</f>
        <v>443.1</v>
      </c>
      <c r="Z48" s="67">
        <v>443.1</v>
      </c>
      <c r="AA48" s="67">
        <f t="shared" ref="AA48" si="8">SUM(AA12:AA46)</f>
        <v>443.1</v>
      </c>
      <c r="AB48" s="67">
        <f t="shared" si="4"/>
        <v>443.1</v>
      </c>
      <c r="AC48" s="67">
        <f t="shared" si="4"/>
        <v>443.1</v>
      </c>
      <c r="AD48" s="67">
        <f t="shared" si="4"/>
        <v>443.1</v>
      </c>
      <c r="AE48" s="67">
        <f t="shared" si="4"/>
        <v>443.1</v>
      </c>
      <c r="AF48" s="67">
        <f t="shared" si="4"/>
        <v>443.1</v>
      </c>
      <c r="AG48" s="68">
        <f t="shared" si="4"/>
        <v>875.68</v>
      </c>
      <c r="AH48" s="52">
        <f t="shared" si="2"/>
        <v>459.9</v>
      </c>
      <c r="AI48" s="53">
        <f t="shared" si="3"/>
        <v>443.1</v>
      </c>
      <c r="AK48" s="54"/>
    </row>
    <row r="49" spans="1:41" x14ac:dyDescent="0.25">
      <c r="A49" s="69" t="s">
        <v>53</v>
      </c>
      <c r="B49" s="50">
        <v>40</v>
      </c>
      <c r="C49" s="50">
        <v>60</v>
      </c>
      <c r="D49" s="50">
        <v>30</v>
      </c>
      <c r="E49" s="50">
        <v>40</v>
      </c>
      <c r="F49" s="50">
        <v>50</v>
      </c>
      <c r="G49" s="50">
        <v>35</v>
      </c>
      <c r="H49" s="50">
        <v>75</v>
      </c>
      <c r="I49" s="50">
        <v>50</v>
      </c>
      <c r="J49" s="50">
        <v>80</v>
      </c>
      <c r="K49" s="50">
        <v>90</v>
      </c>
      <c r="L49" s="50">
        <v>90</v>
      </c>
      <c r="M49" s="70">
        <v>90</v>
      </c>
      <c r="N49" s="70">
        <v>90</v>
      </c>
      <c r="O49" s="70">
        <v>90</v>
      </c>
      <c r="P49" s="50">
        <v>130</v>
      </c>
      <c r="Q49" s="50">
        <v>136</v>
      </c>
      <c r="R49" s="50">
        <v>126</v>
      </c>
      <c r="S49" s="50">
        <v>110</v>
      </c>
      <c r="T49" s="50">
        <v>110</v>
      </c>
      <c r="U49" s="50">
        <v>110</v>
      </c>
      <c r="V49" s="50">
        <v>80</v>
      </c>
      <c r="W49" s="50">
        <v>80</v>
      </c>
      <c r="X49" s="50">
        <v>50</v>
      </c>
      <c r="Y49" s="50">
        <v>90</v>
      </c>
      <c r="Z49" s="50">
        <v>120</v>
      </c>
      <c r="AA49" s="50">
        <v>90</v>
      </c>
      <c r="AB49" s="50">
        <v>93.3</v>
      </c>
      <c r="AC49" s="50">
        <v>68.400000000000006</v>
      </c>
      <c r="AD49" s="50">
        <v>68.400000000000006</v>
      </c>
      <c r="AE49" s="50">
        <v>68.400000000000006</v>
      </c>
      <c r="AF49" s="50">
        <v>68.400000000000006</v>
      </c>
      <c r="AG49" s="56">
        <v>456</v>
      </c>
      <c r="AH49" s="52">
        <f t="shared" si="2"/>
        <v>136</v>
      </c>
      <c r="AI49" s="53">
        <f t="shared" si="3"/>
        <v>30</v>
      </c>
      <c r="AK49" s="54"/>
    </row>
    <row r="50" spans="1:41" x14ac:dyDescent="0.25">
      <c r="A50" s="71" t="s">
        <v>54</v>
      </c>
      <c r="B50" s="72">
        <v>26</v>
      </c>
      <c r="C50" s="72">
        <v>26</v>
      </c>
      <c r="D50" s="72">
        <v>26</v>
      </c>
      <c r="E50" s="72">
        <v>26</v>
      </c>
      <c r="F50" s="72">
        <v>26</v>
      </c>
      <c r="G50" s="72">
        <v>26</v>
      </c>
      <c r="H50" s="72">
        <v>26</v>
      </c>
      <c r="I50" s="72">
        <v>26</v>
      </c>
      <c r="J50" s="72">
        <v>26</v>
      </c>
      <c r="K50" s="72">
        <v>26</v>
      </c>
      <c r="L50" s="72">
        <v>26</v>
      </c>
      <c r="M50" s="72">
        <v>26</v>
      </c>
      <c r="N50" s="72">
        <v>26</v>
      </c>
      <c r="O50" s="72">
        <v>26</v>
      </c>
      <c r="P50" s="72">
        <v>26</v>
      </c>
      <c r="Q50" s="72">
        <v>26</v>
      </c>
      <c r="R50" s="72">
        <v>26</v>
      </c>
      <c r="S50" s="72">
        <v>26</v>
      </c>
      <c r="T50" s="72">
        <v>26</v>
      </c>
      <c r="U50" s="72">
        <v>26</v>
      </c>
      <c r="V50" s="72">
        <v>26</v>
      </c>
      <c r="W50" s="72">
        <v>26</v>
      </c>
      <c r="X50" s="72">
        <v>26</v>
      </c>
      <c r="Y50" s="72">
        <v>26</v>
      </c>
      <c r="Z50" s="72">
        <v>26</v>
      </c>
      <c r="AA50" s="72">
        <v>26</v>
      </c>
      <c r="AB50" s="72">
        <v>26</v>
      </c>
      <c r="AC50" s="72">
        <v>26</v>
      </c>
      <c r="AD50" s="72">
        <v>26</v>
      </c>
      <c r="AE50" s="72">
        <v>26</v>
      </c>
      <c r="AF50" s="72">
        <v>26</v>
      </c>
      <c r="AG50" s="61">
        <v>60</v>
      </c>
      <c r="AH50" s="52">
        <f t="shared" si="2"/>
        <v>26</v>
      </c>
      <c r="AI50" s="53">
        <f t="shared" si="3"/>
        <v>26</v>
      </c>
      <c r="AK50" s="54"/>
    </row>
    <row r="51" spans="1:41" ht="15.75" thickBot="1" x14ac:dyDescent="0.3">
      <c r="A51" s="73" t="s">
        <v>55</v>
      </c>
      <c r="B51" s="74">
        <v>11</v>
      </c>
      <c r="C51" s="74">
        <v>11</v>
      </c>
      <c r="D51" s="74">
        <v>11</v>
      </c>
      <c r="E51" s="74">
        <v>11</v>
      </c>
      <c r="F51" s="74">
        <v>11.1</v>
      </c>
      <c r="G51" s="74">
        <v>11.1</v>
      </c>
      <c r="H51" s="74">
        <v>11.1</v>
      </c>
      <c r="I51" s="74">
        <v>11.1</v>
      </c>
      <c r="J51" s="74">
        <v>11.1</v>
      </c>
      <c r="K51" s="74">
        <v>11.1</v>
      </c>
      <c r="L51" s="74">
        <v>11.1</v>
      </c>
      <c r="M51" s="74">
        <v>11.1</v>
      </c>
      <c r="N51" s="74">
        <v>11.1</v>
      </c>
      <c r="O51" s="74">
        <v>11.1</v>
      </c>
      <c r="P51" s="74">
        <v>10.199999999999999</v>
      </c>
      <c r="Q51" s="74">
        <v>10.199999999999999</v>
      </c>
      <c r="R51" s="74">
        <v>10.199999999999999</v>
      </c>
      <c r="S51" s="74">
        <v>10.199999999999999</v>
      </c>
      <c r="T51" s="74">
        <v>10.199999999999999</v>
      </c>
      <c r="U51" s="74">
        <v>10.199999999999999</v>
      </c>
      <c r="V51" s="74">
        <v>10.199999999999999</v>
      </c>
      <c r="W51" s="74">
        <v>10.199999999999999</v>
      </c>
      <c r="X51" s="74">
        <v>10.199999999999999</v>
      </c>
      <c r="Y51" s="74">
        <v>20.100000000000001</v>
      </c>
      <c r="Z51" s="74">
        <v>20.100000000000001</v>
      </c>
      <c r="AA51" s="74">
        <v>20.100000000000001</v>
      </c>
      <c r="AB51" s="74">
        <v>9.3000000000000007</v>
      </c>
      <c r="AC51" s="74">
        <v>9</v>
      </c>
      <c r="AD51" s="74">
        <v>9</v>
      </c>
      <c r="AE51" s="74">
        <v>9</v>
      </c>
      <c r="AF51" s="74">
        <v>9</v>
      </c>
      <c r="AG51" s="75">
        <v>22.1</v>
      </c>
      <c r="AH51" s="52">
        <f t="shared" si="2"/>
        <v>20.100000000000001</v>
      </c>
      <c r="AI51" s="53">
        <f t="shared" si="3"/>
        <v>9</v>
      </c>
      <c r="AK51" s="54"/>
    </row>
    <row r="52" spans="1:41" ht="15.75" thickBot="1" x14ac:dyDescent="0.3">
      <c r="A52" s="76" t="s">
        <v>56</v>
      </c>
      <c r="B52" s="67">
        <f t="shared" ref="B52:AG52" si="9">SUM(B49:B51)</f>
        <v>77</v>
      </c>
      <c r="C52" s="67">
        <f t="shared" si="9"/>
        <v>97</v>
      </c>
      <c r="D52" s="67">
        <f t="shared" si="9"/>
        <v>67</v>
      </c>
      <c r="E52" s="67">
        <f t="shared" si="9"/>
        <v>77</v>
      </c>
      <c r="F52" s="67">
        <f t="shared" si="9"/>
        <v>87.1</v>
      </c>
      <c r="G52" s="67">
        <f t="shared" si="9"/>
        <v>72.099999999999994</v>
      </c>
      <c r="H52" s="67">
        <f t="shared" si="9"/>
        <v>112.1</v>
      </c>
      <c r="I52" s="67">
        <f t="shared" si="9"/>
        <v>87.1</v>
      </c>
      <c r="J52" s="67">
        <f t="shared" si="9"/>
        <v>117.1</v>
      </c>
      <c r="K52" s="67">
        <f t="shared" si="9"/>
        <v>127.1</v>
      </c>
      <c r="L52" s="67">
        <f t="shared" si="9"/>
        <v>127.1</v>
      </c>
      <c r="M52" s="67">
        <f t="shared" si="9"/>
        <v>127.1</v>
      </c>
      <c r="N52" s="67">
        <f t="shared" si="9"/>
        <v>127.1</v>
      </c>
      <c r="O52" s="67">
        <f t="shared" si="9"/>
        <v>127.1</v>
      </c>
      <c r="P52" s="67">
        <f t="shared" si="9"/>
        <v>166.2</v>
      </c>
      <c r="Q52" s="67">
        <f t="shared" si="9"/>
        <v>172.2</v>
      </c>
      <c r="R52" s="67">
        <f t="shared" si="9"/>
        <v>162.19999999999999</v>
      </c>
      <c r="S52" s="67">
        <f t="shared" si="9"/>
        <v>146.19999999999999</v>
      </c>
      <c r="T52" s="67">
        <f t="shared" ref="T52:V52" si="10">SUM(T49:T51)</f>
        <v>146.19999999999999</v>
      </c>
      <c r="U52" s="67">
        <f t="shared" si="10"/>
        <v>146.19999999999999</v>
      </c>
      <c r="V52" s="67">
        <f t="shared" si="10"/>
        <v>116.2</v>
      </c>
      <c r="W52" s="67">
        <f t="shared" ref="W52:X52" si="11">SUM(W49:W51)</f>
        <v>116.2</v>
      </c>
      <c r="X52" s="67">
        <f t="shared" si="11"/>
        <v>86.2</v>
      </c>
      <c r="Y52" s="67">
        <f t="shared" ref="Y52" si="12">SUM(Y49:Y51)</f>
        <v>136.1</v>
      </c>
      <c r="Z52" s="67">
        <v>136.1</v>
      </c>
      <c r="AA52" s="67">
        <f t="shared" si="9"/>
        <v>136.1</v>
      </c>
      <c r="AB52" s="67">
        <f t="shared" si="9"/>
        <v>128.6</v>
      </c>
      <c r="AC52" s="67">
        <f t="shared" si="9"/>
        <v>103.4</v>
      </c>
      <c r="AD52" s="67">
        <f t="shared" si="9"/>
        <v>103.4</v>
      </c>
      <c r="AE52" s="67">
        <f t="shared" si="9"/>
        <v>103.4</v>
      </c>
      <c r="AF52" s="67">
        <f t="shared" si="9"/>
        <v>103.4</v>
      </c>
      <c r="AG52" s="68">
        <f t="shared" si="9"/>
        <v>538.1</v>
      </c>
      <c r="AH52" s="52">
        <f t="shared" si="2"/>
        <v>172.2</v>
      </c>
      <c r="AI52" s="53">
        <f t="shared" si="3"/>
        <v>67</v>
      </c>
      <c r="AK52" s="54"/>
    </row>
    <row r="53" spans="1:41" x14ac:dyDescent="0.25">
      <c r="A53" s="49" t="s">
        <v>57</v>
      </c>
      <c r="B53" s="50">
        <v>30</v>
      </c>
      <c r="C53" s="50">
        <v>30</v>
      </c>
      <c r="D53" s="50">
        <v>0</v>
      </c>
      <c r="E53" s="50">
        <v>0</v>
      </c>
      <c r="F53" s="50">
        <v>0</v>
      </c>
      <c r="G53" s="50">
        <v>28.2</v>
      </c>
      <c r="H53" s="50">
        <v>28.6</v>
      </c>
      <c r="I53" s="50">
        <v>28.9</v>
      </c>
      <c r="J53" s="50">
        <v>28.7</v>
      </c>
      <c r="K53" s="50">
        <v>28.5</v>
      </c>
      <c r="L53" s="50">
        <v>28.6</v>
      </c>
      <c r="M53" s="50">
        <v>48.5</v>
      </c>
      <c r="N53" s="50">
        <v>48.5</v>
      </c>
      <c r="O53" s="50">
        <v>98</v>
      </c>
      <c r="P53" s="50">
        <v>97.4</v>
      </c>
      <c r="Q53" s="50">
        <v>97.4</v>
      </c>
      <c r="R53" s="50">
        <v>97.4</v>
      </c>
      <c r="S53" s="50">
        <v>97</v>
      </c>
      <c r="T53" s="50">
        <v>97</v>
      </c>
      <c r="U53" s="50">
        <v>97</v>
      </c>
      <c r="V53" s="50">
        <v>97</v>
      </c>
      <c r="W53" s="50">
        <v>97.4</v>
      </c>
      <c r="X53" s="50">
        <v>97.1</v>
      </c>
      <c r="Y53" s="50">
        <v>97.1</v>
      </c>
      <c r="Z53" s="50">
        <v>97.2</v>
      </c>
      <c r="AA53" s="50">
        <v>97.5</v>
      </c>
      <c r="AB53" s="50">
        <v>97.4</v>
      </c>
      <c r="AC53" s="50">
        <v>97.4</v>
      </c>
      <c r="AD53" s="50">
        <v>81.3</v>
      </c>
      <c r="AE53" s="50">
        <v>81.3</v>
      </c>
      <c r="AF53" s="50">
        <v>60.3</v>
      </c>
      <c r="AG53" s="56">
        <v>144</v>
      </c>
      <c r="AH53" s="52">
        <f t="shared" si="2"/>
        <v>98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24.8</v>
      </c>
      <c r="H54" s="72">
        <v>33.6</v>
      </c>
      <c r="I54" s="72">
        <v>49</v>
      </c>
      <c r="J54" s="72">
        <v>50.1</v>
      </c>
      <c r="K54" s="72">
        <v>48.7</v>
      </c>
      <c r="L54" s="72">
        <v>60.1</v>
      </c>
      <c r="M54" s="72">
        <v>59.9</v>
      </c>
      <c r="N54" s="72">
        <v>59.9</v>
      </c>
      <c r="O54" s="72">
        <v>35</v>
      </c>
      <c r="P54" s="72">
        <v>45</v>
      </c>
      <c r="Q54" s="72">
        <v>45</v>
      </c>
      <c r="R54" s="72">
        <v>50.7</v>
      </c>
      <c r="S54" s="72">
        <v>65</v>
      </c>
      <c r="T54" s="72">
        <v>35</v>
      </c>
      <c r="U54" s="72">
        <v>34</v>
      </c>
      <c r="V54" s="72">
        <v>65</v>
      </c>
      <c r="W54" s="72">
        <v>0</v>
      </c>
      <c r="X54" s="72">
        <v>0</v>
      </c>
      <c r="Y54" s="72">
        <v>22.7</v>
      </c>
      <c r="Z54" s="72">
        <v>51</v>
      </c>
      <c r="AA54" s="72">
        <v>51</v>
      </c>
      <c r="AB54" s="72">
        <v>49.7</v>
      </c>
      <c r="AC54" s="72">
        <v>40.6</v>
      </c>
      <c r="AD54" s="72">
        <v>44.8</v>
      </c>
      <c r="AE54" s="72">
        <v>37.6</v>
      </c>
      <c r="AF54" s="72">
        <v>21.8</v>
      </c>
      <c r="AG54" s="61">
        <v>70</v>
      </c>
      <c r="AH54" s="52">
        <f t="shared" si="2"/>
        <v>65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22</v>
      </c>
      <c r="C55" s="72">
        <v>22</v>
      </c>
      <c r="D55" s="72">
        <v>22</v>
      </c>
      <c r="E55" s="72">
        <v>16.5</v>
      </c>
      <c r="F55" s="72">
        <v>17.5</v>
      </c>
      <c r="G55" s="72">
        <v>17.600000000000001</v>
      </c>
      <c r="H55" s="72">
        <v>17.5</v>
      </c>
      <c r="I55" s="72">
        <v>17.399999999999999</v>
      </c>
      <c r="J55" s="72">
        <v>17.5</v>
      </c>
      <c r="K55" s="72">
        <v>17.5</v>
      </c>
      <c r="L55" s="72">
        <v>17.399999999999999</v>
      </c>
      <c r="M55" s="72">
        <v>17.5</v>
      </c>
      <c r="N55" s="72">
        <v>17.5</v>
      </c>
      <c r="O55" s="72">
        <v>17.5</v>
      </c>
      <c r="P55" s="72">
        <v>46.5</v>
      </c>
      <c r="Q55" s="72">
        <v>46.5</v>
      </c>
      <c r="R55" s="72">
        <v>46.1</v>
      </c>
      <c r="S55" s="72">
        <v>45.8</v>
      </c>
      <c r="T55" s="72">
        <v>45.8</v>
      </c>
      <c r="U55" s="72">
        <v>45.8</v>
      </c>
      <c r="V55" s="72">
        <v>45.8</v>
      </c>
      <c r="W55" s="72">
        <v>46</v>
      </c>
      <c r="X55" s="72">
        <v>33.5</v>
      </c>
      <c r="Y55" s="72">
        <v>64.900000000000006</v>
      </c>
      <c r="Z55" s="72">
        <v>69.5</v>
      </c>
      <c r="AA55" s="72">
        <v>69.2</v>
      </c>
      <c r="AB55" s="72">
        <v>68.900000000000006</v>
      </c>
      <c r="AC55" s="72">
        <v>51.2</v>
      </c>
      <c r="AD55" s="72">
        <v>51.2</v>
      </c>
      <c r="AE55" s="72">
        <v>61.4</v>
      </c>
      <c r="AF55" s="72">
        <v>52.6</v>
      </c>
      <c r="AG55" s="61">
        <v>69</v>
      </c>
      <c r="AH55" s="52">
        <f t="shared" si="2"/>
        <v>69.5</v>
      </c>
      <c r="AI55" s="53">
        <f t="shared" si="3"/>
        <v>16.5</v>
      </c>
      <c r="AK55" s="54"/>
    </row>
    <row r="56" spans="1:41" x14ac:dyDescent="0.25">
      <c r="A56" s="60" t="s">
        <v>60</v>
      </c>
      <c r="B56" s="72">
        <v>35.299999999999997</v>
      </c>
      <c r="C56" s="72">
        <v>35.299999999999997</v>
      </c>
      <c r="D56" s="72">
        <v>35.299999999999997</v>
      </c>
      <c r="E56" s="63">
        <v>38</v>
      </c>
      <c r="F56" s="63">
        <v>38.299999999999997</v>
      </c>
      <c r="G56" s="63">
        <v>38.299999999999997</v>
      </c>
      <c r="H56" s="63">
        <v>38</v>
      </c>
      <c r="I56" s="63">
        <v>38</v>
      </c>
      <c r="J56" s="63">
        <v>38</v>
      </c>
      <c r="K56" s="63">
        <v>38</v>
      </c>
      <c r="L56" s="63">
        <v>38</v>
      </c>
      <c r="M56" s="72">
        <v>38</v>
      </c>
      <c r="N56" s="72">
        <v>38</v>
      </c>
      <c r="O56" s="72">
        <v>38</v>
      </c>
      <c r="P56" s="72">
        <v>36.200000000000003</v>
      </c>
      <c r="Q56" s="72">
        <v>36.200000000000003</v>
      </c>
      <c r="R56" s="72">
        <v>36.200000000000003</v>
      </c>
      <c r="S56" s="72">
        <v>36</v>
      </c>
      <c r="T56" s="72">
        <v>36</v>
      </c>
      <c r="U56" s="72">
        <v>36</v>
      </c>
      <c r="V56" s="72">
        <v>36</v>
      </c>
      <c r="W56" s="72">
        <v>35.299999999999997</v>
      </c>
      <c r="X56" s="72">
        <v>34.299999999999997</v>
      </c>
      <c r="Y56" s="72">
        <v>34.299999999999997</v>
      </c>
      <c r="Z56" s="72">
        <v>34</v>
      </c>
      <c r="AA56" s="72">
        <v>34.299999999999997</v>
      </c>
      <c r="AB56" s="72">
        <v>34.299999999999997</v>
      </c>
      <c r="AC56" s="72">
        <v>34.299999999999997</v>
      </c>
      <c r="AD56" s="72">
        <v>34.299999999999997</v>
      </c>
      <c r="AE56" s="72">
        <v>34.299999999999997</v>
      </c>
      <c r="AF56" s="72">
        <v>34.299999999999997</v>
      </c>
      <c r="AG56" s="61">
        <v>60</v>
      </c>
      <c r="AH56" s="52">
        <f t="shared" si="2"/>
        <v>38.299999999999997</v>
      </c>
      <c r="AI56" s="53">
        <f t="shared" si="3"/>
        <v>34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63">
        <v>0</v>
      </c>
      <c r="G57" s="63">
        <v>0</v>
      </c>
      <c r="H57" s="63">
        <v>10</v>
      </c>
      <c r="I57" s="63">
        <v>14.7</v>
      </c>
      <c r="J57" s="63">
        <v>15</v>
      </c>
      <c r="K57" s="63">
        <v>15</v>
      </c>
      <c r="L57" s="63">
        <v>15</v>
      </c>
      <c r="M57" s="72">
        <v>15</v>
      </c>
      <c r="N57" s="72">
        <v>15</v>
      </c>
      <c r="O57" s="72">
        <v>10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15</v>
      </c>
      <c r="Y57" s="72">
        <v>19.3</v>
      </c>
      <c r="Z57" s="72">
        <v>19.3</v>
      </c>
      <c r="AA57" s="72">
        <v>19.3</v>
      </c>
      <c r="AB57" s="72">
        <v>15</v>
      </c>
      <c r="AC57" s="72">
        <v>10</v>
      </c>
      <c r="AD57" s="72">
        <v>9.1999999999999993</v>
      </c>
      <c r="AE57" s="72">
        <v>9.1999999999999993</v>
      </c>
      <c r="AF57" s="72">
        <v>0</v>
      </c>
      <c r="AG57" s="61">
        <v>30</v>
      </c>
      <c r="AH57" s="52">
        <f t="shared" si="2"/>
        <v>19.3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7</v>
      </c>
      <c r="N58" s="50">
        <v>15</v>
      </c>
      <c r="O58" s="50">
        <v>17</v>
      </c>
      <c r="P58" s="72">
        <v>16</v>
      </c>
      <c r="Q58" s="72">
        <v>16</v>
      </c>
      <c r="R58" s="72">
        <v>16</v>
      </c>
      <c r="S58" s="72">
        <v>16</v>
      </c>
      <c r="T58" s="72">
        <v>16</v>
      </c>
      <c r="U58" s="72">
        <v>16</v>
      </c>
      <c r="V58" s="72">
        <v>16</v>
      </c>
      <c r="W58" s="72">
        <v>16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17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11</v>
      </c>
      <c r="C59" s="72">
        <v>11</v>
      </c>
      <c r="D59" s="72">
        <v>11</v>
      </c>
      <c r="E59" s="72">
        <v>11</v>
      </c>
      <c r="F59" s="72">
        <v>11</v>
      </c>
      <c r="G59" s="72">
        <v>11</v>
      </c>
      <c r="H59" s="72">
        <v>11</v>
      </c>
      <c r="I59" s="72">
        <v>11</v>
      </c>
      <c r="J59" s="72">
        <v>11</v>
      </c>
      <c r="K59" s="72">
        <v>11</v>
      </c>
      <c r="L59" s="72">
        <v>15</v>
      </c>
      <c r="M59" s="72">
        <v>15</v>
      </c>
      <c r="N59" s="72">
        <v>15</v>
      </c>
      <c r="O59" s="72">
        <v>15</v>
      </c>
      <c r="P59" s="72">
        <v>13</v>
      </c>
      <c r="Q59" s="72">
        <v>13</v>
      </c>
      <c r="R59" s="72">
        <v>13</v>
      </c>
      <c r="S59" s="72">
        <v>13</v>
      </c>
      <c r="T59" s="72">
        <v>13</v>
      </c>
      <c r="U59" s="72">
        <v>13</v>
      </c>
      <c r="V59" s="72">
        <v>13</v>
      </c>
      <c r="W59" s="72">
        <v>13</v>
      </c>
      <c r="X59" s="72">
        <v>13</v>
      </c>
      <c r="Y59" s="72">
        <v>13</v>
      </c>
      <c r="Z59" s="72">
        <v>13</v>
      </c>
      <c r="AA59" s="72">
        <v>13</v>
      </c>
      <c r="AB59" s="72">
        <v>13</v>
      </c>
      <c r="AC59" s="72">
        <v>13</v>
      </c>
      <c r="AD59" s="72">
        <v>13</v>
      </c>
      <c r="AE59" s="72">
        <v>13</v>
      </c>
      <c r="AF59" s="72">
        <v>13</v>
      </c>
      <c r="AG59" s="61">
        <v>24</v>
      </c>
      <c r="AH59" s="52">
        <f t="shared" si="2"/>
        <v>15</v>
      </c>
      <c r="AI59" s="53">
        <f t="shared" si="3"/>
        <v>11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7.8</v>
      </c>
      <c r="C61" s="72">
        <v>7.8</v>
      </c>
      <c r="D61" s="72">
        <v>7.8</v>
      </c>
      <c r="E61" s="72">
        <v>7.8</v>
      </c>
      <c r="F61" s="72">
        <v>7.8</v>
      </c>
      <c r="G61" s="72">
        <v>7.8</v>
      </c>
      <c r="H61" s="72">
        <v>7.8</v>
      </c>
      <c r="I61" s="72">
        <v>7.8</v>
      </c>
      <c r="J61" s="72">
        <v>7.8</v>
      </c>
      <c r="K61" s="72">
        <v>7.8</v>
      </c>
      <c r="L61" s="72">
        <v>7.8</v>
      </c>
      <c r="M61" s="72">
        <v>7.8</v>
      </c>
      <c r="N61" s="72">
        <v>7.8</v>
      </c>
      <c r="O61" s="72">
        <v>7.8</v>
      </c>
      <c r="P61" s="72">
        <v>11.8</v>
      </c>
      <c r="Q61" s="72">
        <v>11.8</v>
      </c>
      <c r="R61" s="72">
        <v>11.8</v>
      </c>
      <c r="S61" s="72">
        <v>11.8</v>
      </c>
      <c r="T61" s="72">
        <v>11.8</v>
      </c>
      <c r="U61" s="72">
        <v>11.8</v>
      </c>
      <c r="V61" s="72">
        <v>11.8</v>
      </c>
      <c r="W61" s="72">
        <v>11.8</v>
      </c>
      <c r="X61" s="72">
        <v>11.8</v>
      </c>
      <c r="Y61" s="72">
        <v>11.8</v>
      </c>
      <c r="Z61" s="72">
        <v>11.8</v>
      </c>
      <c r="AA61" s="72">
        <v>11.8</v>
      </c>
      <c r="AB61" s="72">
        <v>11.8</v>
      </c>
      <c r="AC61" s="72">
        <v>11.8</v>
      </c>
      <c r="AD61" s="72">
        <v>11.8</v>
      </c>
      <c r="AE61" s="72">
        <v>11.8</v>
      </c>
      <c r="AF61" s="72">
        <v>11.8</v>
      </c>
      <c r="AG61" s="61">
        <v>14.1</v>
      </c>
      <c r="AH61" s="52">
        <f t="shared" si="2"/>
        <v>11.8</v>
      </c>
      <c r="AI61" s="53">
        <f t="shared" si="3"/>
        <v>7.8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3.7</v>
      </c>
      <c r="C62" s="72">
        <v>3.7</v>
      </c>
      <c r="D62" s="72">
        <v>3.7</v>
      </c>
      <c r="E62" s="72">
        <v>3.7</v>
      </c>
      <c r="F62" s="72">
        <v>3.7</v>
      </c>
      <c r="G62" s="72">
        <v>3.7</v>
      </c>
      <c r="H62" s="72">
        <v>3.7</v>
      </c>
      <c r="I62" s="72">
        <v>3.7</v>
      </c>
      <c r="J62" s="72">
        <v>3.7</v>
      </c>
      <c r="K62" s="72">
        <v>3.7</v>
      </c>
      <c r="L62" s="72">
        <v>3.7</v>
      </c>
      <c r="M62" s="72">
        <v>3.7</v>
      </c>
      <c r="N62" s="72">
        <v>3.7</v>
      </c>
      <c r="O62" s="72">
        <v>3.7</v>
      </c>
      <c r="P62" s="72">
        <v>3.7</v>
      </c>
      <c r="Q62" s="72">
        <v>3.7</v>
      </c>
      <c r="R62" s="72">
        <v>3.7</v>
      </c>
      <c r="S62" s="72">
        <v>3.7</v>
      </c>
      <c r="T62" s="72">
        <v>3.7</v>
      </c>
      <c r="U62" s="72">
        <v>3.7</v>
      </c>
      <c r="V62" s="72">
        <v>3.7</v>
      </c>
      <c r="W62" s="72">
        <v>3.7</v>
      </c>
      <c r="X62" s="72">
        <v>3.7</v>
      </c>
      <c r="Y62" s="72">
        <v>3.7</v>
      </c>
      <c r="Z62" s="72">
        <v>3.7</v>
      </c>
      <c r="AA62" s="72">
        <v>3.7</v>
      </c>
      <c r="AB62" s="72">
        <v>3.7</v>
      </c>
      <c r="AC62" s="72">
        <v>3.7</v>
      </c>
      <c r="AD62" s="72">
        <v>3.7</v>
      </c>
      <c r="AE62" s="72">
        <v>3.7</v>
      </c>
      <c r="AF62" s="72">
        <v>3.7</v>
      </c>
      <c r="AG62" s="61">
        <v>14</v>
      </c>
      <c r="AH62" s="52">
        <f t="shared" si="2"/>
        <v>3.7</v>
      </c>
      <c r="AI62" s="53">
        <f t="shared" si="3"/>
        <v>3.7</v>
      </c>
      <c r="AK62" s="54"/>
    </row>
    <row r="63" spans="1:41" x14ac:dyDescent="0.25">
      <c r="A63" s="60" t="s">
        <v>67</v>
      </c>
      <c r="B63" s="72">
        <v>3.4</v>
      </c>
      <c r="C63" s="72">
        <v>3.4</v>
      </c>
      <c r="D63" s="72">
        <v>3.4</v>
      </c>
      <c r="E63" s="72">
        <v>3.4</v>
      </c>
      <c r="F63" s="72">
        <v>3.4</v>
      </c>
      <c r="G63" s="72">
        <v>3.4</v>
      </c>
      <c r="H63" s="72">
        <v>3.4</v>
      </c>
      <c r="I63" s="72">
        <v>3.4</v>
      </c>
      <c r="J63" s="72">
        <v>3.4</v>
      </c>
      <c r="K63" s="72">
        <v>3.4</v>
      </c>
      <c r="L63" s="72">
        <v>3.4</v>
      </c>
      <c r="M63" s="72">
        <v>3.4</v>
      </c>
      <c r="N63" s="72">
        <v>3.4</v>
      </c>
      <c r="O63" s="72">
        <v>3.4</v>
      </c>
      <c r="P63" s="72">
        <v>3.4</v>
      </c>
      <c r="Q63" s="72">
        <v>3.4</v>
      </c>
      <c r="R63" s="72">
        <v>3.4</v>
      </c>
      <c r="S63" s="72">
        <v>3.4</v>
      </c>
      <c r="T63" s="72">
        <v>3.4</v>
      </c>
      <c r="U63" s="72">
        <v>3.4</v>
      </c>
      <c r="V63" s="72">
        <v>3.4</v>
      </c>
      <c r="W63" s="72">
        <v>3.4</v>
      </c>
      <c r="X63" s="72">
        <v>3.4</v>
      </c>
      <c r="Y63" s="72">
        <v>3.4</v>
      </c>
      <c r="Z63" s="72">
        <v>3.4</v>
      </c>
      <c r="AA63" s="72">
        <v>3.4</v>
      </c>
      <c r="AB63" s="72">
        <v>3.4</v>
      </c>
      <c r="AC63" s="72">
        <v>3.4</v>
      </c>
      <c r="AD63" s="72">
        <v>3.4</v>
      </c>
      <c r="AE63" s="72">
        <v>3.4</v>
      </c>
      <c r="AF63" s="72">
        <v>3.4</v>
      </c>
      <c r="AG63" s="61">
        <v>10.050000000000001</v>
      </c>
      <c r="AH63" s="52">
        <f t="shared" si="2"/>
        <v>3.4</v>
      </c>
      <c r="AI63" s="53">
        <f t="shared" si="3"/>
        <v>3.4</v>
      </c>
      <c r="AK63" s="54"/>
    </row>
    <row r="64" spans="1:41" x14ac:dyDescent="0.25">
      <c r="A64" s="60" t="s">
        <v>68</v>
      </c>
      <c r="B64" s="72">
        <v>2.5</v>
      </c>
      <c r="C64" s="72">
        <v>2.5</v>
      </c>
      <c r="D64" s="72">
        <v>2.5</v>
      </c>
      <c r="E64" s="72">
        <v>2.5</v>
      </c>
      <c r="F64" s="72">
        <v>2.5</v>
      </c>
      <c r="G64" s="72">
        <v>2.5</v>
      </c>
      <c r="H64" s="72">
        <v>2.5</v>
      </c>
      <c r="I64" s="72">
        <v>2.5</v>
      </c>
      <c r="J64" s="72">
        <v>2.5</v>
      </c>
      <c r="K64" s="72">
        <v>2.5</v>
      </c>
      <c r="L64" s="72">
        <v>2.5</v>
      </c>
      <c r="M64" s="72">
        <v>2.5</v>
      </c>
      <c r="N64" s="72">
        <v>2.5</v>
      </c>
      <c r="O64" s="72">
        <v>2.5</v>
      </c>
      <c r="P64" s="72">
        <v>2.5</v>
      </c>
      <c r="Q64" s="72">
        <v>2.5</v>
      </c>
      <c r="R64" s="72">
        <v>2.5</v>
      </c>
      <c r="S64" s="72">
        <v>2.5</v>
      </c>
      <c r="T64" s="72">
        <v>2.5</v>
      </c>
      <c r="U64" s="72">
        <v>2.5</v>
      </c>
      <c r="V64" s="72">
        <v>2.5</v>
      </c>
      <c r="W64" s="72">
        <v>2.5</v>
      </c>
      <c r="X64" s="72">
        <v>2.5</v>
      </c>
      <c r="Y64" s="72">
        <v>2.5</v>
      </c>
      <c r="Z64" s="72">
        <v>2.5</v>
      </c>
      <c r="AA64" s="72">
        <v>2.5</v>
      </c>
      <c r="AB64" s="72">
        <v>2.5</v>
      </c>
      <c r="AC64" s="72">
        <v>2.5</v>
      </c>
      <c r="AD64" s="72">
        <v>2.5</v>
      </c>
      <c r="AE64" s="72">
        <v>2.5</v>
      </c>
      <c r="AF64" s="72">
        <v>2.5</v>
      </c>
      <c r="AG64" s="61">
        <v>6.2</v>
      </c>
      <c r="AH64" s="52">
        <f t="shared" si="2"/>
        <v>2.5</v>
      </c>
      <c r="AI64" s="53">
        <f t="shared" si="3"/>
        <v>2.5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3">SUM(B53:B65)</f>
        <v>119.24000000000001</v>
      </c>
      <c r="C66" s="67">
        <f t="shared" si="13"/>
        <v>119.24000000000001</v>
      </c>
      <c r="D66" s="67">
        <f t="shared" si="13"/>
        <v>89.240000000000009</v>
      </c>
      <c r="E66" s="67">
        <f t="shared" si="13"/>
        <v>86.440000000000012</v>
      </c>
      <c r="F66" s="67">
        <f t="shared" si="13"/>
        <v>87.740000000000009</v>
      </c>
      <c r="G66" s="67">
        <f t="shared" si="13"/>
        <v>140.83999999999997</v>
      </c>
      <c r="H66" s="67">
        <f t="shared" si="13"/>
        <v>159.63999999999999</v>
      </c>
      <c r="I66" s="67">
        <f t="shared" si="13"/>
        <v>179.94</v>
      </c>
      <c r="J66" s="67">
        <f t="shared" si="13"/>
        <v>181.24</v>
      </c>
      <c r="K66" s="67">
        <f t="shared" si="13"/>
        <v>179.64</v>
      </c>
      <c r="L66" s="67">
        <f t="shared" si="13"/>
        <v>195.04</v>
      </c>
      <c r="M66" s="67">
        <f t="shared" si="13"/>
        <v>221.84</v>
      </c>
      <c r="N66" s="67">
        <f t="shared" si="13"/>
        <v>229.84</v>
      </c>
      <c r="O66" s="67">
        <f t="shared" si="13"/>
        <v>251.44</v>
      </c>
      <c r="P66" s="67">
        <f t="shared" si="13"/>
        <v>279.04000000000002</v>
      </c>
      <c r="Q66" s="67">
        <f t="shared" si="13"/>
        <v>279.04000000000002</v>
      </c>
      <c r="R66" s="67">
        <f t="shared" si="13"/>
        <v>284.34000000000003</v>
      </c>
      <c r="S66" s="67">
        <f t="shared" si="13"/>
        <v>297.74</v>
      </c>
      <c r="T66" s="67">
        <f t="shared" ref="T66:V66" si="14">SUM(T53:T65)</f>
        <v>267.74</v>
      </c>
      <c r="U66" s="67">
        <f t="shared" si="14"/>
        <v>266.74</v>
      </c>
      <c r="V66" s="67">
        <f t="shared" si="14"/>
        <v>297.74</v>
      </c>
      <c r="W66" s="67">
        <f t="shared" ref="W66:X66" si="15">SUM(W53:W65)</f>
        <v>232.64</v>
      </c>
      <c r="X66" s="67">
        <f t="shared" si="15"/>
        <v>217.83999999999997</v>
      </c>
      <c r="Y66" s="67">
        <f t="shared" ref="Y66" si="16">SUM(Y53:Y65)</f>
        <v>276.24</v>
      </c>
      <c r="Z66" s="67">
        <v>292.24</v>
      </c>
      <c r="AA66" s="67">
        <f t="shared" si="13"/>
        <v>309.24</v>
      </c>
      <c r="AB66" s="67">
        <f t="shared" si="13"/>
        <v>303.24</v>
      </c>
      <c r="AC66" s="67">
        <f t="shared" si="13"/>
        <v>271.44</v>
      </c>
      <c r="AD66" s="67">
        <f t="shared" si="13"/>
        <v>258.74</v>
      </c>
      <c r="AE66" s="67">
        <f t="shared" si="13"/>
        <v>261.74000000000007</v>
      </c>
      <c r="AF66" s="67">
        <f t="shared" si="13"/>
        <v>206.94</v>
      </c>
      <c r="AG66" s="68">
        <f t="shared" si="13"/>
        <v>489.91</v>
      </c>
      <c r="AH66" s="52">
        <f t="shared" si="2"/>
        <v>309.24</v>
      </c>
      <c r="AI66" s="53">
        <f t="shared" si="3"/>
        <v>86.440000000000012</v>
      </c>
      <c r="AK66" s="54"/>
    </row>
    <row r="67" spans="1:40" x14ac:dyDescent="0.25">
      <c r="A67" s="49" t="s">
        <v>71</v>
      </c>
      <c r="B67" s="50">
        <v>50</v>
      </c>
      <c r="C67" s="50">
        <v>50</v>
      </c>
      <c r="D67" s="50">
        <v>50</v>
      </c>
      <c r="E67" s="50">
        <v>40</v>
      </c>
      <c r="F67" s="50">
        <v>50</v>
      </c>
      <c r="G67" s="50">
        <v>40</v>
      </c>
      <c r="H67" s="50">
        <v>40</v>
      </c>
      <c r="I67" s="50">
        <v>34</v>
      </c>
      <c r="J67" s="50">
        <v>40</v>
      </c>
      <c r="K67" s="50">
        <v>50</v>
      </c>
      <c r="L67" s="50">
        <v>60</v>
      </c>
      <c r="M67" s="50">
        <v>40</v>
      </c>
      <c r="N67" s="50">
        <v>40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34</v>
      </c>
      <c r="AK67" s="54"/>
    </row>
    <row r="68" spans="1:40" x14ac:dyDescent="0.25">
      <c r="A68" s="60" t="s">
        <v>72</v>
      </c>
      <c r="B68" s="72">
        <v>22</v>
      </c>
      <c r="C68" s="72">
        <v>22</v>
      </c>
      <c r="D68" s="72">
        <v>28</v>
      </c>
      <c r="E68" s="72">
        <v>18.8</v>
      </c>
      <c r="F68" s="72">
        <v>27.6</v>
      </c>
      <c r="G68" s="72">
        <v>14.2</v>
      </c>
      <c r="H68" s="72">
        <v>16.100000000000001</v>
      </c>
      <c r="I68" s="72">
        <v>22.4</v>
      </c>
      <c r="J68" s="72">
        <v>12.6</v>
      </c>
      <c r="K68" s="72">
        <v>23.7</v>
      </c>
      <c r="L68" s="72">
        <v>28.4</v>
      </c>
      <c r="M68" s="72">
        <v>16.399999999999999</v>
      </c>
      <c r="N68" s="72">
        <v>16.399999999999999</v>
      </c>
      <c r="O68" s="72">
        <v>22.5</v>
      </c>
      <c r="P68" s="72">
        <v>28.3</v>
      </c>
      <c r="Q68" s="72">
        <v>28.3</v>
      </c>
      <c r="R68" s="50">
        <v>28.5</v>
      </c>
      <c r="S68" s="72">
        <v>28.4</v>
      </c>
      <c r="T68" s="72">
        <v>28.4</v>
      </c>
      <c r="U68" s="72">
        <v>28.4</v>
      </c>
      <c r="V68" s="72">
        <v>28.4</v>
      </c>
      <c r="W68" s="72">
        <v>28.4</v>
      </c>
      <c r="X68" s="72">
        <v>28.4</v>
      </c>
      <c r="Y68" s="72">
        <v>28.4</v>
      </c>
      <c r="Z68" s="72">
        <v>28.4</v>
      </c>
      <c r="AA68" s="72">
        <v>28.4</v>
      </c>
      <c r="AB68" s="72">
        <v>28.4</v>
      </c>
      <c r="AC68" s="72">
        <v>28.4</v>
      </c>
      <c r="AD68" s="72">
        <v>28</v>
      </c>
      <c r="AE68" s="72">
        <v>28.5</v>
      </c>
      <c r="AF68" s="72">
        <v>28.5</v>
      </c>
      <c r="AG68" s="61">
        <v>32</v>
      </c>
      <c r="AH68" s="52">
        <f t="shared" si="2"/>
        <v>28.5</v>
      </c>
      <c r="AI68" s="53">
        <f t="shared" si="3"/>
        <v>12.6</v>
      </c>
      <c r="AK68" s="54"/>
    </row>
    <row r="69" spans="1:40" ht="15.75" thickBot="1" x14ac:dyDescent="0.3">
      <c r="A69" s="78" t="s">
        <v>73</v>
      </c>
      <c r="B69" s="74">
        <v>8.3000000000000007</v>
      </c>
      <c r="C69" s="74">
        <v>8.3000000000000007</v>
      </c>
      <c r="D69" s="74">
        <v>10.3</v>
      </c>
      <c r="E69" s="74">
        <v>6.9</v>
      </c>
      <c r="F69" s="74">
        <v>10.1</v>
      </c>
      <c r="G69" s="74">
        <v>5.2</v>
      </c>
      <c r="H69" s="74">
        <v>5.9</v>
      </c>
      <c r="I69" s="74">
        <v>8.1999999999999993</v>
      </c>
      <c r="J69" s="74">
        <v>4.5999999999999996</v>
      </c>
      <c r="K69" s="74">
        <v>8.6999999999999993</v>
      </c>
      <c r="L69" s="74">
        <v>10.4</v>
      </c>
      <c r="M69" s="74">
        <v>10.4</v>
      </c>
      <c r="N69" s="74">
        <v>10.4</v>
      </c>
      <c r="O69" s="74">
        <v>8.1999999999999993</v>
      </c>
      <c r="P69" s="74">
        <v>10.3</v>
      </c>
      <c r="Q69" s="74">
        <v>10.3</v>
      </c>
      <c r="R69" s="50">
        <v>10.4</v>
      </c>
      <c r="S69" s="74">
        <v>10.4</v>
      </c>
      <c r="T69" s="74">
        <v>10.4</v>
      </c>
      <c r="U69" s="74">
        <v>10.4</v>
      </c>
      <c r="V69" s="74">
        <v>10.4</v>
      </c>
      <c r="W69" s="74">
        <v>10.4</v>
      </c>
      <c r="X69" s="74">
        <v>10.4</v>
      </c>
      <c r="Y69" s="74">
        <v>10.4</v>
      </c>
      <c r="Z69" s="74">
        <v>10.4</v>
      </c>
      <c r="AA69" s="74">
        <v>10.4</v>
      </c>
      <c r="AB69" s="74">
        <v>10.4</v>
      </c>
      <c r="AC69" s="74">
        <v>10.4</v>
      </c>
      <c r="AD69" s="74">
        <v>10.199999999999999</v>
      </c>
      <c r="AE69" s="74">
        <v>10.4</v>
      </c>
      <c r="AF69" s="74">
        <v>10.4</v>
      </c>
      <c r="AG69" s="75">
        <v>14</v>
      </c>
      <c r="AH69" s="52">
        <f t="shared" si="2"/>
        <v>10.4</v>
      </c>
      <c r="AI69" s="53">
        <f t="shared" si="3"/>
        <v>4.5999999999999996</v>
      </c>
      <c r="AK69" s="54"/>
    </row>
    <row r="70" spans="1:40" ht="15.75" thickBot="1" x14ac:dyDescent="0.3">
      <c r="A70" s="81" t="s">
        <v>74</v>
      </c>
      <c r="B70" s="67">
        <f t="shared" ref="B70:AF70" si="17">B67+B68+B69</f>
        <v>80.3</v>
      </c>
      <c r="C70" s="67">
        <f t="shared" si="17"/>
        <v>80.3</v>
      </c>
      <c r="D70" s="67">
        <f t="shared" si="17"/>
        <v>88.3</v>
      </c>
      <c r="E70" s="67">
        <f t="shared" si="17"/>
        <v>65.7</v>
      </c>
      <c r="F70" s="67">
        <f t="shared" si="17"/>
        <v>87.699999999999989</v>
      </c>
      <c r="G70" s="67">
        <f t="shared" si="17"/>
        <v>59.400000000000006</v>
      </c>
      <c r="H70" s="67">
        <f t="shared" si="17"/>
        <v>62</v>
      </c>
      <c r="I70" s="67">
        <f t="shared" si="17"/>
        <v>64.599999999999994</v>
      </c>
      <c r="J70" s="67">
        <f t="shared" si="17"/>
        <v>57.2</v>
      </c>
      <c r="K70" s="67">
        <f t="shared" si="17"/>
        <v>82.4</v>
      </c>
      <c r="L70" s="67">
        <f t="shared" si="17"/>
        <v>98.800000000000011</v>
      </c>
      <c r="M70" s="67">
        <f t="shared" si="17"/>
        <v>66.8</v>
      </c>
      <c r="N70" s="67">
        <f t="shared" si="17"/>
        <v>66.8</v>
      </c>
      <c r="O70" s="67">
        <f t="shared" si="17"/>
        <v>90.7</v>
      </c>
      <c r="P70" s="67">
        <f t="shared" si="17"/>
        <v>98.6</v>
      </c>
      <c r="Q70" s="67">
        <f t="shared" si="17"/>
        <v>98.6</v>
      </c>
      <c r="R70" s="67">
        <f t="shared" si="17"/>
        <v>98.9</v>
      </c>
      <c r="S70" s="67">
        <f t="shared" si="17"/>
        <v>98.800000000000011</v>
      </c>
      <c r="T70" s="67">
        <f t="shared" ref="T70:V70" si="18">T67+T68+T69</f>
        <v>98.800000000000011</v>
      </c>
      <c r="U70" s="67">
        <f t="shared" si="18"/>
        <v>98.800000000000011</v>
      </c>
      <c r="V70" s="67">
        <f t="shared" si="18"/>
        <v>98.800000000000011</v>
      </c>
      <c r="W70" s="67">
        <f t="shared" ref="W70:X70" si="19">W67+W68+W69</f>
        <v>98.800000000000011</v>
      </c>
      <c r="X70" s="67">
        <f t="shared" si="19"/>
        <v>98.800000000000011</v>
      </c>
      <c r="Y70" s="67">
        <f t="shared" ref="Y70" si="20">Y67+Y68+Y69</f>
        <v>98.800000000000011</v>
      </c>
      <c r="Z70" s="67">
        <v>98.800000000000011</v>
      </c>
      <c r="AA70" s="67">
        <f t="shared" ref="AA70" si="21">AA67+AA68+AA69</f>
        <v>98.800000000000011</v>
      </c>
      <c r="AB70" s="67">
        <f t="shared" si="17"/>
        <v>98.800000000000011</v>
      </c>
      <c r="AC70" s="67">
        <f t="shared" si="17"/>
        <v>98.800000000000011</v>
      </c>
      <c r="AD70" s="67">
        <f t="shared" si="17"/>
        <v>98.2</v>
      </c>
      <c r="AE70" s="67">
        <f t="shared" si="17"/>
        <v>98.9</v>
      </c>
      <c r="AF70" s="67">
        <f t="shared" si="17"/>
        <v>98.9</v>
      </c>
      <c r="AG70" s="68">
        <f>SUM(AG67:AG69)</f>
        <v>106</v>
      </c>
      <c r="AH70" s="52">
        <f t="shared" si="2"/>
        <v>98.9</v>
      </c>
      <c r="AI70" s="53">
        <f t="shared" si="3"/>
        <v>57.2</v>
      </c>
      <c r="AK70" s="54"/>
    </row>
    <row r="71" spans="1:40" x14ac:dyDescent="0.25">
      <c r="A71" s="49" t="s">
        <v>75</v>
      </c>
      <c r="B71" s="50">
        <v>56</v>
      </c>
      <c r="C71" s="50">
        <v>61</v>
      </c>
      <c r="D71" s="50">
        <v>72</v>
      </c>
      <c r="E71" s="50">
        <v>68.2</v>
      </c>
      <c r="F71" s="50">
        <v>63.2</v>
      </c>
      <c r="G71" s="50">
        <v>72</v>
      </c>
      <c r="H71" s="50">
        <v>68</v>
      </c>
      <c r="I71" s="50">
        <v>57.7</v>
      </c>
      <c r="J71" s="50">
        <v>45</v>
      </c>
      <c r="K71" s="50">
        <v>45.7</v>
      </c>
      <c r="L71" s="50">
        <v>49.4</v>
      </c>
      <c r="M71" s="50">
        <v>44</v>
      </c>
      <c r="N71" s="50">
        <v>59</v>
      </c>
      <c r="O71" s="50">
        <v>44</v>
      </c>
      <c r="P71" s="50">
        <v>53.3</v>
      </c>
      <c r="Q71" s="50">
        <v>59.2</v>
      </c>
      <c r="R71" s="50">
        <v>63.8</v>
      </c>
      <c r="S71" s="50">
        <v>61.1</v>
      </c>
      <c r="T71" s="50">
        <v>61.1</v>
      </c>
      <c r="U71" s="50">
        <v>61.1</v>
      </c>
      <c r="V71" s="50">
        <v>61.1</v>
      </c>
      <c r="W71" s="50">
        <v>67.7</v>
      </c>
      <c r="X71" s="50">
        <v>61</v>
      </c>
      <c r="Y71" s="50">
        <v>58.1</v>
      </c>
      <c r="Z71" s="50">
        <v>62</v>
      </c>
      <c r="AA71" s="50">
        <v>62.5</v>
      </c>
      <c r="AB71" s="50">
        <v>42.3</v>
      </c>
      <c r="AC71" s="50">
        <v>44.5</v>
      </c>
      <c r="AD71" s="50">
        <v>44.5</v>
      </c>
      <c r="AE71" s="50">
        <v>34.200000000000003</v>
      </c>
      <c r="AF71" s="50">
        <v>43.2</v>
      </c>
      <c r="AG71" s="56"/>
      <c r="AH71" s="52">
        <f t="shared" si="2"/>
        <v>72</v>
      </c>
      <c r="AI71" s="53">
        <f t="shared" si="3"/>
        <v>34.200000000000003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290</v>
      </c>
      <c r="C73" s="72">
        <v>310</v>
      </c>
      <c r="D73" s="72">
        <v>317</v>
      </c>
      <c r="E73" s="72">
        <v>330</v>
      </c>
      <c r="F73" s="72">
        <v>318</v>
      </c>
      <c r="G73" s="72">
        <v>328</v>
      </c>
      <c r="H73" s="72">
        <v>300</v>
      </c>
      <c r="I73" s="72">
        <v>284</v>
      </c>
      <c r="J73" s="72">
        <v>300</v>
      </c>
      <c r="K73" s="72">
        <v>294.39999999999998</v>
      </c>
      <c r="L73" s="72">
        <v>308.39999999999998</v>
      </c>
      <c r="M73" s="72">
        <v>318</v>
      </c>
      <c r="N73" s="72">
        <v>336</v>
      </c>
      <c r="O73" s="72">
        <v>332</v>
      </c>
      <c r="P73" s="72">
        <v>369</v>
      </c>
      <c r="Q73" s="72">
        <v>372</v>
      </c>
      <c r="R73" s="72">
        <v>330.6</v>
      </c>
      <c r="S73" s="72">
        <f>370.8</f>
        <v>370.8</v>
      </c>
      <c r="T73" s="72">
        <v>380</v>
      </c>
      <c r="U73" s="72">
        <v>390</v>
      </c>
      <c r="V73" s="72">
        <f t="shared" ref="V73" si="22">370.8</f>
        <v>370.8</v>
      </c>
      <c r="W73" s="72">
        <v>392</v>
      </c>
      <c r="X73" s="72">
        <v>351.1</v>
      </c>
      <c r="Y73" s="72">
        <v>353</v>
      </c>
      <c r="Z73" s="72">
        <v>332</v>
      </c>
      <c r="AA73" s="72">
        <v>292</v>
      </c>
      <c r="AB73" s="72">
        <v>276</v>
      </c>
      <c r="AC73" s="72">
        <v>289</v>
      </c>
      <c r="AD73" s="72">
        <v>236.7</v>
      </c>
      <c r="AE73" s="72">
        <v>296</v>
      </c>
      <c r="AF73" s="72">
        <v>294.3</v>
      </c>
      <c r="AG73" s="82"/>
      <c r="AH73" s="52">
        <f t="shared" si="2"/>
        <v>392</v>
      </c>
      <c r="AI73" s="53">
        <f t="shared" si="3"/>
        <v>236.7</v>
      </c>
      <c r="AK73" s="54"/>
    </row>
    <row r="74" spans="1:40" x14ac:dyDescent="0.25">
      <c r="A74" s="60" t="s">
        <v>78</v>
      </c>
      <c r="B74" s="72">
        <v>55</v>
      </c>
      <c r="C74" s="72">
        <v>50</v>
      </c>
      <c r="D74" s="72">
        <v>50</v>
      </c>
      <c r="E74" s="83">
        <v>52</v>
      </c>
      <c r="F74" s="83">
        <v>52</v>
      </c>
      <c r="G74" s="83">
        <v>52</v>
      </c>
      <c r="H74" s="83">
        <v>53.3</v>
      </c>
      <c r="I74" s="83">
        <v>52.1</v>
      </c>
      <c r="J74" s="83">
        <v>57.5</v>
      </c>
      <c r="K74" s="83">
        <v>55.7</v>
      </c>
      <c r="L74" s="83">
        <v>56.2</v>
      </c>
      <c r="M74" s="83">
        <v>56.8</v>
      </c>
      <c r="N74" s="83">
        <v>56.8</v>
      </c>
      <c r="O74" s="83">
        <v>56.8</v>
      </c>
      <c r="P74" s="83">
        <v>52.6</v>
      </c>
      <c r="Q74" s="83">
        <v>61</v>
      </c>
      <c r="R74" s="83">
        <v>61</v>
      </c>
      <c r="S74" s="83">
        <v>61</v>
      </c>
      <c r="T74" s="83">
        <v>61</v>
      </c>
      <c r="U74" s="83">
        <v>61</v>
      </c>
      <c r="V74" s="83">
        <v>61</v>
      </c>
      <c r="W74" s="83">
        <v>61</v>
      </c>
      <c r="X74" s="83">
        <v>47.1</v>
      </c>
      <c r="Y74" s="83">
        <v>55.6</v>
      </c>
      <c r="Z74" s="83">
        <v>55.6</v>
      </c>
      <c r="AA74" s="83">
        <v>55.6</v>
      </c>
      <c r="AB74" s="72">
        <v>57</v>
      </c>
      <c r="AC74" s="72">
        <v>58.5</v>
      </c>
      <c r="AD74" s="72">
        <v>56.7</v>
      </c>
      <c r="AE74" s="72">
        <v>56.7</v>
      </c>
      <c r="AF74" s="72">
        <v>56.7</v>
      </c>
      <c r="AG74" s="82"/>
      <c r="AH74" s="52">
        <f t="shared" si="2"/>
        <v>61</v>
      </c>
      <c r="AI74" s="53">
        <f t="shared" si="3"/>
        <v>47.1</v>
      </c>
      <c r="AK74" s="54"/>
    </row>
    <row r="75" spans="1:40" x14ac:dyDescent="0.25">
      <c r="A75" s="60" t="s">
        <v>79</v>
      </c>
      <c r="B75" s="50">
        <v>29</v>
      </c>
      <c r="C75" s="50">
        <v>27</v>
      </c>
      <c r="D75" s="50">
        <v>26</v>
      </c>
      <c r="E75" s="50">
        <v>25.4</v>
      </c>
      <c r="F75" s="50">
        <v>24.2</v>
      </c>
      <c r="G75" s="50">
        <v>26.2</v>
      </c>
      <c r="H75" s="50">
        <v>25.7</v>
      </c>
      <c r="I75" s="50">
        <v>26.6</v>
      </c>
      <c r="J75" s="50">
        <v>25.9</v>
      </c>
      <c r="K75" s="50">
        <v>27.9</v>
      </c>
      <c r="L75" s="50">
        <v>30.4</v>
      </c>
      <c r="M75" s="50">
        <v>30.9</v>
      </c>
      <c r="N75" s="50">
        <v>30.9</v>
      </c>
      <c r="O75" s="50">
        <v>36.9</v>
      </c>
      <c r="P75" s="50">
        <v>38</v>
      </c>
      <c r="Q75" s="50">
        <v>36.799999999999997</v>
      </c>
      <c r="R75" s="50">
        <v>36.799999999999997</v>
      </c>
      <c r="S75" s="50">
        <v>36.799999999999997</v>
      </c>
      <c r="T75" s="50">
        <v>36.799999999999997</v>
      </c>
      <c r="U75" s="50">
        <v>36.799999999999997</v>
      </c>
      <c r="V75" s="50">
        <v>36.799999999999997</v>
      </c>
      <c r="W75" s="50">
        <v>36.799999999999997</v>
      </c>
      <c r="X75" s="50">
        <v>23</v>
      </c>
      <c r="Y75" s="50">
        <v>21.8</v>
      </c>
      <c r="Z75" s="50">
        <v>24.3</v>
      </c>
      <c r="AA75" s="50">
        <v>21.8</v>
      </c>
      <c r="AB75" s="50">
        <v>23.2</v>
      </c>
      <c r="AC75" s="50">
        <v>23.1</v>
      </c>
      <c r="AD75" s="50">
        <v>24.1</v>
      </c>
      <c r="AE75" s="50">
        <v>23.3</v>
      </c>
      <c r="AF75" s="50">
        <v>25.6</v>
      </c>
      <c r="AG75" s="82"/>
      <c r="AH75" s="52">
        <f t="shared" ref="AH75:AH117" si="23">MAX(B75:AF75)</f>
        <v>38</v>
      </c>
      <c r="AI75" s="53">
        <f t="shared" ref="AI75:AI117" si="24">MIN(B75:AF75)</f>
        <v>21.8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23"/>
        <v>0</v>
      </c>
      <c r="AI76" s="53">
        <f t="shared" si="24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23"/>
        <v>0</v>
      </c>
      <c r="AI77" s="53">
        <f t="shared" si="24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23"/>
        <v>0</v>
      </c>
      <c r="AI78" s="53">
        <f t="shared" si="24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23"/>
        <v>0</v>
      </c>
      <c r="AI79" s="53">
        <f t="shared" si="24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23"/>
        <v>0</v>
      </c>
      <c r="AI80" s="53">
        <f t="shared" si="24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23"/>
        <v>0</v>
      </c>
      <c r="AI81" s="53">
        <f t="shared" si="24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25">SUMIF(B71:B81,"&gt;0")</f>
        <v>430</v>
      </c>
      <c r="C82" s="67">
        <f t="shared" si="25"/>
        <v>448</v>
      </c>
      <c r="D82" s="67">
        <f t="shared" si="25"/>
        <v>465</v>
      </c>
      <c r="E82" s="67">
        <f t="shared" si="25"/>
        <v>475.59999999999997</v>
      </c>
      <c r="F82" s="67">
        <f t="shared" si="25"/>
        <v>457.4</v>
      </c>
      <c r="G82" s="67">
        <f t="shared" si="25"/>
        <v>478.2</v>
      </c>
      <c r="H82" s="67">
        <f t="shared" si="25"/>
        <v>447</v>
      </c>
      <c r="I82" s="67">
        <f t="shared" si="25"/>
        <v>420.40000000000003</v>
      </c>
      <c r="J82" s="67">
        <f t="shared" si="25"/>
        <v>428.4</v>
      </c>
      <c r="K82" s="67">
        <f t="shared" si="25"/>
        <v>423.69999999999993</v>
      </c>
      <c r="L82" s="67">
        <f t="shared" si="25"/>
        <v>444.39999999999992</v>
      </c>
      <c r="M82" s="67">
        <f t="shared" si="25"/>
        <v>449.7</v>
      </c>
      <c r="N82" s="67">
        <f t="shared" si="25"/>
        <v>482.7</v>
      </c>
      <c r="O82" s="67">
        <f t="shared" si="25"/>
        <v>469.7</v>
      </c>
      <c r="P82" s="67">
        <f t="shared" si="25"/>
        <v>512.90000000000009</v>
      </c>
      <c r="Q82" s="67">
        <f t="shared" si="25"/>
        <v>529</v>
      </c>
      <c r="R82" s="67">
        <f t="shared" si="25"/>
        <v>492.20000000000005</v>
      </c>
      <c r="S82" s="67">
        <f t="shared" si="25"/>
        <v>529.70000000000005</v>
      </c>
      <c r="T82" s="67">
        <f t="shared" ref="T82:V82" si="26">SUMIF(T71:T81,"&gt;0")</f>
        <v>538.9</v>
      </c>
      <c r="U82" s="67">
        <f t="shared" si="26"/>
        <v>548.9</v>
      </c>
      <c r="V82" s="67">
        <f t="shared" si="26"/>
        <v>529.70000000000005</v>
      </c>
      <c r="W82" s="67">
        <f t="shared" si="25"/>
        <v>557.5</v>
      </c>
      <c r="X82" s="67">
        <f t="shared" ref="X82:Y82" si="27">SUMIF(X71:X81,"&gt;0")</f>
        <v>482.20000000000005</v>
      </c>
      <c r="Y82" s="67">
        <f t="shared" si="27"/>
        <v>488.50000000000006</v>
      </c>
      <c r="Z82" s="67">
        <v>473.90000000000003</v>
      </c>
      <c r="AA82" s="67">
        <f t="shared" si="25"/>
        <v>431.90000000000003</v>
      </c>
      <c r="AB82" s="67">
        <f t="shared" si="25"/>
        <v>398.5</v>
      </c>
      <c r="AC82" s="67">
        <f t="shared" si="25"/>
        <v>415.1</v>
      </c>
      <c r="AD82" s="67">
        <f t="shared" si="25"/>
        <v>362</v>
      </c>
      <c r="AE82" s="67">
        <f t="shared" si="25"/>
        <v>410.2</v>
      </c>
      <c r="AF82" s="67">
        <f t="shared" si="25"/>
        <v>419.8</v>
      </c>
      <c r="AG82" s="95">
        <f>SUM(AG71:AG81)</f>
        <v>0</v>
      </c>
      <c r="AH82" s="52">
        <f t="shared" si="23"/>
        <v>557.5</v>
      </c>
      <c r="AI82" s="53">
        <f t="shared" si="24"/>
        <v>362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23"/>
        <v>0</v>
      </c>
      <c r="AI83" s="53">
        <f t="shared" si="24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23"/>
        <v>0</v>
      </c>
      <c r="AI84" s="53">
        <f t="shared" si="24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23"/>
        <v>0</v>
      </c>
      <c r="AI85" s="53">
        <f t="shared" si="24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23"/>
        <v>0</v>
      </c>
      <c r="AI86" s="53">
        <f t="shared" si="24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28">B48+B52+B70+B66+B82+B86</f>
        <v>1166.44</v>
      </c>
      <c r="C87" s="102">
        <f t="shared" si="28"/>
        <v>1204.44</v>
      </c>
      <c r="D87" s="102">
        <f t="shared" si="28"/>
        <v>1169.44</v>
      </c>
      <c r="E87" s="102">
        <f t="shared" si="28"/>
        <v>1164.6400000000001</v>
      </c>
      <c r="F87" s="102">
        <f t="shared" si="28"/>
        <v>1179.8400000000001</v>
      </c>
      <c r="G87" s="102">
        <f t="shared" si="28"/>
        <v>1210.44</v>
      </c>
      <c r="H87" s="102">
        <f t="shared" si="28"/>
        <v>1234.1399999999999</v>
      </c>
      <c r="I87" s="102">
        <f t="shared" si="28"/>
        <v>1205.44</v>
      </c>
      <c r="J87" s="102">
        <f t="shared" si="28"/>
        <v>1237.3400000000001</v>
      </c>
      <c r="K87" s="102">
        <f t="shared" si="28"/>
        <v>1266.2399999999998</v>
      </c>
      <c r="L87" s="102">
        <f t="shared" si="28"/>
        <v>1318.7399999999998</v>
      </c>
      <c r="M87" s="102">
        <f t="shared" si="28"/>
        <v>1308.54</v>
      </c>
      <c r="N87" s="102">
        <f t="shared" si="28"/>
        <v>1349.54</v>
      </c>
      <c r="O87" s="102">
        <f t="shared" si="28"/>
        <v>1382.0400000000002</v>
      </c>
      <c r="P87" s="102">
        <f t="shared" si="28"/>
        <v>1499.8400000000001</v>
      </c>
      <c r="Q87" s="102">
        <f t="shared" si="28"/>
        <v>1521.94</v>
      </c>
      <c r="R87" s="102">
        <f t="shared" si="28"/>
        <v>1480.74</v>
      </c>
      <c r="S87" s="102">
        <f t="shared" si="28"/>
        <v>1515.54</v>
      </c>
      <c r="T87" s="102">
        <f t="shared" ref="T87:V87" si="29">T48+T52+T70+T66+T82+T86</f>
        <v>1494.7399999999998</v>
      </c>
      <c r="U87" s="102">
        <f t="shared" si="29"/>
        <v>1503.7399999999998</v>
      </c>
      <c r="V87" s="102">
        <f t="shared" si="29"/>
        <v>1485.5400000000002</v>
      </c>
      <c r="W87" s="102">
        <f t="shared" si="28"/>
        <v>1448.2400000000002</v>
      </c>
      <c r="X87" s="102">
        <f t="shared" ref="X87:Y87" si="30">X48+X52+X70+X66+X82+X86</f>
        <v>1328.14</v>
      </c>
      <c r="Y87" s="102">
        <f t="shared" si="30"/>
        <v>1442.74</v>
      </c>
      <c r="Z87" s="102">
        <v>1444.14</v>
      </c>
      <c r="AA87" s="102">
        <f t="shared" si="28"/>
        <v>1419.14</v>
      </c>
      <c r="AB87" s="102">
        <f t="shared" si="28"/>
        <v>1372.24</v>
      </c>
      <c r="AC87" s="102">
        <f t="shared" si="28"/>
        <v>1331.8400000000001</v>
      </c>
      <c r="AD87" s="102">
        <f t="shared" si="28"/>
        <v>1265.44</v>
      </c>
      <c r="AE87" s="102">
        <f t="shared" si="28"/>
        <v>1317.3400000000001</v>
      </c>
      <c r="AF87" s="102">
        <f t="shared" si="28"/>
        <v>1272.1399999999999</v>
      </c>
      <c r="AG87" s="68">
        <f t="shared" si="28"/>
        <v>2065.09</v>
      </c>
      <c r="AH87" s="52">
        <f>MAX(B87:AF87)</f>
        <v>1521.94</v>
      </c>
      <c r="AI87" s="53">
        <f>MIN(B87:AF87)</f>
        <v>1164.6400000000001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>
        <v>100</v>
      </c>
      <c r="J88" s="104">
        <v>170</v>
      </c>
      <c r="K88" s="104">
        <v>170</v>
      </c>
      <c r="L88" s="104">
        <v>170</v>
      </c>
      <c r="M88" s="104">
        <v>150</v>
      </c>
      <c r="N88" s="104">
        <v>150</v>
      </c>
      <c r="O88" s="104"/>
      <c r="P88" s="104"/>
      <c r="Q88" s="104"/>
      <c r="R88" s="104"/>
      <c r="S88" s="104"/>
      <c r="T88" s="104"/>
      <c r="U88" s="104">
        <v>20</v>
      </c>
      <c r="V88" s="104"/>
      <c r="W88" s="104"/>
      <c r="X88" s="104">
        <v>180</v>
      </c>
      <c r="Y88" s="104">
        <v>180</v>
      </c>
      <c r="Z88" s="104">
        <v>210</v>
      </c>
      <c r="AA88" s="104">
        <v>200</v>
      </c>
      <c r="AB88" s="104">
        <v>200</v>
      </c>
      <c r="AC88" s="104">
        <v>200</v>
      </c>
      <c r="AD88" s="104"/>
      <c r="AE88" s="104"/>
      <c r="AF88" s="104"/>
      <c r="AG88" s="95"/>
      <c r="AH88" s="52">
        <f t="shared" si="23"/>
        <v>210</v>
      </c>
      <c r="AI88" s="53">
        <f t="shared" si="24"/>
        <v>20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31">B87+B88</f>
        <v>1166.44</v>
      </c>
      <c r="C89" s="102">
        <f t="shared" si="31"/>
        <v>1204.44</v>
      </c>
      <c r="D89" s="102">
        <f t="shared" si="31"/>
        <v>1169.44</v>
      </c>
      <c r="E89" s="102">
        <f t="shared" si="31"/>
        <v>1164.6400000000001</v>
      </c>
      <c r="F89" s="102">
        <f t="shared" si="31"/>
        <v>1179.8400000000001</v>
      </c>
      <c r="G89" s="102">
        <f t="shared" si="31"/>
        <v>1210.44</v>
      </c>
      <c r="H89" s="102">
        <f t="shared" si="31"/>
        <v>1234.1399999999999</v>
      </c>
      <c r="I89" s="102">
        <f t="shared" si="31"/>
        <v>1305.44</v>
      </c>
      <c r="J89" s="102">
        <f t="shared" si="31"/>
        <v>1407.3400000000001</v>
      </c>
      <c r="K89" s="102">
        <f t="shared" si="31"/>
        <v>1436.2399999999998</v>
      </c>
      <c r="L89" s="102">
        <f t="shared" si="31"/>
        <v>1488.7399999999998</v>
      </c>
      <c r="M89" s="102">
        <f t="shared" si="31"/>
        <v>1458.54</v>
      </c>
      <c r="N89" s="102">
        <f t="shared" si="31"/>
        <v>1499.54</v>
      </c>
      <c r="O89" s="102">
        <f t="shared" si="31"/>
        <v>1382.0400000000002</v>
      </c>
      <c r="P89" s="102">
        <f t="shared" si="31"/>
        <v>1499.8400000000001</v>
      </c>
      <c r="Q89" s="102">
        <f t="shared" si="31"/>
        <v>1521.94</v>
      </c>
      <c r="R89" s="102">
        <f t="shared" si="31"/>
        <v>1480.74</v>
      </c>
      <c r="S89" s="102">
        <f t="shared" si="31"/>
        <v>1515.54</v>
      </c>
      <c r="T89" s="102">
        <f t="shared" ref="T89:V89" si="32">T87+T88</f>
        <v>1494.7399999999998</v>
      </c>
      <c r="U89" s="102">
        <f t="shared" si="32"/>
        <v>1523.7399999999998</v>
      </c>
      <c r="V89" s="102">
        <f t="shared" si="32"/>
        <v>1485.5400000000002</v>
      </c>
      <c r="W89" s="102">
        <f t="shared" si="31"/>
        <v>1448.2400000000002</v>
      </c>
      <c r="X89" s="102">
        <f t="shared" ref="X89:Y89" si="33">X87+X88</f>
        <v>1508.14</v>
      </c>
      <c r="Y89" s="102">
        <f t="shared" si="33"/>
        <v>1622.74</v>
      </c>
      <c r="Z89" s="102">
        <v>1654.14</v>
      </c>
      <c r="AA89" s="102">
        <f t="shared" si="31"/>
        <v>1619.14</v>
      </c>
      <c r="AB89" s="102">
        <f t="shared" si="31"/>
        <v>1572.24</v>
      </c>
      <c r="AC89" s="102">
        <f t="shared" si="31"/>
        <v>1531.8400000000001</v>
      </c>
      <c r="AD89" s="102">
        <f t="shared" si="31"/>
        <v>1265.44</v>
      </c>
      <c r="AE89" s="102">
        <f t="shared" si="31"/>
        <v>1317.3400000000001</v>
      </c>
      <c r="AF89" s="102">
        <f t="shared" si="31"/>
        <v>1272.1399999999999</v>
      </c>
      <c r="AG89" s="95">
        <f>AG86+AG82+AG70+AG66+AG48+AG88</f>
        <v>1526.99</v>
      </c>
      <c r="AH89" s="52">
        <f t="shared" si="23"/>
        <v>1654.14</v>
      </c>
      <c r="AI89" s="53">
        <f t="shared" si="24"/>
        <v>1164.6400000000001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34">B89-B97</f>
        <v>1166.44</v>
      </c>
      <c r="C90" s="102">
        <f t="shared" si="34"/>
        <v>1204.44</v>
      </c>
      <c r="D90" s="102">
        <f t="shared" si="34"/>
        <v>1169.44</v>
      </c>
      <c r="E90" s="102">
        <f t="shared" si="34"/>
        <v>1164.6400000000001</v>
      </c>
      <c r="F90" s="102">
        <f t="shared" si="34"/>
        <v>1179.8400000000001</v>
      </c>
      <c r="G90" s="102">
        <f t="shared" si="34"/>
        <v>1210.44</v>
      </c>
      <c r="H90" s="102">
        <f t="shared" si="34"/>
        <v>1234.1399999999999</v>
      </c>
      <c r="I90" s="102">
        <f t="shared" si="34"/>
        <v>1305.44</v>
      </c>
      <c r="J90" s="102">
        <f t="shared" si="34"/>
        <v>1407.3400000000001</v>
      </c>
      <c r="K90" s="102">
        <f t="shared" si="34"/>
        <v>1436.2399999999998</v>
      </c>
      <c r="L90" s="102">
        <f t="shared" si="34"/>
        <v>1488.7399999999998</v>
      </c>
      <c r="M90" s="102">
        <f t="shared" si="34"/>
        <v>1458.54</v>
      </c>
      <c r="N90" s="102">
        <f t="shared" si="34"/>
        <v>1499.54</v>
      </c>
      <c r="O90" s="102">
        <f t="shared" si="34"/>
        <v>1382.0400000000002</v>
      </c>
      <c r="P90" s="102">
        <f t="shared" si="34"/>
        <v>1499.8400000000001</v>
      </c>
      <c r="Q90" s="102">
        <f t="shared" si="34"/>
        <v>1521.94</v>
      </c>
      <c r="R90" s="102">
        <f t="shared" si="34"/>
        <v>1480.74</v>
      </c>
      <c r="S90" s="102">
        <f t="shared" si="34"/>
        <v>1515.54</v>
      </c>
      <c r="T90" s="102">
        <f t="shared" ref="T90:V90" si="35">T89-T97</f>
        <v>1494.7399999999998</v>
      </c>
      <c r="U90" s="102">
        <f t="shared" si="35"/>
        <v>1523.7399999999998</v>
      </c>
      <c r="V90" s="102">
        <f t="shared" si="35"/>
        <v>1485.5400000000002</v>
      </c>
      <c r="W90" s="102">
        <f t="shared" si="34"/>
        <v>1448.2400000000002</v>
      </c>
      <c r="X90" s="102">
        <f t="shared" ref="X90:Y90" si="36">X89-X97</f>
        <v>1508.14</v>
      </c>
      <c r="Y90" s="102">
        <f t="shared" si="36"/>
        <v>1622.74</v>
      </c>
      <c r="Z90" s="102">
        <v>1653.14</v>
      </c>
      <c r="AA90" s="102">
        <f t="shared" si="34"/>
        <v>1619.14</v>
      </c>
      <c r="AB90" s="102">
        <f t="shared" si="34"/>
        <v>1572.24</v>
      </c>
      <c r="AC90" s="102">
        <f t="shared" si="34"/>
        <v>1531.8400000000001</v>
      </c>
      <c r="AD90" s="102">
        <f t="shared" si="34"/>
        <v>1265.44</v>
      </c>
      <c r="AE90" s="102">
        <f t="shared" si="34"/>
        <v>1317.3400000000001</v>
      </c>
      <c r="AF90" s="102">
        <f t="shared" si="34"/>
        <v>1272.1399999999999</v>
      </c>
      <c r="AG90" s="95"/>
      <c r="AH90" s="52">
        <f t="shared" si="23"/>
        <v>1653.14</v>
      </c>
      <c r="AI90" s="53">
        <f t="shared" si="24"/>
        <v>1164.6400000000001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23"/>
        <v>0</v>
      </c>
      <c r="AI91" s="53">
        <f t="shared" si="24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23"/>
        <v>0</v>
      </c>
      <c r="AI92" s="53">
        <f t="shared" si="24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23"/>
        <v>0</v>
      </c>
      <c r="AI93" s="53">
        <f t="shared" si="24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23"/>
        <v>0</v>
      </c>
      <c r="AI94" s="53">
        <f t="shared" si="24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23"/>
        <v>0</v>
      </c>
      <c r="AI95" s="53">
        <f t="shared" si="24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1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23"/>
        <v>1</v>
      </c>
      <c r="AI96" s="53">
        <f t="shared" si="24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1</v>
      </c>
      <c r="AA97" s="67"/>
      <c r="AB97" s="67"/>
      <c r="AC97" s="67"/>
      <c r="AD97" s="67"/>
      <c r="AE97" s="67"/>
      <c r="AF97" s="67"/>
      <c r="AG97" s="95"/>
      <c r="AH97" s="52">
        <f t="shared" si="23"/>
        <v>1</v>
      </c>
      <c r="AI97" s="53">
        <f t="shared" si="24"/>
        <v>1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37">B82-B97</f>
        <v>430</v>
      </c>
      <c r="C98" s="67">
        <f t="shared" si="37"/>
        <v>448</v>
      </c>
      <c r="D98" s="67">
        <f t="shared" si="37"/>
        <v>465</v>
      </c>
      <c r="E98" s="67">
        <f t="shared" si="37"/>
        <v>475.59999999999997</v>
      </c>
      <c r="F98" s="67">
        <f t="shared" si="37"/>
        <v>457.4</v>
      </c>
      <c r="G98" s="67">
        <f t="shared" si="37"/>
        <v>478.2</v>
      </c>
      <c r="H98" s="67">
        <f t="shared" si="37"/>
        <v>447</v>
      </c>
      <c r="I98" s="67">
        <f t="shared" si="37"/>
        <v>420.40000000000003</v>
      </c>
      <c r="J98" s="67">
        <f t="shared" si="37"/>
        <v>428.4</v>
      </c>
      <c r="K98" s="67">
        <f t="shared" si="37"/>
        <v>423.69999999999993</v>
      </c>
      <c r="L98" s="67">
        <f t="shared" si="37"/>
        <v>444.39999999999992</v>
      </c>
      <c r="M98" s="67">
        <f t="shared" si="37"/>
        <v>449.7</v>
      </c>
      <c r="N98" s="67">
        <f t="shared" si="37"/>
        <v>482.7</v>
      </c>
      <c r="O98" s="67">
        <f t="shared" si="37"/>
        <v>469.7</v>
      </c>
      <c r="P98" s="67">
        <f t="shared" si="37"/>
        <v>512.90000000000009</v>
      </c>
      <c r="Q98" s="67">
        <f t="shared" si="37"/>
        <v>529</v>
      </c>
      <c r="R98" s="67">
        <f t="shared" si="37"/>
        <v>492.20000000000005</v>
      </c>
      <c r="S98" s="67">
        <f t="shared" si="37"/>
        <v>529.70000000000005</v>
      </c>
      <c r="T98" s="67">
        <f t="shared" ref="T98:V98" si="38">T82-T97</f>
        <v>538.9</v>
      </c>
      <c r="U98" s="67">
        <f t="shared" si="38"/>
        <v>548.9</v>
      </c>
      <c r="V98" s="67">
        <f t="shared" si="38"/>
        <v>529.70000000000005</v>
      </c>
      <c r="W98" s="67">
        <f t="shared" si="37"/>
        <v>557.5</v>
      </c>
      <c r="X98" s="67">
        <f t="shared" ref="X98" si="39">X82-X97</f>
        <v>482.20000000000005</v>
      </c>
      <c r="Y98" s="67">
        <f t="shared" si="37"/>
        <v>488.50000000000006</v>
      </c>
      <c r="Z98" s="67">
        <v>472.90000000000003</v>
      </c>
      <c r="AA98" s="67">
        <f t="shared" si="37"/>
        <v>431.90000000000003</v>
      </c>
      <c r="AB98" s="67">
        <f t="shared" si="37"/>
        <v>398.5</v>
      </c>
      <c r="AC98" s="67">
        <f t="shared" si="37"/>
        <v>415.1</v>
      </c>
      <c r="AD98" s="67">
        <f t="shared" si="37"/>
        <v>362</v>
      </c>
      <c r="AE98" s="67">
        <f t="shared" si="37"/>
        <v>410.2</v>
      </c>
      <c r="AF98" s="67">
        <f t="shared" si="37"/>
        <v>419.8</v>
      </c>
      <c r="AG98" s="95"/>
      <c r="AH98" s="52">
        <f t="shared" si="23"/>
        <v>557.5</v>
      </c>
      <c r="AI98" s="53">
        <f t="shared" si="24"/>
        <v>362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49.997999999999998</v>
      </c>
      <c r="C99" s="108">
        <v>50.014000000000003</v>
      </c>
      <c r="D99" s="108">
        <v>50.027000000000001</v>
      </c>
      <c r="E99" s="108">
        <v>50.01</v>
      </c>
      <c r="F99" s="108">
        <v>49.972999999999999</v>
      </c>
      <c r="G99" s="108">
        <v>49.945</v>
      </c>
      <c r="H99" s="108">
        <v>50.061999999999998</v>
      </c>
      <c r="I99" s="108">
        <v>50.036999999999999</v>
      </c>
      <c r="J99" s="108">
        <v>49.98</v>
      </c>
      <c r="K99" s="108">
        <v>50.040999999999997</v>
      </c>
      <c r="L99" s="108">
        <v>50.029000000000003</v>
      </c>
      <c r="M99" s="108">
        <v>50.06</v>
      </c>
      <c r="N99" s="108">
        <v>50.06</v>
      </c>
      <c r="O99" s="108">
        <v>50.063000000000002</v>
      </c>
      <c r="P99" s="108">
        <v>50.064</v>
      </c>
      <c r="Q99" s="108">
        <v>50.036999999999999</v>
      </c>
      <c r="R99" s="108">
        <v>50.058999999999997</v>
      </c>
      <c r="S99" s="108">
        <v>50.09</v>
      </c>
      <c r="T99" s="108">
        <v>50.06</v>
      </c>
      <c r="U99" s="108">
        <v>50.05</v>
      </c>
      <c r="V99" s="108">
        <v>50.09</v>
      </c>
      <c r="W99" s="108">
        <v>49.94</v>
      </c>
      <c r="X99" s="108">
        <v>50.1</v>
      </c>
      <c r="Y99" s="108">
        <v>49.91</v>
      </c>
      <c r="Z99" s="108">
        <v>49.88</v>
      </c>
      <c r="AA99" s="108">
        <v>50.02</v>
      </c>
      <c r="AB99" s="108">
        <v>50.05</v>
      </c>
      <c r="AC99" s="108">
        <v>50.036999999999999</v>
      </c>
      <c r="AD99" s="108">
        <v>49.99</v>
      </c>
      <c r="AE99" s="108">
        <v>49.976999999999997</v>
      </c>
      <c r="AF99" s="108">
        <v>50.002000000000002</v>
      </c>
      <c r="AG99" s="109"/>
      <c r="AH99" s="52">
        <f t="shared" si="23"/>
        <v>50.1</v>
      </c>
      <c r="AI99" s="53">
        <f t="shared" si="24"/>
        <v>49.88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129</v>
      </c>
      <c r="C100" s="72">
        <v>129</v>
      </c>
      <c r="D100" s="72">
        <v>128</v>
      </c>
      <c r="E100" s="72">
        <v>127.3</v>
      </c>
      <c r="F100" s="72">
        <v>127.9</v>
      </c>
      <c r="G100" s="72">
        <v>127.4</v>
      </c>
      <c r="H100" s="72">
        <v>128.30000000000001</v>
      </c>
      <c r="I100" s="72">
        <v>129.69999999999999</v>
      </c>
      <c r="J100" s="72">
        <v>128</v>
      </c>
      <c r="K100" s="72">
        <v>127.7</v>
      </c>
      <c r="L100" s="72">
        <v>127.1</v>
      </c>
      <c r="M100" s="72">
        <v>127.2</v>
      </c>
      <c r="N100" s="72">
        <v>127.2</v>
      </c>
      <c r="O100" s="72">
        <v>126.3</v>
      </c>
      <c r="P100" s="72">
        <v>125.4</v>
      </c>
      <c r="Q100" s="72">
        <v>126</v>
      </c>
      <c r="R100" s="72">
        <v>127.3</v>
      </c>
      <c r="S100" s="72">
        <v>125.3</v>
      </c>
      <c r="T100" s="72">
        <v>125.3</v>
      </c>
      <c r="U100" s="72">
        <v>125.1</v>
      </c>
      <c r="V100" s="72">
        <v>125.3</v>
      </c>
      <c r="W100" s="72">
        <v>128.6</v>
      </c>
      <c r="X100" s="72">
        <v>128.9</v>
      </c>
      <c r="Y100" s="72">
        <v>128.5</v>
      </c>
      <c r="Z100" s="72">
        <v>128.5</v>
      </c>
      <c r="AA100" s="72">
        <v>129</v>
      </c>
      <c r="AB100" s="72">
        <v>130</v>
      </c>
      <c r="AC100" s="72">
        <v>130</v>
      </c>
      <c r="AD100" s="72">
        <v>130.5</v>
      </c>
      <c r="AE100" s="72">
        <v>127.8</v>
      </c>
      <c r="AF100" s="72">
        <v>127.8</v>
      </c>
      <c r="AG100" s="111"/>
      <c r="AH100" s="52">
        <f t="shared" si="23"/>
        <v>130.5</v>
      </c>
      <c r="AI100" s="53">
        <f t="shared" si="24"/>
        <v>125.1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</v>
      </c>
      <c r="C101" s="72">
        <v>132</v>
      </c>
      <c r="D101" s="72">
        <v>132</v>
      </c>
      <c r="E101" s="72">
        <v>131.5</v>
      </c>
      <c r="F101" s="72">
        <v>131.9</v>
      </c>
      <c r="G101" s="72">
        <v>131.6</v>
      </c>
      <c r="H101" s="72">
        <v>131.69999999999999</v>
      </c>
      <c r="I101" s="72">
        <v>132</v>
      </c>
      <c r="J101" s="72">
        <v>130.1</v>
      </c>
      <c r="K101" s="72">
        <v>129.69999999999999</v>
      </c>
      <c r="L101" s="72">
        <v>128.9</v>
      </c>
      <c r="M101" s="72">
        <v>128.6</v>
      </c>
      <c r="N101" s="72">
        <v>128.6</v>
      </c>
      <c r="O101" s="72">
        <v>128.4</v>
      </c>
      <c r="P101" s="72">
        <v>128.4</v>
      </c>
      <c r="Q101" s="72">
        <v>129</v>
      </c>
      <c r="R101" s="72">
        <v>130</v>
      </c>
      <c r="S101" s="72">
        <v>128.80000000000001</v>
      </c>
      <c r="T101" s="72">
        <v>128.80000000000001</v>
      </c>
      <c r="U101" s="72">
        <v>128.5</v>
      </c>
      <c r="V101" s="72">
        <v>128.80000000000001</v>
      </c>
      <c r="W101" s="72">
        <v>130.80000000000001</v>
      </c>
      <c r="X101" s="72">
        <v>130.9</v>
      </c>
      <c r="Y101" s="72">
        <v>130.5</v>
      </c>
      <c r="Z101" s="72">
        <v>130.69999999999999</v>
      </c>
      <c r="AA101" s="72">
        <v>131</v>
      </c>
      <c r="AB101" s="72">
        <v>132</v>
      </c>
      <c r="AC101" s="72">
        <v>132</v>
      </c>
      <c r="AD101" s="72">
        <v>132.69999999999999</v>
      </c>
      <c r="AE101" s="72">
        <v>131.69999999999999</v>
      </c>
      <c r="AF101" s="72">
        <v>131.69999999999999</v>
      </c>
      <c r="AG101" s="111"/>
      <c r="AH101" s="52">
        <f t="shared" si="23"/>
        <v>132.69999999999999</v>
      </c>
      <c r="AI101" s="53">
        <f t="shared" si="24"/>
        <v>128.4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131</v>
      </c>
      <c r="C102" s="72">
        <v>131</v>
      </c>
      <c r="D102" s="72">
        <v>132</v>
      </c>
      <c r="E102" s="72">
        <v>132.9</v>
      </c>
      <c r="F102" s="72">
        <v>131.80000000000001</v>
      </c>
      <c r="G102" s="72">
        <v>133.80000000000001</v>
      </c>
      <c r="H102" s="72">
        <v>131.5</v>
      </c>
      <c r="I102" s="72">
        <v>133.1</v>
      </c>
      <c r="J102" s="72">
        <v>129.69999999999999</v>
      </c>
      <c r="K102" s="72">
        <v>128.4</v>
      </c>
      <c r="L102" s="72">
        <v>127.1</v>
      </c>
      <c r="M102" s="72">
        <v>127.8</v>
      </c>
      <c r="N102" s="72">
        <v>127.8</v>
      </c>
      <c r="O102" s="72">
        <v>124.5</v>
      </c>
      <c r="P102" s="72">
        <v>126.8</v>
      </c>
      <c r="Q102" s="72">
        <v>130.1</v>
      </c>
      <c r="R102" s="72">
        <v>130.9</v>
      </c>
      <c r="S102" s="72">
        <v>126.4</v>
      </c>
      <c r="T102" s="72">
        <v>126.4</v>
      </c>
      <c r="U102" s="72">
        <v>129</v>
      </c>
      <c r="V102" s="72">
        <v>126.4</v>
      </c>
      <c r="W102" s="72">
        <v>130.69999999999999</v>
      </c>
      <c r="X102" s="72">
        <v>127.6</v>
      </c>
      <c r="Y102" s="72">
        <v>130.30000000000001</v>
      </c>
      <c r="Z102" s="72">
        <v>129.5</v>
      </c>
      <c r="AA102" s="72">
        <v>130</v>
      </c>
      <c r="AB102" s="72">
        <v>130</v>
      </c>
      <c r="AC102" s="72">
        <v>130</v>
      </c>
      <c r="AD102" s="72">
        <v>132.4</v>
      </c>
      <c r="AE102" s="72">
        <v>128.5</v>
      </c>
      <c r="AF102" s="72">
        <v>128.5</v>
      </c>
      <c r="AG102" s="111"/>
      <c r="AH102" s="52">
        <f t="shared" si="23"/>
        <v>133.80000000000001</v>
      </c>
      <c r="AI102" s="53">
        <f t="shared" si="24"/>
        <v>124.5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23"/>
        <v>0</v>
      </c>
      <c r="AI103" s="53">
        <f t="shared" si="24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</v>
      </c>
      <c r="C104" s="113">
        <v>131</v>
      </c>
      <c r="D104" s="113">
        <v>132</v>
      </c>
      <c r="E104" s="113">
        <v>129.1</v>
      </c>
      <c r="F104" s="113">
        <v>132.69999999999999</v>
      </c>
      <c r="G104" s="113">
        <v>133.80000000000001</v>
      </c>
      <c r="H104" s="113">
        <v>134.9</v>
      </c>
      <c r="I104" s="113">
        <v>136.30000000000001</v>
      </c>
      <c r="J104" s="113">
        <v>131.4</v>
      </c>
      <c r="K104" s="113">
        <v>130</v>
      </c>
      <c r="L104" s="113">
        <v>133.5</v>
      </c>
      <c r="M104" s="113">
        <v>135.30000000000001</v>
      </c>
      <c r="N104" s="113">
        <v>135.30000000000001</v>
      </c>
      <c r="O104" s="113">
        <v>136.1</v>
      </c>
      <c r="P104" s="113">
        <v>131.9</v>
      </c>
      <c r="Q104" s="113">
        <v>134.1</v>
      </c>
      <c r="R104" s="113">
        <v>137.19999999999999</v>
      </c>
      <c r="S104" s="113">
        <v>132.69999999999999</v>
      </c>
      <c r="T104" s="113">
        <v>132.69999999999999</v>
      </c>
      <c r="U104" s="113">
        <v>133.80000000000001</v>
      </c>
      <c r="V104" s="113">
        <v>132.69999999999999</v>
      </c>
      <c r="W104" s="113">
        <v>135.69999999999999</v>
      </c>
      <c r="X104" s="113">
        <v>131.9</v>
      </c>
      <c r="Y104" s="113">
        <v>134.5</v>
      </c>
      <c r="Z104" s="113">
        <v>134</v>
      </c>
      <c r="AA104" s="113">
        <v>132.5</v>
      </c>
      <c r="AB104" s="113">
        <v>134</v>
      </c>
      <c r="AC104" s="113">
        <v>134</v>
      </c>
      <c r="AD104" s="113">
        <v>133.30000000000001</v>
      </c>
      <c r="AE104" s="113">
        <v>132.1</v>
      </c>
      <c r="AF104" s="113">
        <v>132.1</v>
      </c>
      <c r="AG104" s="114"/>
      <c r="AH104" s="52">
        <f t="shared" si="23"/>
        <v>137.19999999999999</v>
      </c>
      <c r="AI104" s="53">
        <f t="shared" si="24"/>
        <v>129.1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130</v>
      </c>
      <c r="C105" s="72">
        <v>130</v>
      </c>
      <c r="D105" s="72">
        <v>129</v>
      </c>
      <c r="E105" s="72">
        <v>134.1</v>
      </c>
      <c r="F105" s="72">
        <v>134.6</v>
      </c>
      <c r="G105" s="72">
        <v>135.1</v>
      </c>
      <c r="H105" s="72">
        <v>131</v>
      </c>
      <c r="I105" s="72">
        <v>131.4</v>
      </c>
      <c r="J105" s="72">
        <v>130.69999999999999</v>
      </c>
      <c r="K105" s="72">
        <v>128.19999999999999</v>
      </c>
      <c r="L105" s="72">
        <v>131.4</v>
      </c>
      <c r="M105" s="72">
        <v>130.5</v>
      </c>
      <c r="N105" s="72">
        <v>130.5</v>
      </c>
      <c r="O105" s="72">
        <v>133.19999999999999</v>
      </c>
      <c r="P105" s="72">
        <v>124.9</v>
      </c>
      <c r="Q105" s="72">
        <v>127.9</v>
      </c>
      <c r="R105" s="72">
        <v>129.30000000000001</v>
      </c>
      <c r="S105" s="72">
        <v>128.9</v>
      </c>
      <c r="T105" s="72">
        <v>128.9</v>
      </c>
      <c r="U105" s="72">
        <v>134.80000000000001</v>
      </c>
      <c r="V105" s="72">
        <v>128.9</v>
      </c>
      <c r="W105" s="72">
        <v>129.6</v>
      </c>
      <c r="X105" s="72">
        <v>130.69999999999999</v>
      </c>
      <c r="Y105" s="72">
        <v>126.8</v>
      </c>
      <c r="Z105" s="72">
        <v>129.30000000000001</v>
      </c>
      <c r="AA105" s="72">
        <v>133</v>
      </c>
      <c r="AB105" s="72">
        <v>135.69999999999999</v>
      </c>
      <c r="AC105" s="72">
        <v>135.69999999999999</v>
      </c>
      <c r="AD105" s="72">
        <v>133.9</v>
      </c>
      <c r="AE105" s="72">
        <v>128</v>
      </c>
      <c r="AF105" s="72">
        <v>128</v>
      </c>
      <c r="AG105" s="111"/>
      <c r="AH105" s="52">
        <f t="shared" si="23"/>
        <v>135.69999999999999</v>
      </c>
      <c r="AI105" s="53">
        <f t="shared" si="24"/>
        <v>124.9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</v>
      </c>
      <c r="C106" s="99">
        <v>66</v>
      </c>
      <c r="D106" s="99">
        <v>66.400000000000006</v>
      </c>
      <c r="E106" s="99">
        <v>66.099999999999994</v>
      </c>
      <c r="F106" s="99">
        <v>66.2</v>
      </c>
      <c r="G106" s="99">
        <v>66.099999999999994</v>
      </c>
      <c r="H106" s="99">
        <v>66</v>
      </c>
      <c r="I106" s="99">
        <v>66</v>
      </c>
      <c r="J106" s="99">
        <v>65.400000000000006</v>
      </c>
      <c r="K106" s="99">
        <v>65.099999999999994</v>
      </c>
      <c r="L106" s="99">
        <v>64.599999999999994</v>
      </c>
      <c r="M106" s="99">
        <v>64.5</v>
      </c>
      <c r="N106" s="99">
        <v>64.5</v>
      </c>
      <c r="O106" s="99">
        <v>64.599999999999994</v>
      </c>
      <c r="P106" s="99">
        <v>64.400000000000006</v>
      </c>
      <c r="Q106" s="99">
        <v>64.5</v>
      </c>
      <c r="R106" s="99">
        <v>65.099999999999994</v>
      </c>
      <c r="S106" s="99">
        <v>64.5</v>
      </c>
      <c r="T106" s="99">
        <v>64.5</v>
      </c>
      <c r="U106" s="99">
        <v>64.400000000000006</v>
      </c>
      <c r="V106" s="99">
        <v>64.5</v>
      </c>
      <c r="W106" s="99">
        <v>65.5</v>
      </c>
      <c r="X106" s="99">
        <v>65.400000000000006</v>
      </c>
      <c r="Y106" s="99">
        <v>65.3</v>
      </c>
      <c r="Z106" s="99">
        <v>65.3</v>
      </c>
      <c r="AA106" s="99">
        <v>65</v>
      </c>
      <c r="AB106" s="99">
        <v>66</v>
      </c>
      <c r="AC106" s="99">
        <v>66</v>
      </c>
      <c r="AD106" s="99">
        <v>66.400000000000006</v>
      </c>
      <c r="AE106" s="99">
        <v>66</v>
      </c>
      <c r="AF106" s="99">
        <v>66</v>
      </c>
      <c r="AG106" s="115"/>
      <c r="AH106" s="52">
        <f t="shared" si="23"/>
        <v>66.400000000000006</v>
      </c>
      <c r="AI106" s="53">
        <f t="shared" si="24"/>
        <v>64.400000000000006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 t="s">
        <v>256</v>
      </c>
      <c r="AA107" s="99"/>
      <c r="AB107" s="99"/>
      <c r="AC107" s="99"/>
      <c r="AD107" s="99"/>
      <c r="AE107" s="99"/>
      <c r="AF107" s="99"/>
      <c r="AG107" s="115"/>
      <c r="AH107" s="52">
        <f t="shared" si="23"/>
        <v>0</v>
      </c>
      <c r="AI107" s="53">
        <f t="shared" si="24"/>
        <v>0</v>
      </c>
    </row>
    <row r="108" spans="1:88" ht="15.75" thickBot="1" x14ac:dyDescent="0.3">
      <c r="A108" s="117" t="s">
        <v>112</v>
      </c>
      <c r="B108" s="118">
        <f t="shared" ref="B108:AF108" si="40">SUM(B18,B24,B27:B28,B56,B58:B59,B61,B63,B109:B113,B135,B141,B147,B156,B158,B170,B177,B180:B181,B188,B190,B192,B196:B198,B200:B202,B207,B213:B214,B216:B218,B226,B231)</f>
        <v>113.5</v>
      </c>
      <c r="C108" s="118">
        <f t="shared" si="40"/>
        <v>100.44</v>
      </c>
      <c r="D108" s="118">
        <f t="shared" si="40"/>
        <v>102.44</v>
      </c>
      <c r="E108" s="118">
        <f t="shared" si="40"/>
        <v>99.639999999999986</v>
      </c>
      <c r="F108" s="118">
        <f t="shared" si="40"/>
        <v>110.34</v>
      </c>
      <c r="G108" s="118">
        <f t="shared" si="40"/>
        <v>132.04</v>
      </c>
      <c r="H108" s="118">
        <f t="shared" si="40"/>
        <v>161.84</v>
      </c>
      <c r="I108" s="118">
        <f t="shared" si="40"/>
        <v>195.84</v>
      </c>
      <c r="J108" s="118">
        <f t="shared" si="40"/>
        <v>225.73999999999998</v>
      </c>
      <c r="K108" s="118">
        <f t="shared" si="40"/>
        <v>257.94</v>
      </c>
      <c r="L108" s="118">
        <f t="shared" si="40"/>
        <v>280.94</v>
      </c>
      <c r="M108" s="118">
        <f t="shared" si="40"/>
        <v>272.14</v>
      </c>
      <c r="N108" s="118">
        <f t="shared" si="40"/>
        <v>280.14</v>
      </c>
      <c r="O108" s="118">
        <f t="shared" si="40"/>
        <v>283.04000000000002</v>
      </c>
      <c r="P108" s="118">
        <v>42</v>
      </c>
      <c r="Q108" s="118">
        <f t="shared" si="40"/>
        <v>275.39999999999998</v>
      </c>
      <c r="R108" s="118">
        <f t="shared" si="40"/>
        <v>258.60000000000002</v>
      </c>
      <c r="S108" s="118">
        <f t="shared" si="40"/>
        <v>321.3</v>
      </c>
      <c r="T108" s="118">
        <f t="shared" ref="T108:V108" si="41">SUM(T18,T24,T27:T28,T56,T58:T59,T61,T63,T109:T113,T135,T141,T147,T156,T158,T170,T177,T180:T181,T188,T190,T192,T196:T198,T200:T202,T207,T213:T214,T216:T218,T226,T231)</f>
        <v>321.3</v>
      </c>
      <c r="U108" s="118">
        <f t="shared" si="41"/>
        <v>320.60000000000002</v>
      </c>
      <c r="V108" s="118">
        <f t="shared" si="41"/>
        <v>321.3</v>
      </c>
      <c r="W108" s="118">
        <f t="shared" si="40"/>
        <v>242.79999999999998</v>
      </c>
      <c r="X108" s="118">
        <f t="shared" ref="X108" si="42">SUM(X18,X24,X27:X28,X56,X58:X59,X61,X63,X109:X113,X135,X141,X147,X156,X158,X170,X177,X180:X181,X188,X190,X192,X196:X198,X200:X202,X207,X213:X214,X216:X218,X226,X231)</f>
        <v>256.70000000000005</v>
      </c>
      <c r="Y108" s="118">
        <f t="shared" si="40"/>
        <v>302</v>
      </c>
      <c r="Z108" s="118">
        <v>390.89708333333328</v>
      </c>
      <c r="AA108" s="118">
        <f t="shared" si="40"/>
        <v>338.70000000000005</v>
      </c>
      <c r="AB108" s="118">
        <f t="shared" si="40"/>
        <v>287.3</v>
      </c>
      <c r="AC108" s="118">
        <f t="shared" si="40"/>
        <v>272.29999999999995</v>
      </c>
      <c r="AD108" s="118">
        <f t="shared" si="40"/>
        <v>233.5</v>
      </c>
      <c r="AE108" s="118">
        <f t="shared" si="40"/>
        <v>169.8</v>
      </c>
      <c r="AF108" s="118">
        <f t="shared" si="40"/>
        <v>141.60000000000002</v>
      </c>
      <c r="AG108" s="119"/>
      <c r="AH108" s="52">
        <f t="shared" si="23"/>
        <v>390.89708333333328</v>
      </c>
      <c r="AI108" s="53">
        <f t="shared" si="24"/>
        <v>42</v>
      </c>
    </row>
    <row r="109" spans="1:88" x14ac:dyDescent="0.25">
      <c r="A109" s="107" t="s">
        <v>113</v>
      </c>
      <c r="B109" s="120">
        <v>-16</v>
      </c>
      <c r="C109" s="120">
        <v>-16</v>
      </c>
      <c r="D109" s="120">
        <v>-21</v>
      </c>
      <c r="E109" s="120">
        <v>-27.5</v>
      </c>
      <c r="F109" s="120">
        <v>-27.3</v>
      </c>
      <c r="G109" s="120">
        <v>-15.2</v>
      </c>
      <c r="H109" s="120">
        <v>-6.3</v>
      </c>
      <c r="I109" s="120">
        <v>-4</v>
      </c>
      <c r="J109" s="120">
        <v>-3.9</v>
      </c>
      <c r="K109" s="120">
        <v>-1.6</v>
      </c>
      <c r="L109" s="120">
        <v>1.2</v>
      </c>
      <c r="M109" s="120">
        <v>8.1999999999999993</v>
      </c>
      <c r="N109" s="120">
        <v>8.1999999999999993</v>
      </c>
      <c r="O109" s="120">
        <v>7.3</v>
      </c>
      <c r="P109" s="120">
        <v>4.7</v>
      </c>
      <c r="Q109" s="120">
        <v>5.7</v>
      </c>
      <c r="R109" s="120">
        <v>10.8</v>
      </c>
      <c r="S109" s="120">
        <v>10.4</v>
      </c>
      <c r="T109" s="120">
        <v>10.4</v>
      </c>
      <c r="U109" s="120">
        <v>8.9</v>
      </c>
      <c r="V109" s="120">
        <v>10.4</v>
      </c>
      <c r="W109" s="120">
        <v>7.1</v>
      </c>
      <c r="X109" s="120">
        <v>9.8000000000000007</v>
      </c>
      <c r="Y109" s="120">
        <v>21.7</v>
      </c>
      <c r="Z109" s="120">
        <v>22</v>
      </c>
      <c r="AA109" s="120">
        <v>22.1</v>
      </c>
      <c r="AB109" s="120">
        <v>22.2</v>
      </c>
      <c r="AC109" s="120">
        <v>20.100000000000001</v>
      </c>
      <c r="AD109" s="120">
        <v>17.3</v>
      </c>
      <c r="AE109" s="120">
        <v>9.9</v>
      </c>
      <c r="AF109" s="120">
        <v>-4.5</v>
      </c>
      <c r="AG109" s="121">
        <v>75</v>
      </c>
      <c r="AH109" s="52">
        <f t="shared" si="23"/>
        <v>22.2</v>
      </c>
      <c r="AI109" s="53">
        <f t="shared" si="24"/>
        <v>-27.5</v>
      </c>
    </row>
    <row r="110" spans="1:88" x14ac:dyDescent="0.25">
      <c r="A110" s="110" t="s">
        <v>114</v>
      </c>
      <c r="B110" s="186">
        <v>-19</v>
      </c>
      <c r="C110" s="186">
        <v>-18</v>
      </c>
      <c r="D110" s="186">
        <v>-29</v>
      </c>
      <c r="E110" s="186">
        <v>-35.1</v>
      </c>
      <c r="F110" s="186">
        <v>-34.700000000000003</v>
      </c>
      <c r="G110" s="186">
        <v>-15.5</v>
      </c>
      <c r="H110" s="186">
        <v>-6.2</v>
      </c>
      <c r="I110" s="186">
        <v>-3.2</v>
      </c>
      <c r="J110" s="186">
        <v>-2.9</v>
      </c>
      <c r="K110" s="186">
        <v>-3.1</v>
      </c>
      <c r="L110" s="186">
        <v>-2.1</v>
      </c>
      <c r="M110" s="186">
        <v>5.8</v>
      </c>
      <c r="N110" s="186">
        <v>5.8</v>
      </c>
      <c r="O110" s="186">
        <v>5.8</v>
      </c>
      <c r="P110" s="186">
        <v>8.6999999999999993</v>
      </c>
      <c r="Q110" s="186">
        <v>10.8</v>
      </c>
      <c r="R110" s="186">
        <v>17.100000000000001</v>
      </c>
      <c r="S110" s="186">
        <v>17.3</v>
      </c>
      <c r="T110" s="186">
        <v>17.3</v>
      </c>
      <c r="U110" s="186">
        <v>12.9</v>
      </c>
      <c r="V110" s="186">
        <v>17.3</v>
      </c>
      <c r="W110" s="186">
        <v>4.3</v>
      </c>
      <c r="X110" s="186">
        <v>7.3</v>
      </c>
      <c r="Y110" s="186">
        <v>24.2</v>
      </c>
      <c r="Z110" s="186">
        <v>24.5</v>
      </c>
      <c r="AA110" s="186">
        <v>25.3</v>
      </c>
      <c r="AB110" s="186">
        <v>26.3</v>
      </c>
      <c r="AC110" s="186">
        <v>24.2</v>
      </c>
      <c r="AD110" s="186">
        <v>20.399999999999999</v>
      </c>
      <c r="AE110" s="186">
        <v>12.3</v>
      </c>
      <c r="AF110" s="186">
        <v>-3.8</v>
      </c>
      <c r="AG110" s="121">
        <v>240</v>
      </c>
      <c r="AH110" s="52">
        <f t="shared" si="23"/>
        <v>26.3</v>
      </c>
      <c r="AI110" s="53">
        <f t="shared" si="24"/>
        <v>-35.1</v>
      </c>
    </row>
    <row r="111" spans="1:88" x14ac:dyDescent="0.25">
      <c r="A111" s="110" t="s">
        <v>115</v>
      </c>
      <c r="B111" s="186">
        <v>-28</v>
      </c>
      <c r="C111" s="186">
        <v>-40</v>
      </c>
      <c r="D111" s="186">
        <v>-26</v>
      </c>
      <c r="E111" s="186">
        <v>-33</v>
      </c>
      <c r="F111" s="186">
        <v>-26</v>
      </c>
      <c r="G111" s="186">
        <v>-31</v>
      </c>
      <c r="H111" s="186">
        <v>-18</v>
      </c>
      <c r="I111" s="186">
        <v>6.4</v>
      </c>
      <c r="J111" s="186">
        <v>17.8</v>
      </c>
      <c r="K111" s="186">
        <v>31</v>
      </c>
      <c r="L111" s="186">
        <v>39</v>
      </c>
      <c r="M111" s="186">
        <v>15</v>
      </c>
      <c r="N111" s="186">
        <v>15</v>
      </c>
      <c r="O111" s="186">
        <f>11.3+6.3</f>
        <v>17.600000000000001</v>
      </c>
      <c r="P111" s="186">
        <v>33.9</v>
      </c>
      <c r="Q111" s="186">
        <v>-2</v>
      </c>
      <c r="R111" s="186">
        <v>-9.6</v>
      </c>
      <c r="S111" s="186">
        <f>40.5+9.9</f>
        <v>50.4</v>
      </c>
      <c r="T111" s="186">
        <f t="shared" ref="T111:V111" si="43">40.5+9.9</f>
        <v>50.4</v>
      </c>
      <c r="U111" s="186">
        <f>35+4.7</f>
        <v>39.700000000000003</v>
      </c>
      <c r="V111" s="186">
        <f t="shared" si="43"/>
        <v>50.4</v>
      </c>
      <c r="W111" s="186">
        <f>-27.7+4</f>
        <v>-23.7</v>
      </c>
      <c r="X111" s="186">
        <f>-7.5+25</f>
        <v>17.5</v>
      </c>
      <c r="Y111" s="186">
        <f>-12.8+19.2</f>
        <v>6.3999999999999986</v>
      </c>
      <c r="Z111" s="186">
        <v>10.8</v>
      </c>
      <c r="AA111" s="186">
        <f>-20.9+90.7</f>
        <v>69.800000000000011</v>
      </c>
      <c r="AB111" s="186">
        <v>21.4</v>
      </c>
      <c r="AC111" s="186">
        <v>18.399999999999999</v>
      </c>
      <c r="AD111" s="186">
        <v>12</v>
      </c>
      <c r="AE111" s="186">
        <v>-35.6</v>
      </c>
      <c r="AF111" s="186">
        <v>-40.6</v>
      </c>
      <c r="AG111" s="121">
        <v>240</v>
      </c>
      <c r="AH111" s="52">
        <f t="shared" si="23"/>
        <v>69.800000000000011</v>
      </c>
      <c r="AI111" s="53">
        <f t="shared" si="24"/>
        <v>-40.6</v>
      </c>
    </row>
    <row r="112" spans="1:88" x14ac:dyDescent="0.25">
      <c r="A112" s="110" t="s">
        <v>116</v>
      </c>
      <c r="B112" s="186">
        <v>28</v>
      </c>
      <c r="C112" s="186">
        <v>26</v>
      </c>
      <c r="D112" s="186">
        <v>25</v>
      </c>
      <c r="E112" s="186">
        <v>23.5</v>
      </c>
      <c r="F112" s="186">
        <v>25.9</v>
      </c>
      <c r="G112" s="186">
        <v>20.7</v>
      </c>
      <c r="H112" s="186">
        <v>21.6</v>
      </c>
      <c r="I112" s="186">
        <v>22</v>
      </c>
      <c r="J112" s="186">
        <v>26.5</v>
      </c>
      <c r="K112" s="186">
        <v>41.5</v>
      </c>
      <c r="L112" s="186">
        <v>48.2</v>
      </c>
      <c r="M112" s="186">
        <v>37.4</v>
      </c>
      <c r="N112" s="186">
        <v>37.4</v>
      </c>
      <c r="O112" s="186">
        <v>42.8</v>
      </c>
      <c r="P112" s="186">
        <v>45.6</v>
      </c>
      <c r="Q112" s="186">
        <v>44.5</v>
      </c>
      <c r="R112" s="186">
        <v>43.6</v>
      </c>
      <c r="S112" s="186">
        <v>42.1</v>
      </c>
      <c r="T112" s="186">
        <v>42.1</v>
      </c>
      <c r="U112" s="186">
        <v>44.9</v>
      </c>
      <c r="V112" s="186">
        <v>42.1</v>
      </c>
      <c r="W112" s="186">
        <v>49.5</v>
      </c>
      <c r="X112" s="186">
        <v>55.7</v>
      </c>
      <c r="Y112" s="186">
        <v>54.7</v>
      </c>
      <c r="Z112" s="186">
        <v>56</v>
      </c>
      <c r="AA112" s="186">
        <v>51.5</v>
      </c>
      <c r="AB112" s="186">
        <v>52</v>
      </c>
      <c r="AC112" s="186">
        <v>50.6</v>
      </c>
      <c r="AD112" s="186">
        <v>47.1</v>
      </c>
      <c r="AE112" s="186">
        <v>39</v>
      </c>
      <c r="AF112" s="186">
        <v>37.1</v>
      </c>
      <c r="AG112" s="121">
        <v>60</v>
      </c>
      <c r="AH112" s="52">
        <f t="shared" si="23"/>
        <v>56</v>
      </c>
      <c r="AI112" s="53">
        <f t="shared" si="24"/>
        <v>20.7</v>
      </c>
    </row>
    <row r="113" spans="1:37" x14ac:dyDescent="0.25">
      <c r="A113" s="123" t="s">
        <v>117</v>
      </c>
      <c r="B113" s="124">
        <v>67</v>
      </c>
      <c r="C113" s="124">
        <v>66</v>
      </c>
      <c r="D113" s="124">
        <v>71</v>
      </c>
      <c r="E113" s="124">
        <v>86.6</v>
      </c>
      <c r="F113" s="124">
        <v>87</v>
      </c>
      <c r="G113" s="124">
        <v>87.6</v>
      </c>
      <c r="H113" s="124">
        <v>85.6</v>
      </c>
      <c r="I113" s="124">
        <v>89.5</v>
      </c>
      <c r="J113" s="124">
        <v>103.1</v>
      </c>
      <c r="K113" s="124">
        <v>105</v>
      </c>
      <c r="L113" s="124">
        <v>105.5</v>
      </c>
      <c r="M113" s="124">
        <v>109.6</v>
      </c>
      <c r="N113" s="124">
        <v>109.6</v>
      </c>
      <c r="O113" s="124">
        <v>103.4</v>
      </c>
      <c r="P113" s="124">
        <v>106.3</v>
      </c>
      <c r="Q113" s="124">
        <v>112</v>
      </c>
      <c r="R113" s="124">
        <v>92.3</v>
      </c>
      <c r="S113" s="124">
        <v>96.9</v>
      </c>
      <c r="T113" s="124">
        <v>96.9</v>
      </c>
      <c r="U113" s="124">
        <v>110</v>
      </c>
      <c r="V113" s="124">
        <v>96.9</v>
      </c>
      <c r="W113" s="124">
        <v>102.1</v>
      </c>
      <c r="X113" s="124">
        <v>79.900000000000006</v>
      </c>
      <c r="Y113" s="124">
        <v>108.5</v>
      </c>
      <c r="Z113" s="124">
        <v>113</v>
      </c>
      <c r="AA113" s="124">
        <v>83.5</v>
      </c>
      <c r="AB113" s="124">
        <v>78.900000000000006</v>
      </c>
      <c r="AC113" s="124">
        <v>72.5</v>
      </c>
      <c r="AD113" s="124">
        <v>50.2</v>
      </c>
      <c r="AE113" s="124">
        <v>57.7</v>
      </c>
      <c r="AF113" s="124">
        <v>66.900000000000006</v>
      </c>
      <c r="AG113" s="125">
        <v>120</v>
      </c>
      <c r="AH113" s="52">
        <f t="shared" si="23"/>
        <v>113</v>
      </c>
      <c r="AI113" s="53">
        <f t="shared" si="24"/>
        <v>50.2</v>
      </c>
    </row>
    <row r="114" spans="1:37" x14ac:dyDescent="0.25">
      <c r="A114" s="123" t="s">
        <v>118</v>
      </c>
      <c r="B114" s="124">
        <v>70</v>
      </c>
      <c r="C114" s="124">
        <v>79</v>
      </c>
      <c r="D114" s="124">
        <v>80</v>
      </c>
      <c r="E114" s="124">
        <v>98.7</v>
      </c>
      <c r="F114" s="124">
        <v>99</v>
      </c>
      <c r="G114" s="124">
        <v>95.4</v>
      </c>
      <c r="H114" s="124">
        <v>85</v>
      </c>
      <c r="I114" s="124">
        <v>82.7</v>
      </c>
      <c r="J114" s="124">
        <v>87.6</v>
      </c>
      <c r="K114" s="124">
        <v>87.7</v>
      </c>
      <c r="L114" s="124">
        <v>85.5</v>
      </c>
      <c r="M114" s="124">
        <v>82.7</v>
      </c>
      <c r="N114" s="124">
        <v>82.7</v>
      </c>
      <c r="O114" s="124">
        <v>88.6</v>
      </c>
      <c r="P114" s="124">
        <v>96.2</v>
      </c>
      <c r="Q114" s="124">
        <v>105</v>
      </c>
      <c r="R114" s="124">
        <v>89.5</v>
      </c>
      <c r="S114" s="124">
        <v>94.9</v>
      </c>
      <c r="T114" s="124">
        <v>94.9</v>
      </c>
      <c r="U114" s="124">
        <v>105.5</v>
      </c>
      <c r="V114" s="124">
        <v>94.9</v>
      </c>
      <c r="W114" s="124">
        <v>97</v>
      </c>
      <c r="X114" s="124">
        <v>88.8</v>
      </c>
      <c r="Y114" s="124">
        <v>83.2</v>
      </c>
      <c r="Z114" s="124">
        <v>88.8</v>
      </c>
      <c r="AA114" s="124">
        <v>78</v>
      </c>
      <c r="AB114" s="124">
        <v>59.9</v>
      </c>
      <c r="AC114" s="124">
        <v>56.2</v>
      </c>
      <c r="AD114" s="124">
        <v>56.1</v>
      </c>
      <c r="AE114" s="124">
        <v>63.2</v>
      </c>
      <c r="AF114" s="124">
        <v>75.5</v>
      </c>
      <c r="AG114" s="125"/>
      <c r="AH114" s="52">
        <f t="shared" si="23"/>
        <v>105.5</v>
      </c>
      <c r="AI114" s="53">
        <f t="shared" si="24"/>
        <v>56.1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>
        <v>32.700000000000003</v>
      </c>
      <c r="AE115" s="124"/>
      <c r="AF115" s="124"/>
      <c r="AG115" s="126"/>
      <c r="AH115" s="52">
        <f t="shared" si="23"/>
        <v>32.700000000000003</v>
      </c>
      <c r="AI115" s="53">
        <f t="shared" si="24"/>
        <v>32.700000000000003</v>
      </c>
    </row>
    <row r="116" spans="1:37" x14ac:dyDescent="0.25">
      <c r="A116" s="127" t="s">
        <v>120</v>
      </c>
      <c r="B116" s="113">
        <v>11</v>
      </c>
      <c r="C116" s="113">
        <v>13</v>
      </c>
      <c r="D116" s="113">
        <v>14</v>
      </c>
      <c r="E116" s="113">
        <v>16.600000000000001</v>
      </c>
      <c r="F116" s="113">
        <v>11.8</v>
      </c>
      <c r="G116" s="113">
        <v>14.4</v>
      </c>
      <c r="H116" s="113">
        <v>-15.5</v>
      </c>
      <c r="I116" s="113">
        <v>-26.8</v>
      </c>
      <c r="J116" s="113">
        <v>-43.6</v>
      </c>
      <c r="K116" s="113">
        <v>-44.6</v>
      </c>
      <c r="L116" s="113">
        <v>-55.9</v>
      </c>
      <c r="M116" s="113">
        <v>-66.5</v>
      </c>
      <c r="N116" s="113">
        <v>-66.5</v>
      </c>
      <c r="O116" s="113">
        <v>-62.8</v>
      </c>
      <c r="P116" s="113">
        <v>-61.8</v>
      </c>
      <c r="Q116" s="113">
        <v>-30</v>
      </c>
      <c r="R116" s="113">
        <v>-28.4</v>
      </c>
      <c r="S116" s="113">
        <v>-27.8</v>
      </c>
      <c r="T116" s="113">
        <v>-27.8</v>
      </c>
      <c r="U116" s="113">
        <v>-32.700000000000003</v>
      </c>
      <c r="V116" s="113">
        <v>-27.8</v>
      </c>
      <c r="W116" s="113">
        <v>-34.200000000000003</v>
      </c>
      <c r="X116" s="113">
        <v>-41.9</v>
      </c>
      <c r="Y116" s="113">
        <v>-57.8</v>
      </c>
      <c r="Z116" s="113">
        <v>-52.1</v>
      </c>
      <c r="AA116" s="113">
        <v>-40.5</v>
      </c>
      <c r="AB116" s="113">
        <v>-39.200000000000003</v>
      </c>
      <c r="AC116" s="113">
        <v>-32</v>
      </c>
      <c r="AD116" s="113">
        <v>-27.6</v>
      </c>
      <c r="AE116" s="113">
        <v>-17.899999999999999</v>
      </c>
      <c r="AF116" s="113">
        <v>-15</v>
      </c>
      <c r="AG116" s="126"/>
      <c r="AH116" s="52">
        <f t="shared" si="23"/>
        <v>16.600000000000001</v>
      </c>
      <c r="AI116" s="53">
        <f t="shared" si="24"/>
        <v>-66.5</v>
      </c>
    </row>
    <row r="117" spans="1:37" ht="15.75" thickBot="1" x14ac:dyDescent="0.3">
      <c r="A117" s="127" t="s">
        <v>121</v>
      </c>
      <c r="B117" s="113">
        <v>72</v>
      </c>
      <c r="C117" s="113">
        <v>69</v>
      </c>
      <c r="D117" s="113">
        <v>65</v>
      </c>
      <c r="E117" s="113">
        <v>57.5</v>
      </c>
      <c r="F117" s="113">
        <v>62.5</v>
      </c>
      <c r="G117" s="113">
        <v>55</v>
      </c>
      <c r="H117" s="113">
        <v>65.8</v>
      </c>
      <c r="I117" s="113">
        <v>62.1</v>
      </c>
      <c r="J117" s="113">
        <v>71.5</v>
      </c>
      <c r="K117" s="113">
        <v>70.8</v>
      </c>
      <c r="L117" s="113">
        <v>81.599999999999994</v>
      </c>
      <c r="M117" s="113">
        <v>83.9</v>
      </c>
      <c r="N117" s="113">
        <v>83.9</v>
      </c>
      <c r="O117" s="113">
        <v>93.9</v>
      </c>
      <c r="P117" s="113">
        <v>101.7</v>
      </c>
      <c r="Q117" s="113">
        <v>98.4</v>
      </c>
      <c r="R117" s="113">
        <v>100.8</v>
      </c>
      <c r="S117" s="113">
        <v>108.6</v>
      </c>
      <c r="T117" s="113">
        <v>108.6</v>
      </c>
      <c r="U117" s="113">
        <v>97</v>
      </c>
      <c r="V117" s="113">
        <v>108.6</v>
      </c>
      <c r="W117" s="113">
        <v>96.9</v>
      </c>
      <c r="X117" s="113">
        <v>89</v>
      </c>
      <c r="Y117" s="113">
        <v>95.2</v>
      </c>
      <c r="Z117" s="113">
        <v>89</v>
      </c>
      <c r="AA117" s="113">
        <v>-84.7</v>
      </c>
      <c r="AB117" s="113">
        <v>88.5</v>
      </c>
      <c r="AC117" s="113">
        <v>86.7</v>
      </c>
      <c r="AD117" s="113">
        <v>85.4</v>
      </c>
      <c r="AE117" s="113">
        <v>89.8</v>
      </c>
      <c r="AF117" s="113">
        <v>86.8</v>
      </c>
      <c r="AG117" s="126"/>
      <c r="AH117" s="52">
        <f t="shared" si="23"/>
        <v>108.6</v>
      </c>
      <c r="AI117" s="53">
        <f t="shared" si="24"/>
        <v>-84.7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44">SUM(B119:B223)</f>
        <v>0</v>
      </c>
      <c r="C224" s="144">
        <f t="shared" si="44"/>
        <v>0</v>
      </c>
      <c r="D224" s="144">
        <f t="shared" si="44"/>
        <v>0</v>
      </c>
      <c r="E224" s="144">
        <f t="shared" si="44"/>
        <v>0</v>
      </c>
      <c r="F224" s="144">
        <f t="shared" si="44"/>
        <v>0</v>
      </c>
      <c r="G224" s="144">
        <f t="shared" si="44"/>
        <v>0</v>
      </c>
      <c r="H224" s="144">
        <f t="shared" si="44"/>
        <v>0</v>
      </c>
      <c r="I224" s="144">
        <f t="shared" si="44"/>
        <v>0</v>
      </c>
      <c r="J224" s="144">
        <f t="shared" si="44"/>
        <v>0</v>
      </c>
      <c r="K224" s="144">
        <f t="shared" si="44"/>
        <v>0</v>
      </c>
      <c r="L224" s="144">
        <f t="shared" si="44"/>
        <v>0</v>
      </c>
      <c r="M224" s="144">
        <f t="shared" si="44"/>
        <v>0</v>
      </c>
      <c r="N224" s="144">
        <f t="shared" si="44"/>
        <v>0</v>
      </c>
      <c r="O224" s="144">
        <f t="shared" si="44"/>
        <v>0</v>
      </c>
      <c r="P224" s="144">
        <f t="shared" si="44"/>
        <v>0</v>
      </c>
      <c r="Q224" s="144">
        <f t="shared" si="44"/>
        <v>0</v>
      </c>
      <c r="R224" s="144">
        <f t="shared" si="44"/>
        <v>0</v>
      </c>
      <c r="S224" s="144">
        <f t="shared" si="44"/>
        <v>0</v>
      </c>
      <c r="T224" s="144">
        <f t="shared" si="44"/>
        <v>0</v>
      </c>
      <c r="U224" s="144">
        <f t="shared" si="44"/>
        <v>0</v>
      </c>
      <c r="V224" s="144">
        <f t="shared" si="44"/>
        <v>0</v>
      </c>
      <c r="W224" s="144">
        <f t="shared" si="44"/>
        <v>0</v>
      </c>
      <c r="X224" s="144">
        <f t="shared" si="44"/>
        <v>0</v>
      </c>
      <c r="Y224" s="144">
        <f t="shared" si="44"/>
        <v>0</v>
      </c>
      <c r="Z224" s="144">
        <f t="shared" si="44"/>
        <v>0</v>
      </c>
      <c r="AA224" s="144">
        <f t="shared" si="44"/>
        <v>0</v>
      </c>
      <c r="AB224" s="144">
        <f t="shared" si="44"/>
        <v>0</v>
      </c>
      <c r="AC224" s="144">
        <f t="shared" si="44"/>
        <v>0</v>
      </c>
      <c r="AD224" s="144">
        <f t="shared" si="44"/>
        <v>0</v>
      </c>
      <c r="AE224" s="144">
        <f t="shared" si="44"/>
        <v>0</v>
      </c>
      <c r="AF224" s="145">
        <f t="shared" si="44"/>
        <v>0</v>
      </c>
      <c r="AG224" s="146">
        <f t="shared" si="44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45">AF226</f>
        <v>0</v>
      </c>
      <c r="C226" s="149">
        <v>0.3</v>
      </c>
      <c r="D226" s="149">
        <f t="shared" ref="D226:P231" si="46">C226</f>
        <v>0.3</v>
      </c>
      <c r="E226" s="149">
        <f t="shared" si="46"/>
        <v>0.3</v>
      </c>
      <c r="F226" s="149">
        <f t="shared" si="46"/>
        <v>0.3</v>
      </c>
      <c r="G226" s="149">
        <f t="shared" si="46"/>
        <v>0.3</v>
      </c>
      <c r="H226" s="149">
        <f t="shared" si="46"/>
        <v>0.3</v>
      </c>
      <c r="I226" s="149">
        <f t="shared" si="46"/>
        <v>0.3</v>
      </c>
      <c r="J226" s="149">
        <f t="shared" si="46"/>
        <v>0.3</v>
      </c>
      <c r="K226" s="149">
        <f t="shared" si="46"/>
        <v>0.3</v>
      </c>
      <c r="L226" s="149">
        <f t="shared" si="46"/>
        <v>0.3</v>
      </c>
      <c r="M226" s="149">
        <f t="shared" si="46"/>
        <v>0.3</v>
      </c>
      <c r="N226" s="149">
        <f t="shared" si="46"/>
        <v>0.3</v>
      </c>
      <c r="O226" s="149">
        <f t="shared" si="46"/>
        <v>0.3</v>
      </c>
      <c r="P226" s="149">
        <f t="shared" si="46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45"/>
        <v>0</v>
      </c>
      <c r="C227" s="136">
        <v>0.4</v>
      </c>
      <c r="D227" s="136">
        <f t="shared" si="46"/>
        <v>0.4</v>
      </c>
      <c r="E227" s="136">
        <f t="shared" si="46"/>
        <v>0.4</v>
      </c>
      <c r="F227" s="136">
        <f t="shared" si="46"/>
        <v>0.4</v>
      </c>
      <c r="G227" s="136">
        <f t="shared" si="46"/>
        <v>0.4</v>
      </c>
      <c r="H227" s="136">
        <f t="shared" si="46"/>
        <v>0.4</v>
      </c>
      <c r="I227" s="136">
        <f t="shared" si="46"/>
        <v>0.4</v>
      </c>
      <c r="J227" s="136">
        <f t="shared" si="46"/>
        <v>0.4</v>
      </c>
      <c r="K227" s="136">
        <f t="shared" si="46"/>
        <v>0.4</v>
      </c>
      <c r="L227" s="136">
        <f t="shared" si="46"/>
        <v>0.4</v>
      </c>
      <c r="M227" s="136">
        <f t="shared" si="46"/>
        <v>0.4</v>
      </c>
      <c r="N227" s="136">
        <f t="shared" si="46"/>
        <v>0.4</v>
      </c>
      <c r="O227" s="136">
        <f t="shared" si="46"/>
        <v>0.4</v>
      </c>
      <c r="P227" s="136">
        <f t="shared" si="46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45"/>
        <v>0</v>
      </c>
      <c r="C228" s="136">
        <v>1.5</v>
      </c>
      <c r="D228" s="136">
        <f t="shared" si="46"/>
        <v>1.5</v>
      </c>
      <c r="E228" s="136">
        <f t="shared" si="46"/>
        <v>1.5</v>
      </c>
      <c r="F228" s="136">
        <f t="shared" si="46"/>
        <v>1.5</v>
      </c>
      <c r="G228" s="136">
        <f t="shared" si="46"/>
        <v>1.5</v>
      </c>
      <c r="H228" s="136">
        <f t="shared" si="46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6"/>
        <v>1.5</v>
      </c>
      <c r="K228" s="136">
        <f t="shared" ca="1" si="46"/>
        <v>1.5</v>
      </c>
      <c r="L228" s="136">
        <f t="shared" ca="1" si="46"/>
        <v>1.5</v>
      </c>
      <c r="M228" s="136">
        <f t="shared" ca="1" si="46"/>
        <v>1.5</v>
      </c>
      <c r="N228" s="136">
        <f t="shared" ca="1" si="46"/>
        <v>1.5</v>
      </c>
      <c r="O228" s="136">
        <f t="shared" ca="1" si="46"/>
        <v>1.5</v>
      </c>
      <c r="P228" s="136">
        <f t="shared" ca="1" si="46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45"/>
        <v>0</v>
      </c>
      <c r="C229" s="136">
        <v>0.3</v>
      </c>
      <c r="D229" s="136">
        <f t="shared" si="46"/>
        <v>0.3</v>
      </c>
      <c r="E229" s="136">
        <f t="shared" si="46"/>
        <v>0.3</v>
      </c>
      <c r="F229" s="136">
        <f t="shared" si="46"/>
        <v>0.3</v>
      </c>
      <c r="G229" s="136">
        <f t="shared" si="46"/>
        <v>0.3</v>
      </c>
      <c r="H229" s="136">
        <f t="shared" si="46"/>
        <v>0.3</v>
      </c>
      <c r="I229" s="136">
        <f t="shared" si="46"/>
        <v>0.3</v>
      </c>
      <c r="J229" s="136">
        <f t="shared" si="46"/>
        <v>0.3</v>
      </c>
      <c r="K229" s="136">
        <f t="shared" si="46"/>
        <v>0.3</v>
      </c>
      <c r="L229" s="136">
        <f t="shared" si="46"/>
        <v>0.3</v>
      </c>
      <c r="M229" s="136">
        <f t="shared" si="46"/>
        <v>0.3</v>
      </c>
      <c r="N229" s="136">
        <f t="shared" si="46"/>
        <v>0.3</v>
      </c>
      <c r="O229" s="136">
        <f t="shared" si="46"/>
        <v>0.3</v>
      </c>
      <c r="P229" s="136">
        <f t="shared" si="46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45"/>
        <v>0</v>
      </c>
      <c r="C230" s="136">
        <v>0.4</v>
      </c>
      <c r="D230" s="136">
        <f t="shared" si="46"/>
        <v>0.4</v>
      </c>
      <c r="E230" s="136">
        <f t="shared" si="46"/>
        <v>0.4</v>
      </c>
      <c r="F230" s="136">
        <f t="shared" si="46"/>
        <v>0.4</v>
      </c>
      <c r="G230" s="136">
        <f t="shared" si="46"/>
        <v>0.4</v>
      </c>
      <c r="H230" s="136">
        <f t="shared" si="46"/>
        <v>0.4</v>
      </c>
      <c r="I230" s="136">
        <f t="shared" si="46"/>
        <v>0.4</v>
      </c>
      <c r="J230" s="136">
        <f t="shared" si="46"/>
        <v>0.4</v>
      </c>
      <c r="K230" s="136">
        <f t="shared" si="46"/>
        <v>0.4</v>
      </c>
      <c r="L230" s="136">
        <f t="shared" si="46"/>
        <v>0.4</v>
      </c>
      <c r="M230" s="136">
        <f t="shared" si="46"/>
        <v>0.4</v>
      </c>
      <c r="N230" s="136">
        <f t="shared" si="46"/>
        <v>0.4</v>
      </c>
      <c r="O230" s="136">
        <f t="shared" si="46"/>
        <v>0.4</v>
      </c>
      <c r="P230" s="136">
        <f t="shared" si="46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45"/>
        <v>0</v>
      </c>
      <c r="C231" s="140">
        <v>0.64</v>
      </c>
      <c r="D231" s="140">
        <f t="shared" si="46"/>
        <v>0.64</v>
      </c>
      <c r="E231" s="140">
        <f t="shared" si="46"/>
        <v>0.64</v>
      </c>
      <c r="F231" s="140">
        <f t="shared" si="46"/>
        <v>0.64</v>
      </c>
      <c r="G231" s="140">
        <f t="shared" si="46"/>
        <v>0.64</v>
      </c>
      <c r="H231" s="140">
        <f t="shared" si="46"/>
        <v>0.64</v>
      </c>
      <c r="I231" s="140">
        <f t="shared" si="46"/>
        <v>0.64</v>
      </c>
      <c r="J231" s="140">
        <f t="shared" si="46"/>
        <v>0.64</v>
      </c>
      <c r="K231" s="140">
        <f t="shared" si="46"/>
        <v>0.64</v>
      </c>
      <c r="L231" s="140">
        <f t="shared" si="46"/>
        <v>0.64</v>
      </c>
      <c r="M231" s="140">
        <f t="shared" si="46"/>
        <v>0.64</v>
      </c>
      <c r="N231" s="140">
        <f t="shared" si="46"/>
        <v>0.64</v>
      </c>
      <c r="O231" s="140">
        <f t="shared" si="46"/>
        <v>0.64</v>
      </c>
      <c r="P231" s="140">
        <f t="shared" si="46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47">SUM(B226:B231)</f>
        <v>0</v>
      </c>
      <c r="C232" s="144">
        <f t="shared" si="47"/>
        <v>3.54</v>
      </c>
      <c r="D232" s="144">
        <f t="shared" si="47"/>
        <v>3.54</v>
      </c>
      <c r="E232" s="144">
        <f t="shared" si="47"/>
        <v>3.54</v>
      </c>
      <c r="F232" s="144">
        <f t="shared" si="47"/>
        <v>3.54</v>
      </c>
      <c r="G232" s="144">
        <f t="shared" si="47"/>
        <v>3.54</v>
      </c>
      <c r="H232" s="144">
        <f t="shared" si="47"/>
        <v>3.54</v>
      </c>
      <c r="I232" s="144">
        <f t="shared" ca="1" si="47"/>
        <v>3.54</v>
      </c>
      <c r="J232" s="144">
        <f t="shared" ca="1" si="47"/>
        <v>3.54</v>
      </c>
      <c r="K232" s="144">
        <f t="shared" ca="1" si="47"/>
        <v>3.54</v>
      </c>
      <c r="L232" s="144">
        <f t="shared" ca="1" si="47"/>
        <v>3.54</v>
      </c>
      <c r="M232" s="144">
        <f t="shared" ca="1" si="47"/>
        <v>3.54</v>
      </c>
      <c r="N232" s="144">
        <f t="shared" ca="1" si="47"/>
        <v>3.54</v>
      </c>
      <c r="O232" s="144">
        <f t="shared" ca="1" si="47"/>
        <v>3.54</v>
      </c>
      <c r="P232" s="144">
        <f t="shared" ca="1" si="47"/>
        <v>3.54</v>
      </c>
      <c r="Q232" s="144">
        <f t="shared" si="47"/>
        <v>0</v>
      </c>
      <c r="R232" s="144">
        <f t="shared" si="47"/>
        <v>0</v>
      </c>
      <c r="S232" s="144">
        <f t="shared" si="47"/>
        <v>0</v>
      </c>
      <c r="T232" s="144">
        <f t="shared" si="47"/>
        <v>0</v>
      </c>
      <c r="U232" s="144">
        <f t="shared" si="47"/>
        <v>0</v>
      </c>
      <c r="V232" s="144">
        <f t="shared" si="47"/>
        <v>0</v>
      </c>
      <c r="W232" s="144">
        <f t="shared" si="47"/>
        <v>0</v>
      </c>
      <c r="X232" s="144">
        <f t="shared" si="47"/>
        <v>0</v>
      </c>
      <c r="Y232" s="144">
        <f t="shared" si="47"/>
        <v>0</v>
      </c>
      <c r="Z232" s="144">
        <f t="shared" si="47"/>
        <v>0</v>
      </c>
      <c r="AA232" s="144">
        <f t="shared" si="47"/>
        <v>0</v>
      </c>
      <c r="AB232" s="144">
        <f t="shared" si="47"/>
        <v>0</v>
      </c>
      <c r="AC232" s="144">
        <f t="shared" si="47"/>
        <v>0</v>
      </c>
      <c r="AD232" s="144">
        <f t="shared" si="47"/>
        <v>0</v>
      </c>
      <c r="AE232" s="144">
        <f t="shared" si="47"/>
        <v>0</v>
      </c>
      <c r="AF232" s="144">
        <f t="shared" si="47"/>
        <v>0</v>
      </c>
      <c r="AG232" s="154">
        <f t="shared" si="47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1499.54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24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2079/12/24)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2079/12/24)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48">B89</f>
        <v>1166.44</v>
      </c>
      <c r="U246" s="180">
        <f t="shared" si="48"/>
        <v>1204.44</v>
      </c>
      <c r="V246" s="180">
        <f t="shared" si="48"/>
        <v>1169.44</v>
      </c>
      <c r="W246" s="180">
        <f t="shared" si="48"/>
        <v>1164.6400000000001</v>
      </c>
      <c r="X246" s="180">
        <f t="shared" si="48"/>
        <v>1179.8400000000001</v>
      </c>
      <c r="Y246" s="180">
        <f t="shared" si="48"/>
        <v>1210.44</v>
      </c>
      <c r="Z246" s="180">
        <f t="shared" si="48"/>
        <v>1234.1399999999999</v>
      </c>
      <c r="AA246" s="180">
        <f t="shared" si="48"/>
        <v>1305.44</v>
      </c>
      <c r="AB246" s="180">
        <f t="shared" si="48"/>
        <v>1407.3400000000001</v>
      </c>
      <c r="AC246" s="180">
        <f t="shared" si="48"/>
        <v>1436.2399999999998</v>
      </c>
      <c r="AD246" s="180">
        <f t="shared" si="48"/>
        <v>1488.7399999999998</v>
      </c>
      <c r="AE246" s="180">
        <f t="shared" si="48"/>
        <v>1458.54</v>
      </c>
      <c r="AF246" s="180">
        <f t="shared" si="48"/>
        <v>1499.54</v>
      </c>
      <c r="AG246" s="180">
        <f t="shared" si="48"/>
        <v>1382.0400000000002</v>
      </c>
      <c r="AH246" s="180">
        <f t="shared" si="48"/>
        <v>1499.8400000000001</v>
      </c>
      <c r="AI246" s="180">
        <f t="shared" si="48"/>
        <v>1521.94</v>
      </c>
      <c r="AJ246" s="180">
        <f t="shared" si="48"/>
        <v>1480.74</v>
      </c>
      <c r="AK246" s="180">
        <f t="shared" si="48"/>
        <v>1515.54</v>
      </c>
      <c r="AL246" s="180">
        <f t="shared" si="48"/>
        <v>1494.7399999999998</v>
      </c>
      <c r="AM246" s="180">
        <f t="shared" si="48"/>
        <v>1523.7399999999998</v>
      </c>
      <c r="AN246" s="180">
        <f t="shared" si="48"/>
        <v>1485.5400000000002</v>
      </c>
      <c r="AO246" s="180">
        <f t="shared" si="48"/>
        <v>1448.2400000000002</v>
      </c>
      <c r="AP246" s="180">
        <f t="shared" si="48"/>
        <v>1508.14</v>
      </c>
      <c r="AQ246" s="180">
        <f t="shared" si="48"/>
        <v>1622.74</v>
      </c>
      <c r="AR246" s="180">
        <f t="shared" si="48"/>
        <v>1654.14</v>
      </c>
      <c r="AS246" s="180">
        <f t="shared" si="48"/>
        <v>1619.14</v>
      </c>
      <c r="AT246" s="180">
        <f t="shared" si="48"/>
        <v>1572.24</v>
      </c>
      <c r="AU246" s="180">
        <f t="shared" si="48"/>
        <v>1531.8400000000001</v>
      </c>
      <c r="AV246" s="180">
        <f t="shared" si="48"/>
        <v>1265.44</v>
      </c>
      <c r="AW246" s="180">
        <f t="shared" si="48"/>
        <v>1317.3400000000001</v>
      </c>
      <c r="AX246" s="180">
        <f t="shared" si="48"/>
        <v>1272.1399999999999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49">C231</f>
        <v>0.64</v>
      </c>
      <c r="C267" s="183">
        <f t="shared" si="49"/>
        <v>0.64</v>
      </c>
      <c r="D267" s="183">
        <f t="shared" si="49"/>
        <v>0.64</v>
      </c>
      <c r="E267" s="183">
        <f t="shared" si="49"/>
        <v>0.64</v>
      </c>
      <c r="F267" s="183">
        <f t="shared" si="49"/>
        <v>0.64</v>
      </c>
      <c r="G267" s="183">
        <f t="shared" si="49"/>
        <v>0.64</v>
      </c>
      <c r="H267" s="183">
        <f t="shared" si="49"/>
        <v>0.64</v>
      </c>
      <c r="I267" s="183">
        <f t="shared" si="49"/>
        <v>0.64</v>
      </c>
      <c r="J267" s="183">
        <f t="shared" si="49"/>
        <v>0.64</v>
      </c>
      <c r="K267" s="183">
        <f t="shared" si="49"/>
        <v>0.64</v>
      </c>
      <c r="L267" s="183">
        <f t="shared" si="49"/>
        <v>0.64</v>
      </c>
      <c r="M267" s="183">
        <f t="shared" si="49"/>
        <v>0.64</v>
      </c>
      <c r="N267" s="183">
        <f t="shared" si="49"/>
        <v>0.64</v>
      </c>
      <c r="O267" s="183">
        <f t="shared" si="49"/>
        <v>0.64</v>
      </c>
      <c r="P267" s="183">
        <f t="shared" si="49"/>
        <v>0</v>
      </c>
      <c r="Q267" s="183">
        <f t="shared" si="49"/>
        <v>0</v>
      </c>
      <c r="R267" s="183">
        <f t="shared" si="49"/>
        <v>0</v>
      </c>
      <c r="S267" s="183">
        <f t="shared" si="49"/>
        <v>0</v>
      </c>
      <c r="T267" s="183">
        <f t="shared" si="49"/>
        <v>0</v>
      </c>
      <c r="U267" s="183">
        <f t="shared" si="49"/>
        <v>0</v>
      </c>
      <c r="V267" s="183">
        <f t="shared" si="49"/>
        <v>0</v>
      </c>
      <c r="W267" s="183">
        <f t="shared" si="49"/>
        <v>0</v>
      </c>
      <c r="X267" s="183">
        <f t="shared" si="49"/>
        <v>0</v>
      </c>
      <c r="Y267" s="183">
        <f t="shared" si="49"/>
        <v>0</v>
      </c>
      <c r="Z267" s="183">
        <f t="shared" si="49"/>
        <v>0</v>
      </c>
      <c r="AA267" s="183">
        <f t="shared" si="49"/>
        <v>0</v>
      </c>
      <c r="AB267" s="183">
        <f t="shared" si="49"/>
        <v>0</v>
      </c>
      <c r="AC267" s="183">
        <f t="shared" si="49"/>
        <v>0</v>
      </c>
      <c r="AD267" s="183">
        <f t="shared" si="49"/>
        <v>0</v>
      </c>
      <c r="AE267" s="183">
        <f t="shared" si="49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50">IF(B235&lt;100,"",B235-520)</f>
        <v/>
      </c>
      <c r="C268" s="184" t="str">
        <f t="shared" si="50"/>
        <v/>
      </c>
      <c r="D268" s="184" t="str">
        <f t="shared" si="50"/>
        <v/>
      </c>
      <c r="E268" s="184" t="str">
        <f t="shared" si="50"/>
        <v/>
      </c>
      <c r="F268" s="184" t="str">
        <f t="shared" si="50"/>
        <v/>
      </c>
      <c r="G268" s="184" t="str">
        <f t="shared" si="50"/>
        <v/>
      </c>
      <c r="H268" s="184" t="str">
        <f t="shared" si="50"/>
        <v/>
      </c>
      <c r="I268" s="184" t="str">
        <f t="shared" si="50"/>
        <v/>
      </c>
      <c r="J268" s="184" t="str">
        <f t="shared" si="50"/>
        <v/>
      </c>
      <c r="K268" s="184" t="str">
        <f t="shared" si="50"/>
        <v/>
      </c>
      <c r="L268" s="184" t="str">
        <f t="shared" si="50"/>
        <v/>
      </c>
      <c r="M268" s="184" t="str">
        <f t="shared" si="50"/>
        <v/>
      </c>
      <c r="N268" s="184" t="str">
        <f t="shared" si="50"/>
        <v/>
      </c>
      <c r="O268" s="184" t="str">
        <f t="shared" si="50"/>
        <v/>
      </c>
      <c r="P268" s="184" t="str">
        <f t="shared" si="50"/>
        <v/>
      </c>
      <c r="Q268" s="184" t="str">
        <f t="shared" si="50"/>
        <v/>
      </c>
      <c r="R268" s="184" t="str">
        <f t="shared" si="50"/>
        <v/>
      </c>
      <c r="S268" s="184" t="str">
        <f t="shared" si="50"/>
        <v/>
      </c>
      <c r="T268" s="184" t="str">
        <f t="shared" si="50"/>
        <v/>
      </c>
      <c r="U268" s="184" t="str">
        <f t="shared" si="50"/>
        <v/>
      </c>
      <c r="V268" s="184" t="str">
        <f t="shared" si="50"/>
        <v/>
      </c>
      <c r="W268" s="184" t="str">
        <f t="shared" si="50"/>
        <v/>
      </c>
      <c r="X268" s="184" t="str">
        <f t="shared" si="50"/>
        <v/>
      </c>
      <c r="Y268" s="184" t="str">
        <f t="shared" si="50"/>
        <v/>
      </c>
      <c r="Z268" s="184" t="str">
        <f t="shared" si="50"/>
        <v/>
      </c>
      <c r="AA268" s="184" t="str">
        <f t="shared" si="50"/>
        <v/>
      </c>
      <c r="AB268" s="184" t="str">
        <f t="shared" si="50"/>
        <v/>
      </c>
      <c r="AC268" s="184" t="str">
        <f t="shared" si="50"/>
        <v/>
      </c>
      <c r="AD268" s="184" t="str">
        <f t="shared" si="50"/>
        <v/>
      </c>
      <c r="AE268" s="184" t="str">
        <f t="shared" si="50"/>
        <v/>
      </c>
      <c r="AF268" s="184" t="str">
        <f t="shared" si="50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51">IF(B236&lt;100,"",B236-620)</f>
        <v/>
      </c>
      <c r="C269" s="184" t="str">
        <f t="shared" si="51"/>
        <v/>
      </c>
      <c r="D269" s="184" t="str">
        <f t="shared" si="51"/>
        <v/>
      </c>
      <c r="E269" s="184" t="str">
        <f t="shared" si="51"/>
        <v/>
      </c>
      <c r="F269" s="184" t="str">
        <f t="shared" si="51"/>
        <v/>
      </c>
      <c r="G269" s="184" t="str">
        <f t="shared" si="51"/>
        <v/>
      </c>
      <c r="H269" s="184" t="str">
        <f t="shared" si="51"/>
        <v/>
      </c>
      <c r="I269" s="184" t="str">
        <f t="shared" si="51"/>
        <v/>
      </c>
      <c r="J269" s="184" t="str">
        <f t="shared" si="51"/>
        <v/>
      </c>
      <c r="K269" s="184" t="str">
        <f t="shared" si="51"/>
        <v/>
      </c>
      <c r="L269" s="184" t="str">
        <f t="shared" si="51"/>
        <v/>
      </c>
      <c r="M269" s="184" t="str">
        <f t="shared" si="51"/>
        <v/>
      </c>
      <c r="N269" s="184" t="str">
        <f t="shared" si="51"/>
        <v/>
      </c>
      <c r="O269" s="184" t="str">
        <f t="shared" si="51"/>
        <v/>
      </c>
      <c r="P269" s="184" t="str">
        <f t="shared" si="51"/>
        <v/>
      </c>
      <c r="Q269" s="184" t="str">
        <f t="shared" si="51"/>
        <v/>
      </c>
      <c r="R269" s="184" t="str">
        <f t="shared" si="51"/>
        <v/>
      </c>
      <c r="S269" s="184" t="str">
        <f t="shared" si="51"/>
        <v/>
      </c>
      <c r="T269" s="184" t="str">
        <f t="shared" si="51"/>
        <v/>
      </c>
      <c r="U269" s="184" t="str">
        <f t="shared" si="51"/>
        <v/>
      </c>
      <c r="V269" s="184" t="str">
        <f t="shared" si="51"/>
        <v/>
      </c>
      <c r="W269" s="184" t="str">
        <f t="shared" si="51"/>
        <v/>
      </c>
      <c r="X269" s="184" t="str">
        <f t="shared" si="51"/>
        <v/>
      </c>
      <c r="Y269" s="184" t="str">
        <f t="shared" si="51"/>
        <v/>
      </c>
      <c r="Z269" s="184" t="str">
        <f t="shared" si="51"/>
        <v/>
      </c>
      <c r="AA269" s="184" t="str">
        <f t="shared" si="51"/>
        <v/>
      </c>
      <c r="AB269" s="184" t="str">
        <f t="shared" si="51"/>
        <v/>
      </c>
      <c r="AC269" s="184" t="str">
        <f t="shared" si="51"/>
        <v/>
      </c>
      <c r="AD269" s="184" t="str">
        <f t="shared" si="51"/>
        <v/>
      </c>
      <c r="AE269" s="184" t="str">
        <f t="shared" si="51"/>
        <v/>
      </c>
      <c r="AF269" s="184" t="str">
        <f t="shared" si="51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52">IF(B237&lt;100,"",B237-330)</f>
        <v/>
      </c>
      <c r="C270" s="184" t="str">
        <f t="shared" si="52"/>
        <v/>
      </c>
      <c r="D270" s="184" t="str">
        <f t="shared" si="52"/>
        <v/>
      </c>
      <c r="E270" s="184" t="str">
        <f t="shared" si="52"/>
        <v/>
      </c>
      <c r="F270" s="184" t="str">
        <f t="shared" si="52"/>
        <v/>
      </c>
      <c r="G270" s="184" t="str">
        <f t="shared" si="52"/>
        <v/>
      </c>
      <c r="H270" s="184" t="str">
        <f t="shared" si="52"/>
        <v/>
      </c>
      <c r="I270" s="184" t="str">
        <f t="shared" si="52"/>
        <v/>
      </c>
      <c r="J270" s="184" t="str">
        <f t="shared" si="52"/>
        <v/>
      </c>
      <c r="K270" s="184" t="str">
        <f t="shared" si="52"/>
        <v/>
      </c>
      <c r="L270" s="184" t="str">
        <f t="shared" si="52"/>
        <v/>
      </c>
      <c r="M270" s="184" t="str">
        <f t="shared" si="52"/>
        <v/>
      </c>
      <c r="N270" s="184" t="str">
        <f t="shared" si="52"/>
        <v/>
      </c>
      <c r="O270" s="184" t="str">
        <f t="shared" si="52"/>
        <v/>
      </c>
      <c r="P270" s="184" t="str">
        <f t="shared" si="52"/>
        <v/>
      </c>
      <c r="Q270" s="184" t="str">
        <f t="shared" si="52"/>
        <v/>
      </c>
      <c r="R270" s="184" t="str">
        <f t="shared" si="52"/>
        <v/>
      </c>
      <c r="S270" s="184" t="str">
        <f t="shared" si="52"/>
        <v/>
      </c>
      <c r="T270" s="184" t="str">
        <f t="shared" si="52"/>
        <v/>
      </c>
      <c r="U270" s="184" t="str">
        <f t="shared" si="52"/>
        <v/>
      </c>
      <c r="V270" s="184" t="str">
        <f t="shared" si="52"/>
        <v/>
      </c>
      <c r="W270" s="184" t="str">
        <f t="shared" si="52"/>
        <v/>
      </c>
      <c r="X270" s="184" t="str">
        <f t="shared" si="52"/>
        <v/>
      </c>
      <c r="Y270" s="184" t="str">
        <f t="shared" si="52"/>
        <v/>
      </c>
      <c r="Z270" s="184" t="str">
        <f t="shared" si="52"/>
        <v/>
      </c>
      <c r="AA270" s="184" t="str">
        <f t="shared" si="52"/>
        <v/>
      </c>
      <c r="AB270" s="184" t="str">
        <f t="shared" si="52"/>
        <v/>
      </c>
      <c r="AC270" s="184" t="str">
        <f t="shared" si="52"/>
        <v/>
      </c>
      <c r="AD270" s="184" t="str">
        <f t="shared" si="52"/>
        <v/>
      </c>
      <c r="AE270" s="184" t="str">
        <f t="shared" si="52"/>
        <v/>
      </c>
      <c r="AF270" s="184" t="str">
        <f t="shared" si="52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53">IF(B238&lt;100,"",B238-1500)</f>
        <v/>
      </c>
      <c r="C271" s="184" t="str">
        <f t="shared" si="53"/>
        <v/>
      </c>
      <c r="D271" s="184" t="str">
        <f t="shared" si="53"/>
        <v/>
      </c>
      <c r="E271" s="184" t="str">
        <f t="shared" si="53"/>
        <v/>
      </c>
      <c r="F271" s="184" t="str">
        <f t="shared" si="53"/>
        <v/>
      </c>
      <c r="G271" s="184" t="str">
        <f t="shared" si="53"/>
        <v/>
      </c>
      <c r="H271" s="184" t="str">
        <f t="shared" si="53"/>
        <v/>
      </c>
      <c r="I271" s="184" t="str">
        <f t="shared" si="53"/>
        <v/>
      </c>
      <c r="J271" s="184" t="str">
        <f t="shared" si="53"/>
        <v/>
      </c>
      <c r="K271" s="184" t="str">
        <f t="shared" si="53"/>
        <v/>
      </c>
      <c r="L271" s="184" t="str">
        <f t="shared" si="53"/>
        <v/>
      </c>
      <c r="M271" s="184" t="str">
        <f t="shared" si="53"/>
        <v/>
      </c>
      <c r="N271" s="184" t="str">
        <f t="shared" si="53"/>
        <v/>
      </c>
      <c r="O271" s="184" t="str">
        <f t="shared" si="53"/>
        <v/>
      </c>
      <c r="P271" s="184" t="str">
        <f t="shared" si="53"/>
        <v/>
      </c>
      <c r="Q271" s="184" t="str">
        <f t="shared" si="53"/>
        <v/>
      </c>
      <c r="R271" s="184" t="str">
        <f t="shared" si="53"/>
        <v/>
      </c>
      <c r="S271" s="184" t="str">
        <f t="shared" si="53"/>
        <v/>
      </c>
      <c r="T271" s="184" t="str">
        <f t="shared" si="53"/>
        <v/>
      </c>
      <c r="U271" s="184" t="str">
        <f t="shared" si="53"/>
        <v/>
      </c>
      <c r="V271" s="184" t="str">
        <f t="shared" si="53"/>
        <v/>
      </c>
      <c r="W271" s="184" t="str">
        <f t="shared" si="53"/>
        <v/>
      </c>
      <c r="X271" s="184" t="str">
        <f t="shared" si="53"/>
        <v/>
      </c>
      <c r="Y271" s="184" t="str">
        <f t="shared" si="53"/>
        <v/>
      </c>
      <c r="Z271" s="184" t="str">
        <f t="shared" si="53"/>
        <v/>
      </c>
      <c r="AA271" s="184" t="str">
        <f t="shared" si="53"/>
        <v/>
      </c>
      <c r="AB271" s="184" t="str">
        <f t="shared" si="53"/>
        <v/>
      </c>
      <c r="AC271" s="184" t="str">
        <f t="shared" si="53"/>
        <v/>
      </c>
      <c r="AD271" s="184" t="str">
        <f t="shared" si="53"/>
        <v/>
      </c>
      <c r="AE271" s="184" t="str">
        <f t="shared" si="53"/>
        <v/>
      </c>
      <c r="AF271" s="184" t="str">
        <f t="shared" si="53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3452" priority="344">
      <formula>B$9&gt;=20/24</formula>
    </cfRule>
    <cfRule type="expression" dxfId="3451" priority="345">
      <formula>AND(B$9&gt;=14/24,B$9&lt;20/24)</formula>
    </cfRule>
    <cfRule type="expression" dxfId="3450" priority="346">
      <formula>AND(B$9&gt;=8/24,B$9&lt;14/24)</formula>
    </cfRule>
    <cfRule type="expression" dxfId="3449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3448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3447" priority="341">
      <formula>$AH12=0</formula>
    </cfRule>
  </conditionalFormatting>
  <conditionalFormatting sqref="A114">
    <cfRule type="expression" dxfId="3446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445" priority="338">
      <formula>$AH45=0</formula>
    </cfRule>
  </conditionalFormatting>
  <conditionalFormatting sqref="A98">
    <cfRule type="expression" dxfId="3444" priority="337">
      <formula>$AH98=0</formula>
    </cfRule>
  </conditionalFormatting>
  <conditionalFormatting sqref="A18">
    <cfRule type="expression" dxfId="3443" priority="336">
      <formula>$AH18=0</formula>
    </cfRule>
  </conditionalFormatting>
  <conditionalFormatting sqref="A196:A201">
    <cfRule type="expression" dxfId="3442" priority="335">
      <formula>$AH196=0</formula>
    </cfRule>
  </conditionalFormatting>
  <conditionalFormatting sqref="A190:A195">
    <cfRule type="expression" dxfId="3441" priority="334">
      <formula>$AH190=0</formula>
    </cfRule>
  </conditionalFormatting>
  <conditionalFormatting sqref="A58">
    <cfRule type="expression" dxfId="3440" priority="333">
      <formula>$AH58=0</formula>
    </cfRule>
  </conditionalFormatting>
  <conditionalFormatting sqref="A94">
    <cfRule type="expression" dxfId="3439" priority="332">
      <formula>$AH94=0</formula>
    </cfRule>
  </conditionalFormatting>
  <conditionalFormatting sqref="AD99:AF99 E99:X99">
    <cfRule type="expression" dxfId="3438" priority="328">
      <formula>E$9&gt;=20/24</formula>
    </cfRule>
    <cfRule type="expression" dxfId="3437" priority="329">
      <formula>AND(E$9&gt;=14/24,E$9&lt;20/24)</formula>
    </cfRule>
    <cfRule type="expression" dxfId="3436" priority="330">
      <formula>AND(E$9&gt;=8/24,E$9&lt;14/24)</formula>
    </cfRule>
    <cfRule type="expression" dxfId="3435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34" priority="350">
      <formula>C$9&gt;=20/24</formula>
    </cfRule>
    <cfRule type="expression" dxfId="3433" priority="351">
      <formula>AND(C$9&gt;=14/24,C$9&lt;20/24)</formula>
    </cfRule>
    <cfRule type="expression" dxfId="3432" priority="352">
      <formula>AND(C$9&gt;=8/24,C$9&lt;14/24)</formula>
    </cfRule>
    <cfRule type="expression" dxfId="3431" priority="353">
      <formula>C$9&lt;8/24</formula>
    </cfRule>
  </conditionalFormatting>
  <conditionalFormatting sqref="A233">
    <cfRule type="expression" dxfId="3430" priority="354">
      <formula>$AH233=0</formula>
    </cfRule>
  </conditionalFormatting>
  <conditionalFormatting sqref="AG245">
    <cfRule type="expression" dxfId="3429" priority="355">
      <formula>B$9&gt;=20/24</formula>
    </cfRule>
    <cfRule type="expression" dxfId="3428" priority="356">
      <formula>AND(B$9&gt;=14/24,B$9&lt;20/24)</formula>
    </cfRule>
    <cfRule type="expression" dxfId="3427" priority="357">
      <formula>AND(B$9&gt;=8/24,B$9&lt;14/24)</formula>
    </cfRule>
    <cfRule type="expression" dxfId="3426" priority="358">
      <formula>B$9&lt;8/24</formula>
    </cfRule>
  </conditionalFormatting>
  <conditionalFormatting sqref="S8">
    <cfRule type="expression" dxfId="3425" priority="323">
      <formula>U$9&gt;=20/24</formula>
    </cfRule>
    <cfRule type="expression" dxfId="3424" priority="324">
      <formula>AND(U$9&gt;=14/24,U$9&lt;20/24)</formula>
    </cfRule>
    <cfRule type="expression" dxfId="3423" priority="325">
      <formula>AND(U$9&gt;=8/24,U$9&lt;14/24)</formula>
    </cfRule>
    <cfRule type="expression" dxfId="3422" priority="326">
      <formula>U$9&lt;8/24</formula>
    </cfRule>
  </conditionalFormatting>
  <conditionalFormatting sqref="AB8">
    <cfRule type="expression" dxfId="3421" priority="319">
      <formula>AD$9&gt;=20/24</formula>
    </cfRule>
    <cfRule type="expression" dxfId="3420" priority="320">
      <formula>AND(AD$9&gt;=14/24,AD$9&lt;20/24)</formula>
    </cfRule>
    <cfRule type="expression" dxfId="3419" priority="321">
      <formula>AND(AD$9&gt;=8/24,AD$9&lt;14/24)</formula>
    </cfRule>
    <cfRule type="expression" dxfId="3418" priority="322">
      <formula>AD$9&lt;8/24</formula>
    </cfRule>
  </conditionalFormatting>
  <conditionalFormatting sqref="AH245:AX245">
    <cfRule type="expression" dxfId="3417" priority="359">
      <formula>AG$9&gt;=20/24</formula>
    </cfRule>
    <cfRule type="expression" dxfId="3416" priority="360">
      <formula>AND(AG$9&gt;=14/24,AG$9&lt;20/24)</formula>
    </cfRule>
    <cfRule type="expression" dxfId="3415" priority="361">
      <formula>AND(AG$9&gt;=8/24,AG$9&lt;14/24)</formula>
    </cfRule>
    <cfRule type="expression" dxfId="3414" priority="362">
      <formula>AG$9&lt;8/24</formula>
    </cfRule>
  </conditionalFormatting>
  <conditionalFormatting sqref="T245">
    <cfRule type="expression" dxfId="3413" priority="363">
      <formula>AX$9&gt;=20/24</formula>
    </cfRule>
    <cfRule type="expression" dxfId="3412" priority="364">
      <formula>AND(AX$9&gt;=14/24,AX$9&lt;20/24)</formula>
    </cfRule>
    <cfRule type="expression" dxfId="3411" priority="365">
      <formula>AND(AX$9&gt;=8/24,AX$9&lt;14/24)</formula>
    </cfRule>
    <cfRule type="expression" dxfId="3410" priority="366">
      <formula>AX$9&lt;8/24</formula>
    </cfRule>
  </conditionalFormatting>
  <conditionalFormatting sqref="A115:A116">
    <cfRule type="expression" dxfId="3409" priority="318">
      <formula>$AH115=0</formula>
    </cfRule>
  </conditionalFormatting>
  <conditionalFormatting sqref="M54:O57 P54:AA58 E71:AF71 AB54:AF57">
    <cfRule type="expression" dxfId="3408" priority="314">
      <formula>E$9&gt;=20/24</formula>
    </cfRule>
    <cfRule type="expression" dxfId="3407" priority="315">
      <formula>AND(E$9&gt;=14/24,E$9&lt;20/24)</formula>
    </cfRule>
    <cfRule type="expression" dxfId="3406" priority="316">
      <formula>AND(E$9&gt;=8/24,E$9&lt;14/24)</formula>
    </cfRule>
    <cfRule type="expression" dxfId="3405" priority="317">
      <formula>E$9&lt;8/24</formula>
    </cfRule>
  </conditionalFormatting>
  <conditionalFormatting sqref="M53:AF53">
    <cfRule type="expression" dxfId="3404" priority="310">
      <formula>M$9&gt;=20/24</formula>
    </cfRule>
    <cfRule type="expression" dxfId="3403" priority="311">
      <formula>AND(M$9&gt;=14/24,M$9&lt;20/24)</formula>
    </cfRule>
    <cfRule type="expression" dxfId="3402" priority="312">
      <formula>AND(M$9&gt;=8/24,M$9&lt;14/24)</formula>
    </cfRule>
    <cfRule type="expression" dxfId="3401" priority="313">
      <formula>M$9&lt;8/24</formula>
    </cfRule>
  </conditionalFormatting>
  <conditionalFormatting sqref="M53:O57 P53:AA58 AB53:AF57">
    <cfRule type="expression" dxfId="3400" priority="309">
      <formula>M53&gt;$AG53</formula>
    </cfRule>
  </conditionalFormatting>
  <conditionalFormatting sqref="AA96:AF96 AB47:AF47 M100:X106 D86:AF86 E72:AF73 AB67:AF69 AB74:AF74 AD100:AF106">
    <cfRule type="expression" dxfId="3399" priority="305">
      <formula>D$9&gt;=20/24</formula>
    </cfRule>
    <cfRule type="expression" dxfId="3398" priority="306">
      <formula>AND(D$9&gt;=14/24,D$9&lt;20/24)</formula>
    </cfRule>
    <cfRule type="expression" dxfId="3397" priority="307">
      <formula>AND(D$9&gt;=8/24,D$9&lt;14/24)</formula>
    </cfRule>
    <cfRule type="expression" dxfId="3396" priority="308">
      <formula>D$9&lt;8/24</formula>
    </cfRule>
  </conditionalFormatting>
  <conditionalFormatting sqref="AB47:AF47 AB67:AF69">
    <cfRule type="expression" dxfId="3395" priority="304">
      <formula>AB47&gt;$AG47</formula>
    </cfRule>
  </conditionalFormatting>
  <conditionalFormatting sqref="C97:AF97 D88:AF88">
    <cfRule type="expression" dxfId="3394" priority="295">
      <formula>C$9&gt;=20/24</formula>
    </cfRule>
    <cfRule type="expression" dxfId="3393" priority="296">
      <formula>AND(C$9&gt;=14/24,C$9&lt;20/24)</formula>
    </cfRule>
    <cfRule type="expression" dxfId="3392" priority="297">
      <formula>AND(C$9&gt;=8/24,C$9&lt;14/24)</formula>
    </cfRule>
    <cfRule type="expression" dxfId="3391" priority="298">
      <formula>C$9&lt;8/24</formula>
    </cfRule>
  </conditionalFormatting>
  <conditionalFormatting sqref="E54:L55">
    <cfRule type="expression" dxfId="3390" priority="286">
      <formula>E$9&gt;=20/24</formula>
    </cfRule>
    <cfRule type="expression" dxfId="3389" priority="287">
      <formula>AND(E$9&gt;=14/24,E$9&lt;20/24)</formula>
    </cfRule>
    <cfRule type="expression" dxfId="3388" priority="288">
      <formula>AND(E$9&gt;=8/24,E$9&lt;14/24)</formula>
    </cfRule>
    <cfRule type="expression" dxfId="3387" priority="289">
      <formula>E$9&lt;8/24</formula>
    </cfRule>
  </conditionalFormatting>
  <conditionalFormatting sqref="E53:L53">
    <cfRule type="expression" dxfId="3386" priority="282">
      <formula>E$9&gt;=20/24</formula>
    </cfRule>
    <cfRule type="expression" dxfId="3385" priority="283">
      <formula>AND(E$9&gt;=14/24,E$9&lt;20/24)</formula>
    </cfRule>
    <cfRule type="expression" dxfId="3384" priority="284">
      <formula>AND(E$9&gt;=8/24,E$9&lt;14/24)</formula>
    </cfRule>
    <cfRule type="expression" dxfId="3383" priority="285">
      <formula>E$9&lt;8/24</formula>
    </cfRule>
  </conditionalFormatting>
  <conditionalFormatting sqref="E53:L55">
    <cfRule type="expression" dxfId="3382" priority="281">
      <formula>E53&gt;$AG53</formula>
    </cfRule>
  </conditionalFormatting>
  <conditionalFormatting sqref="AG70 AG87 E100:L106 R67:AA69">
    <cfRule type="expression" dxfId="3381" priority="277">
      <formula>E$9&gt;=20/24</formula>
    </cfRule>
    <cfRule type="expression" dxfId="3380" priority="278">
      <formula>AND(E$9&gt;=14/24,E$9&lt;20/24)</formula>
    </cfRule>
    <cfRule type="expression" dxfId="3379" priority="279">
      <formula>AND(E$9&gt;=8/24,E$9&lt;14/24)</formula>
    </cfRule>
    <cfRule type="expression" dxfId="3378" priority="280">
      <formula>E$9&lt;8/24</formula>
    </cfRule>
  </conditionalFormatting>
  <conditionalFormatting sqref="AG48 AG66 AG70 R67:AA69">
    <cfRule type="expression" dxfId="3377" priority="276">
      <formula>R48&gt;$AG48</formula>
    </cfRule>
  </conditionalFormatting>
  <conditionalFormatting sqref="AB58:AF58">
    <cfRule type="expression" dxfId="3376" priority="272">
      <formula>AB$9&gt;=20/24</formula>
    </cfRule>
    <cfRule type="expression" dxfId="3375" priority="273">
      <formula>AND(AB$9&gt;=14/24,AB$9&lt;20/24)</formula>
    </cfRule>
    <cfRule type="expression" dxfId="3374" priority="274">
      <formula>AND(AB$9&gt;=8/24,AB$9&lt;14/24)</formula>
    </cfRule>
    <cfRule type="expression" dxfId="3373" priority="275">
      <formula>AB$9&lt;8/24</formula>
    </cfRule>
  </conditionalFormatting>
  <conditionalFormatting sqref="AB58:AF58">
    <cfRule type="expression" dxfId="3372" priority="271">
      <formula>AB58&gt;$AG58</formula>
    </cfRule>
  </conditionalFormatting>
  <conditionalFormatting sqref="A43">
    <cfRule type="expression" dxfId="3371" priority="270">
      <formula>$AH43=0</formula>
    </cfRule>
  </conditionalFormatting>
  <conditionalFormatting sqref="AA91:AF95">
    <cfRule type="expression" dxfId="3370" priority="266">
      <formula>AA$9&gt;=20/24</formula>
    </cfRule>
    <cfRule type="expression" dxfId="3369" priority="267">
      <formula>AND(AA$9&gt;=14/24,AA$9&lt;20/24)</formula>
    </cfRule>
    <cfRule type="expression" dxfId="3368" priority="268">
      <formula>AND(AA$9&gt;=8/24,AA$9&lt;14/24)</formula>
    </cfRule>
    <cfRule type="expression" dxfId="3367" priority="269">
      <formula>AA$9&lt;8/24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3366" priority="262">
      <formula>E$9&gt;=20/24</formula>
    </cfRule>
    <cfRule type="expression" dxfId="3365" priority="263">
      <formula>AND(E$9&gt;=14/24,E$9&lt;20/24)</formula>
    </cfRule>
    <cfRule type="expression" dxfId="3364" priority="264">
      <formula>AND(E$9&gt;=8/24,E$9&lt;14/24)</formula>
    </cfRule>
    <cfRule type="expression" dxfId="3363" priority="265">
      <formula>E$9&lt;8/24</formula>
    </cfRule>
  </conditionalFormatting>
  <conditionalFormatting sqref="E49:AF51">
    <cfRule type="expression" dxfId="3362" priority="261">
      <formula>E49&gt;$AG49</formula>
    </cfRule>
  </conditionalFormatting>
  <conditionalFormatting sqref="AG52">
    <cfRule type="expression" dxfId="3361" priority="257">
      <formula>AG$9&gt;=20/24</formula>
    </cfRule>
    <cfRule type="expression" dxfId="3360" priority="258">
      <formula>AND(AG$9&gt;=14/24,AG$9&lt;20/24)</formula>
    </cfRule>
    <cfRule type="expression" dxfId="3359" priority="259">
      <formula>AND(AG$9&gt;=8/24,AG$9&lt;14/24)</formula>
    </cfRule>
    <cfRule type="expression" dxfId="3358" priority="260">
      <formula>AG$9&lt;8/24</formula>
    </cfRule>
  </conditionalFormatting>
  <conditionalFormatting sqref="AG52">
    <cfRule type="expression" dxfId="3357" priority="256">
      <formula>AG52&gt;$AG52</formula>
    </cfRule>
  </conditionalFormatting>
  <conditionalFormatting sqref="C107:AF107">
    <cfRule type="expression" dxfId="3356" priority="252">
      <formula>C$9&gt;=20/24</formula>
    </cfRule>
    <cfRule type="expression" dxfId="3355" priority="253">
      <formula>AND(C$9&gt;=14/24,C$9&lt;20/24)</formula>
    </cfRule>
    <cfRule type="expression" dxfId="3354" priority="254">
      <formula>AND(C$9&gt;=8/24,C$9&lt;14/24)</formula>
    </cfRule>
    <cfRule type="expression" dxfId="3353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3352" priority="250">
      <formula>$AH40=0</formula>
    </cfRule>
  </conditionalFormatting>
  <conditionalFormatting sqref="A90">
    <cfRule type="expression" dxfId="3351" priority="248">
      <formula>$AH90=0</formula>
    </cfRule>
  </conditionalFormatting>
  <conditionalFormatting sqref="A87">
    <cfRule type="expression" dxfId="3350" priority="249">
      <formula>$AH87=0</formula>
    </cfRule>
  </conditionalFormatting>
  <conditionalFormatting sqref="M117:O117 D110:AF110">
    <cfRule type="expression" dxfId="3349" priority="244">
      <formula>D$9&gt;=20/24</formula>
    </cfRule>
    <cfRule type="expression" dxfId="3348" priority="245">
      <formula>AND(D$9&gt;=14/24,D$9&lt;20/24)</formula>
    </cfRule>
    <cfRule type="expression" dxfId="3347" priority="246">
      <formula>AND(D$9&gt;=8/24,D$9&lt;14/24)</formula>
    </cfRule>
    <cfRule type="expression" dxfId="3346" priority="247">
      <formula>D$9&lt;8/24</formula>
    </cfRule>
  </conditionalFormatting>
  <conditionalFormatting sqref="A110">
    <cfRule type="expression" dxfId="3345" priority="243">
      <formula>$AH110=0</formula>
    </cfRule>
  </conditionalFormatting>
  <conditionalFormatting sqref="A21">
    <cfRule type="expression" dxfId="3344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343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3342" priority="235">
      <formula>Y$9&gt;=20/24</formula>
    </cfRule>
    <cfRule type="expression" dxfId="3341" priority="236">
      <formula>AND(Y$9&gt;=14/24,Y$9&lt;20/24)</formula>
    </cfRule>
    <cfRule type="expression" dxfId="3340" priority="237">
      <formula>AND(Y$9&gt;=8/24,Y$9&lt;14/24)</formula>
    </cfRule>
    <cfRule type="expression" dxfId="3339" priority="238">
      <formula>Y$9&lt;8/24</formula>
    </cfRule>
  </conditionalFormatting>
  <conditionalFormatting sqref="Y100:AC106">
    <cfRule type="expression" dxfId="3338" priority="231">
      <formula>Y$9&gt;=20/24</formula>
    </cfRule>
    <cfRule type="expression" dxfId="3337" priority="232">
      <formula>AND(Y$9&gt;=14/24,Y$9&lt;20/24)</formula>
    </cfRule>
    <cfRule type="expression" dxfId="3336" priority="233">
      <formula>AND(Y$9&gt;=8/24,Y$9&lt;14/24)</formula>
    </cfRule>
    <cfRule type="expression" dxfId="3335" priority="234">
      <formula>Y$9&lt;8/24</formula>
    </cfRule>
  </conditionalFormatting>
  <conditionalFormatting sqref="C109 C111:C116">
    <cfRule type="expression" dxfId="3334" priority="227">
      <formula>C$9&gt;=20/24</formula>
    </cfRule>
    <cfRule type="expression" dxfId="3333" priority="228">
      <formula>AND(C$9&gt;=14/24,C$9&lt;20/24)</formula>
    </cfRule>
    <cfRule type="expression" dxfId="3332" priority="229">
      <formula>AND(C$9&gt;=8/24,C$9&lt;14/24)</formula>
    </cfRule>
    <cfRule type="expression" dxfId="3331" priority="230">
      <formula>C$9&lt;8/24</formula>
    </cfRule>
  </conditionalFormatting>
  <conditionalFormatting sqref="C47:AA47">
    <cfRule type="expression" dxfId="3330" priority="223">
      <formula>C$9&gt;=20/24</formula>
    </cfRule>
    <cfRule type="expression" dxfId="3329" priority="224">
      <formula>AND(C$9&gt;=14/24,C$9&lt;20/24)</formula>
    </cfRule>
    <cfRule type="expression" dxfId="3328" priority="225">
      <formula>AND(C$9&gt;=8/24,C$9&lt;14/24)</formula>
    </cfRule>
    <cfRule type="expression" dxfId="3327" priority="226">
      <formula>C$9&lt;8/24</formula>
    </cfRule>
  </conditionalFormatting>
  <conditionalFormatting sqref="C47:AA47">
    <cfRule type="expression" dxfId="3326" priority="222">
      <formula>C47&gt;$AG47</formula>
    </cfRule>
  </conditionalFormatting>
  <conditionalFormatting sqref="D99">
    <cfRule type="expression" dxfId="3325" priority="218">
      <formula>D$9&gt;=20/24</formula>
    </cfRule>
    <cfRule type="expression" dxfId="3324" priority="219">
      <formula>AND(D$9&gt;=14/24,D$9&lt;20/24)</formula>
    </cfRule>
    <cfRule type="expression" dxfId="3323" priority="220">
      <formula>AND(D$9&gt;=8/24,D$9&lt;14/24)</formula>
    </cfRule>
    <cfRule type="expression" dxfId="3322" priority="221">
      <formula>D$9&lt;8/24</formula>
    </cfRule>
  </conditionalFormatting>
  <conditionalFormatting sqref="C86 D100:D106 E74:M75 M76 E67:Q69 C96:Z96 C83:AF85 N74:AA76 AB75:AF76">
    <cfRule type="expression" dxfId="3321" priority="214">
      <formula>C$9&gt;=20/24</formula>
    </cfRule>
    <cfRule type="expression" dxfId="3320" priority="215">
      <formula>AND(C$9&gt;=14/24,C$9&lt;20/24)</formula>
    </cfRule>
    <cfRule type="expression" dxfId="3319" priority="216">
      <formula>AND(C$9&gt;=8/24,C$9&lt;14/24)</formula>
    </cfRule>
    <cfRule type="expression" dxfId="3318" priority="217">
      <formula>C$9&lt;8/24</formula>
    </cfRule>
  </conditionalFormatting>
  <conditionalFormatting sqref="E56:L56 F57:L57 E67:Q69">
    <cfRule type="expression" dxfId="3317" priority="213">
      <formula>E56&gt;$AG56</formula>
    </cfRule>
  </conditionalFormatting>
  <conditionalFormatting sqref="F58:O58">
    <cfRule type="expression" dxfId="3316" priority="209">
      <formula>F$9&gt;=20/24</formula>
    </cfRule>
    <cfRule type="expression" dxfId="3315" priority="210">
      <formula>AND(F$9&gt;=14/24,F$9&lt;20/24)</formula>
    </cfRule>
    <cfRule type="expression" dxfId="3314" priority="211">
      <formula>AND(F$9&gt;=8/24,F$9&lt;14/24)</formula>
    </cfRule>
    <cfRule type="expression" dxfId="3313" priority="212">
      <formula>F$9&lt;8/24</formula>
    </cfRule>
  </conditionalFormatting>
  <conditionalFormatting sqref="F58:O58">
    <cfRule type="expression" dxfId="3312" priority="208">
      <formula>F58&gt;$AG58</formula>
    </cfRule>
  </conditionalFormatting>
  <conditionalFormatting sqref="B71:D71 B54:D57 E57">
    <cfRule type="expression" dxfId="3311" priority="132">
      <formula>B$9&gt;=20/24</formula>
    </cfRule>
    <cfRule type="expression" dxfId="3310" priority="133">
      <formula>AND(B$9&gt;=14/24,B$9&lt;20/24)</formula>
    </cfRule>
    <cfRule type="expression" dxfId="3309" priority="134">
      <formula>AND(B$9&gt;=8/24,B$9&lt;14/24)</formula>
    </cfRule>
    <cfRule type="expression" dxfId="3308" priority="135">
      <formula>B$9&lt;8/24</formula>
    </cfRule>
  </conditionalFormatting>
  <conditionalFormatting sqref="C98:AF98 C87:AF87 C89:AF89">
    <cfRule type="expression" dxfId="3307" priority="199">
      <formula>C$9&gt;=20/24</formula>
    </cfRule>
    <cfRule type="expression" dxfId="3306" priority="200">
      <formula>AND(C$9&gt;=14/24,C$9&lt;20/24)</formula>
    </cfRule>
    <cfRule type="expression" dxfId="3305" priority="201">
      <formula>AND(C$9&gt;=8/24,C$9&lt;14/24)</formula>
    </cfRule>
    <cfRule type="expression" dxfId="3304" priority="202">
      <formula>C$9&lt;8/24</formula>
    </cfRule>
  </conditionalFormatting>
  <conditionalFormatting sqref="C65:AF66 C48:AF48">
    <cfRule type="expression" dxfId="3303" priority="198">
      <formula>C48&gt;$AG48</formula>
    </cfRule>
  </conditionalFormatting>
  <conditionalFormatting sqref="C82:AF82">
    <cfRule type="expression" dxfId="3302" priority="194">
      <formula>C$9&gt;=20/24</formula>
    </cfRule>
    <cfRule type="expression" dxfId="3301" priority="195">
      <formula>AND(C$9&gt;=14/24,C$9&lt;20/24)</formula>
    </cfRule>
    <cfRule type="expression" dxfId="3300" priority="196">
      <formula>AND(C$9&gt;=8/24,C$9&lt;14/24)</formula>
    </cfRule>
    <cfRule type="expression" dxfId="3299" priority="197">
      <formula>C$9&lt;8/24</formula>
    </cfRule>
  </conditionalFormatting>
  <conditionalFormatting sqref="C91:Z95">
    <cfRule type="expression" dxfId="3298" priority="190">
      <formula>C$9&gt;=20/24</formula>
    </cfRule>
    <cfRule type="expression" dxfId="3297" priority="191">
      <formula>AND(C$9&gt;=14/24,C$9&lt;20/24)</formula>
    </cfRule>
    <cfRule type="expression" dxfId="3296" priority="192">
      <formula>AND(C$9&gt;=8/24,C$9&lt;14/24)</formula>
    </cfRule>
    <cfRule type="expression" dxfId="3295" priority="193">
      <formula>C$9&lt;8/24</formula>
    </cfRule>
  </conditionalFormatting>
  <conditionalFormatting sqref="C52:AF52">
    <cfRule type="expression" dxfId="3294" priority="186">
      <formula>C$9&gt;=20/24</formula>
    </cfRule>
    <cfRule type="expression" dxfId="3293" priority="187">
      <formula>AND(C$9&gt;=14/24,C$9&lt;20/24)</formula>
    </cfRule>
    <cfRule type="expression" dxfId="3292" priority="188">
      <formula>AND(C$9&gt;=8/24,C$9&lt;14/24)</formula>
    </cfRule>
    <cfRule type="expression" dxfId="3291" priority="189">
      <formula>C$9&lt;8/24</formula>
    </cfRule>
  </conditionalFormatting>
  <conditionalFormatting sqref="C52:AF52">
    <cfRule type="expression" dxfId="3290" priority="185">
      <formula>C52&gt;$AG52</formula>
    </cfRule>
  </conditionalFormatting>
  <conditionalFormatting sqref="B49:D51">
    <cfRule type="expression" dxfId="3289" priority="100">
      <formula>B$9&gt;=20/24</formula>
    </cfRule>
    <cfRule type="expression" dxfId="3288" priority="101">
      <formula>AND(B$9&gt;=14/24,B$9&lt;20/24)</formula>
    </cfRule>
    <cfRule type="expression" dxfId="3287" priority="102">
      <formula>AND(B$9&gt;=8/24,B$9&lt;14/24)</formula>
    </cfRule>
    <cfRule type="expression" dxfId="3286" priority="103">
      <formula>B$9&lt;8/24</formula>
    </cfRule>
  </conditionalFormatting>
  <conditionalFormatting sqref="C110">
    <cfRule type="expression" dxfId="3285" priority="177">
      <formula>C$9&gt;=20/24</formula>
    </cfRule>
    <cfRule type="expression" dxfId="3284" priority="178">
      <formula>AND(C$9&gt;=14/24,C$9&lt;20/24)</formula>
    </cfRule>
    <cfRule type="expression" dxfId="3283" priority="179">
      <formula>AND(C$9&gt;=8/24,C$9&lt;14/24)</formula>
    </cfRule>
    <cfRule type="expression" dxfId="3282" priority="180">
      <formula>C$9&lt;8/24</formula>
    </cfRule>
  </conditionalFormatting>
  <conditionalFormatting sqref="L59:O59 P59:AF64">
    <cfRule type="expression" dxfId="3281" priority="173">
      <formula>L$9&gt;=20/24</formula>
    </cfRule>
    <cfRule type="expression" dxfId="3280" priority="174">
      <formula>AND(L$9&gt;=14/24,L$9&lt;20/24)</formula>
    </cfRule>
    <cfRule type="expression" dxfId="3279" priority="175">
      <formula>AND(L$9&gt;=8/24,L$9&lt;14/24)</formula>
    </cfRule>
    <cfRule type="expression" dxfId="3278" priority="176">
      <formula>L$9&lt;8/24</formula>
    </cfRule>
  </conditionalFormatting>
  <conditionalFormatting sqref="L59:O59 P59:AF64">
    <cfRule type="expression" dxfId="3277" priority="172">
      <formula>L59&gt;$AG59</formula>
    </cfRule>
  </conditionalFormatting>
  <conditionalFormatting sqref="M13:AF15">
    <cfRule type="expression" dxfId="3276" priority="171">
      <formula>M13&gt;$AG13</formula>
    </cfRule>
  </conditionalFormatting>
  <conditionalFormatting sqref="M12:AF12">
    <cfRule type="expression" dxfId="3275" priority="167">
      <formula>M$9&gt;=20/24</formula>
    </cfRule>
    <cfRule type="expression" dxfId="3274" priority="168">
      <formula>AND(M$9&gt;=14/24,M$9&lt;20/24)</formula>
    </cfRule>
    <cfRule type="expression" dxfId="3273" priority="169">
      <formula>AND(M$9&gt;=8/24,M$9&lt;14/24)</formula>
    </cfRule>
    <cfRule type="expression" dxfId="3272" priority="170">
      <formula>M$9&lt;8/24</formula>
    </cfRule>
  </conditionalFormatting>
  <conditionalFormatting sqref="M12:AF12">
    <cfRule type="expression" dxfId="3271" priority="166">
      <formula>M12&gt;$AG12</formula>
    </cfRule>
  </conditionalFormatting>
  <conditionalFormatting sqref="M13:AF15">
    <cfRule type="expression" dxfId="3270" priority="162">
      <formula>M$9&gt;=20/24</formula>
    </cfRule>
    <cfRule type="expression" dxfId="3269" priority="163">
      <formula>AND(M$9&gt;=14/24,M$9&lt;20/24)</formula>
    </cfRule>
    <cfRule type="expression" dxfId="3268" priority="164">
      <formula>AND(M$9&gt;=8/24,M$9&lt;14/24)</formula>
    </cfRule>
    <cfRule type="expression" dxfId="3267" priority="165">
      <formula>M$9&lt;8/24</formula>
    </cfRule>
  </conditionalFormatting>
  <conditionalFormatting sqref="M77:AF81">
    <cfRule type="expression" dxfId="3266" priority="154">
      <formula>M$9&gt;=20/24</formula>
    </cfRule>
    <cfRule type="expression" dxfId="3265" priority="155">
      <formula>AND(M$9&gt;=14/24,M$9&lt;20/24)</formula>
    </cfRule>
    <cfRule type="expression" dxfId="3264" priority="156">
      <formula>AND(M$9&gt;=8/24,M$9&lt;14/24)</formula>
    </cfRule>
    <cfRule type="expression" dxfId="3263" priority="157">
      <formula>M$9&lt;8/24</formula>
    </cfRule>
  </conditionalFormatting>
  <conditionalFormatting sqref="AL78:AN78 AL84:AN84 AN79:AN80">
    <cfRule type="expression" dxfId="3262" priority="150">
      <formula>AL$9&gt;=20/24</formula>
    </cfRule>
    <cfRule type="expression" dxfId="3261" priority="151">
      <formula>AND(AL$9&gt;=14/24,AL$9&lt;20/24)</formula>
    </cfRule>
    <cfRule type="expression" dxfId="3260" priority="152">
      <formula>AND(AL$9&gt;=8/24,AL$9&lt;14/24)</formula>
    </cfRule>
    <cfRule type="expression" dxfId="3259" priority="153">
      <formula>AL$9&lt;8/24</formula>
    </cfRule>
  </conditionalFormatting>
  <conditionalFormatting sqref="AN81:AN82">
    <cfRule type="expression" dxfId="3258" priority="146">
      <formula>AN$9&gt;=20/24</formula>
    </cfRule>
    <cfRule type="expression" dxfId="3257" priority="147">
      <formula>AND(AN$9&gt;=14/24,AN$9&lt;20/24)</formula>
    </cfRule>
    <cfRule type="expression" dxfId="3256" priority="148">
      <formula>AND(AN$9&gt;=8/24,AN$9&lt;14/24)</formula>
    </cfRule>
    <cfRule type="expression" dxfId="3255" priority="149">
      <formula>AN$9&lt;8/24</formula>
    </cfRule>
  </conditionalFormatting>
  <conditionalFormatting sqref="AL79:AM83">
    <cfRule type="expression" dxfId="3254" priority="368">
      <formula>AJ$9&gt;=20/24</formula>
    </cfRule>
    <cfRule type="expression" dxfId="3253" priority="369">
      <formula>AND(AJ$9&gt;=14/24,AJ$9&lt;20/24)</formula>
    </cfRule>
    <cfRule type="expression" dxfId="3252" priority="370">
      <formula>AND(AJ$9&gt;=8/24,AJ$9&lt;14/24)</formula>
    </cfRule>
    <cfRule type="expression" dxfId="3251" priority="371">
      <formula>AJ$9&lt;8/24</formula>
    </cfRule>
  </conditionalFormatting>
  <conditionalFormatting sqref="A117">
    <cfRule type="expression" dxfId="3250" priority="145">
      <formula>$AH117=0</formula>
    </cfRule>
  </conditionalFormatting>
  <conditionalFormatting sqref="B109 B111:B116 B12:L15 B34:AF43 B45:AF45 B17:AF32">
    <cfRule type="expression" dxfId="3249" priority="141">
      <formula>B$9&gt;=20/24</formula>
    </cfRule>
    <cfRule type="expression" dxfId="3248" priority="142">
      <formula>AND(B$9&gt;=14/24,B$9&lt;20/24)</formula>
    </cfRule>
    <cfRule type="expression" dxfId="3247" priority="143">
      <formula>AND(B$9&gt;=8/24,B$9&lt;14/24)</formula>
    </cfRule>
    <cfRule type="expression" dxfId="3246" priority="144">
      <formula>B$9&lt;8/24</formula>
    </cfRule>
  </conditionalFormatting>
  <conditionalFormatting sqref="B12:L15 B34:AF43 B45:AF45 B17:AF32">
    <cfRule type="expression" dxfId="3245" priority="140">
      <formula>B12&gt;$AG12</formula>
    </cfRule>
  </conditionalFormatting>
  <conditionalFormatting sqref="B99:C99">
    <cfRule type="expression" dxfId="3244" priority="136">
      <formula>B$9&gt;=20/24</formula>
    </cfRule>
    <cfRule type="expression" dxfId="3243" priority="137">
      <formula>AND(B$9&gt;=14/24,B$9&lt;20/24)</formula>
    </cfRule>
    <cfRule type="expression" dxfId="3242" priority="138">
      <formula>AND(B$9&gt;=8/24,B$9&lt;14/24)</formula>
    </cfRule>
    <cfRule type="expression" dxfId="3241" priority="139">
      <formula>B$9&lt;8/24</formula>
    </cfRule>
  </conditionalFormatting>
  <conditionalFormatting sqref="B53:D53">
    <cfRule type="expression" dxfId="3240" priority="128">
      <formula>B$9&gt;=20/24</formula>
    </cfRule>
    <cfRule type="expression" dxfId="3239" priority="129">
      <formula>AND(B$9&gt;=14/24,B$9&lt;20/24)</formula>
    </cfRule>
    <cfRule type="expression" dxfId="3238" priority="130">
      <formula>AND(B$9&gt;=8/24,B$9&lt;14/24)</formula>
    </cfRule>
    <cfRule type="expression" dxfId="3237" priority="131">
      <formula>B$9&lt;8/24</formula>
    </cfRule>
  </conditionalFormatting>
  <conditionalFormatting sqref="B53:D57 E57">
    <cfRule type="expression" dxfId="3236" priority="127">
      <formula>B53&gt;$AG53</formula>
    </cfRule>
  </conditionalFormatting>
  <conditionalFormatting sqref="B96 B86 B47 B67:D69 B72:D74 B100:C106">
    <cfRule type="expression" dxfId="3235" priority="123">
      <formula>B$9&gt;=20/24</formula>
    </cfRule>
    <cfRule type="expression" dxfId="3234" priority="124">
      <formula>AND(B$9&gt;=14/24,B$9&lt;20/24)</formula>
    </cfRule>
    <cfRule type="expression" dxfId="3233" priority="125">
      <formula>AND(B$9&gt;=8/24,B$9&lt;14/24)</formula>
    </cfRule>
    <cfRule type="expression" dxfId="3232" priority="126">
      <formula>B$9&lt;8/24</formula>
    </cfRule>
  </conditionalFormatting>
  <conditionalFormatting sqref="B47 B67:D69">
    <cfRule type="expression" dxfId="3231" priority="122">
      <formula>B47&gt;$AG47</formula>
    </cfRule>
  </conditionalFormatting>
  <conditionalFormatting sqref="B97 B88:C88">
    <cfRule type="expression" dxfId="3230" priority="118">
      <formula>B$9&gt;=20/24</formula>
    </cfRule>
    <cfRule type="expression" dxfId="3229" priority="119">
      <formula>AND(B$9&gt;=14/24,B$9&lt;20/24)</formula>
    </cfRule>
    <cfRule type="expression" dxfId="3228" priority="120">
      <formula>AND(B$9&gt;=8/24,B$9&lt;14/24)</formula>
    </cfRule>
    <cfRule type="expression" dxfId="3227" priority="121">
      <formula>B$9&lt;8/24</formula>
    </cfRule>
  </conditionalFormatting>
  <conditionalFormatting sqref="B46:AF46">
    <cfRule type="expression" dxfId="3226" priority="114">
      <formula>B$9&gt;=20/24</formula>
    </cfRule>
    <cfRule type="expression" dxfId="3225" priority="115">
      <formula>AND(B$9&gt;=14/24,B$9&lt;20/24)</formula>
    </cfRule>
    <cfRule type="expression" dxfId="3224" priority="116">
      <formula>AND(B$9&gt;=8/24,B$9&lt;14/24)</formula>
    </cfRule>
    <cfRule type="expression" dxfId="3223" priority="117">
      <formula>B$9&lt;8/24</formula>
    </cfRule>
  </conditionalFormatting>
  <conditionalFormatting sqref="B46:AF46">
    <cfRule type="expression" dxfId="3222" priority="113">
      <formula>B46&gt;$AG46</formula>
    </cfRule>
  </conditionalFormatting>
  <conditionalFormatting sqref="B58:E58">
    <cfRule type="expression" dxfId="3221" priority="109">
      <formula>B$9&gt;=20/24</formula>
    </cfRule>
    <cfRule type="expression" dxfId="3220" priority="110">
      <formula>AND(B$9&gt;=14/24,B$9&lt;20/24)</formula>
    </cfRule>
    <cfRule type="expression" dxfId="3219" priority="111">
      <formula>AND(B$9&gt;=8/24,B$9&lt;14/24)</formula>
    </cfRule>
    <cfRule type="expression" dxfId="3218" priority="112">
      <formula>B$9&lt;8/24</formula>
    </cfRule>
  </conditionalFormatting>
  <conditionalFormatting sqref="B58:E58">
    <cfRule type="expression" dxfId="3217" priority="108">
      <formula>B58&gt;$AG58</formula>
    </cfRule>
  </conditionalFormatting>
  <conditionalFormatting sqref="B91:B95">
    <cfRule type="expression" dxfId="3216" priority="104">
      <formula>B$9&gt;=20/24</formula>
    </cfRule>
    <cfRule type="expression" dxfId="3215" priority="105">
      <formula>AND(B$9&gt;=14/24,B$9&lt;20/24)</formula>
    </cfRule>
    <cfRule type="expression" dxfId="3214" priority="106">
      <formula>AND(B$9&gt;=8/24,B$9&lt;14/24)</formula>
    </cfRule>
    <cfRule type="expression" dxfId="3213" priority="107">
      <formula>B$9&lt;8/24</formula>
    </cfRule>
  </conditionalFormatting>
  <conditionalFormatting sqref="B49:D51">
    <cfRule type="expression" dxfId="3212" priority="99">
      <formula>B49&gt;$AG49</formula>
    </cfRule>
  </conditionalFormatting>
  <conditionalFormatting sqref="B107">
    <cfRule type="expression" dxfId="3211" priority="95">
      <formula>B$9&gt;=20/24</formula>
    </cfRule>
    <cfRule type="expression" dxfId="3210" priority="96">
      <formula>AND(B$9&gt;=14/24,B$9&lt;20/24)</formula>
    </cfRule>
    <cfRule type="expression" dxfId="3209" priority="97">
      <formula>AND(B$9&gt;=8/24,B$9&lt;14/24)</formula>
    </cfRule>
    <cfRule type="expression" dxfId="3208" priority="98">
      <formula>B$9&lt;8/24</formula>
    </cfRule>
  </conditionalFormatting>
  <conditionalFormatting sqref="B110">
    <cfRule type="expression" dxfId="3207" priority="91">
      <formula>B$9&gt;=20/24</formula>
    </cfRule>
    <cfRule type="expression" dxfId="3206" priority="92">
      <formula>AND(B$9&gt;=14/24,B$9&lt;20/24)</formula>
    </cfRule>
    <cfRule type="expression" dxfId="3205" priority="93">
      <formula>AND(B$9&gt;=8/24,B$9&lt;14/24)</formula>
    </cfRule>
    <cfRule type="expression" dxfId="3204" priority="94">
      <formula>B$9&lt;8/24</formula>
    </cfRule>
  </conditionalFormatting>
  <conditionalFormatting sqref="B83:B85 B75:D76 E76:L76">
    <cfRule type="expression" dxfId="3203" priority="87">
      <formula>B$9&gt;=20/24</formula>
    </cfRule>
    <cfRule type="expression" dxfId="3202" priority="88">
      <formula>AND(B$9&gt;=14/24,B$9&lt;20/24)</formula>
    </cfRule>
    <cfRule type="expression" dxfId="3201" priority="89">
      <formula>AND(B$9&gt;=8/24,B$9&lt;14/24)</formula>
    </cfRule>
    <cfRule type="expression" dxfId="3200" priority="90">
      <formula>B$9&lt;8/24</formula>
    </cfRule>
  </conditionalFormatting>
  <conditionalFormatting sqref="B89 B98 B87 B70:AF70">
    <cfRule type="expression" dxfId="3199" priority="83">
      <formula>B$9&gt;=20/24</formula>
    </cfRule>
    <cfRule type="expression" dxfId="3198" priority="84">
      <formula>AND(B$9&gt;=14/24,B$9&lt;20/24)</formula>
    </cfRule>
    <cfRule type="expression" dxfId="3197" priority="85">
      <formula>AND(B$9&gt;=8/24,B$9&lt;14/24)</formula>
    </cfRule>
    <cfRule type="expression" dxfId="3196" priority="86">
      <formula>B$9&lt;8/24</formula>
    </cfRule>
  </conditionalFormatting>
  <conditionalFormatting sqref="B48 B65:B66 B70:AF70">
    <cfRule type="expression" dxfId="3195" priority="82">
      <formula>B48&gt;$AG48</formula>
    </cfRule>
  </conditionalFormatting>
  <conditionalFormatting sqref="B82">
    <cfRule type="expression" dxfId="3194" priority="78">
      <formula>B$9&gt;=20/24</formula>
    </cfRule>
    <cfRule type="expression" dxfId="3193" priority="79">
      <formula>AND(B$9&gt;=14/24,B$9&lt;20/24)</formula>
    </cfRule>
    <cfRule type="expression" dxfId="3192" priority="80">
      <formula>AND(B$9&gt;=8/24,B$9&lt;14/24)</formula>
    </cfRule>
    <cfRule type="expression" dxfId="3191" priority="81">
      <formula>B$9&lt;8/24</formula>
    </cfRule>
  </conditionalFormatting>
  <conditionalFormatting sqref="B52">
    <cfRule type="expression" dxfId="3190" priority="74">
      <formula>B$9&gt;=20/24</formula>
    </cfRule>
    <cfRule type="expression" dxfId="3189" priority="75">
      <formula>AND(B$9&gt;=14/24,B$9&lt;20/24)</formula>
    </cfRule>
    <cfRule type="expression" dxfId="3188" priority="76">
      <formula>AND(B$9&gt;=8/24,B$9&lt;14/24)</formula>
    </cfRule>
    <cfRule type="expression" dxfId="3187" priority="77">
      <formula>B$9&lt;8/24</formula>
    </cfRule>
  </conditionalFormatting>
  <conditionalFormatting sqref="B52">
    <cfRule type="expression" dxfId="3186" priority="73">
      <formula>B52&gt;$AG52</formula>
    </cfRule>
  </conditionalFormatting>
  <conditionalFormatting sqref="B59:K64 L60:O64">
    <cfRule type="expression" dxfId="3185" priority="65">
      <formula>B$9&gt;=20/24</formula>
    </cfRule>
    <cfRule type="expression" dxfId="3184" priority="66">
      <formula>AND(B$9&gt;=14/24,B$9&lt;20/24)</formula>
    </cfRule>
    <cfRule type="expression" dxfId="3183" priority="67">
      <formula>AND(B$9&gt;=8/24,B$9&lt;14/24)</formula>
    </cfRule>
    <cfRule type="expression" dxfId="3182" priority="68">
      <formula>B$9&lt;8/24</formula>
    </cfRule>
  </conditionalFormatting>
  <conditionalFormatting sqref="B59:K64 L60:O64">
    <cfRule type="expression" dxfId="3181" priority="64">
      <formula>B59&gt;$AG59</formula>
    </cfRule>
  </conditionalFormatting>
  <conditionalFormatting sqref="B77:L81">
    <cfRule type="expression" dxfId="3180" priority="60">
      <formula>B$9&gt;=20/24</formula>
    </cfRule>
    <cfRule type="expression" dxfId="3179" priority="61">
      <formula>AND(B$9&gt;=14/24,B$9&lt;20/24)</formula>
    </cfRule>
    <cfRule type="expression" dxfId="3178" priority="62">
      <formula>AND(B$9&gt;=8/24,B$9&lt;14/24)</formula>
    </cfRule>
    <cfRule type="expression" dxfId="3177" priority="63">
      <formula>B$9&lt;8/24</formula>
    </cfRule>
  </conditionalFormatting>
  <conditionalFormatting sqref="A11">
    <cfRule type="expression" dxfId="3176" priority="59">
      <formula>$AH11=0</formula>
    </cfRule>
  </conditionalFormatting>
  <conditionalFormatting sqref="M11:AF11">
    <cfRule type="expression" dxfId="3175" priority="55">
      <formula>M$9&gt;=20/24</formula>
    </cfRule>
    <cfRule type="expression" dxfId="3174" priority="56">
      <formula>AND(M$9&gt;=14/24,M$9&lt;20/24)</formula>
    </cfRule>
    <cfRule type="expression" dxfId="3173" priority="57">
      <formula>AND(M$9&gt;=8/24,M$9&lt;14/24)</formula>
    </cfRule>
    <cfRule type="expression" dxfId="3172" priority="58">
      <formula>M$9&lt;8/24</formula>
    </cfRule>
  </conditionalFormatting>
  <conditionalFormatting sqref="M11:AF11">
    <cfRule type="expression" dxfId="3171" priority="54">
      <formula>M11&gt;$AG11</formula>
    </cfRule>
  </conditionalFormatting>
  <conditionalFormatting sqref="B11:L11">
    <cfRule type="expression" dxfId="3170" priority="50">
      <formula>B$9&gt;=20/24</formula>
    </cfRule>
    <cfRule type="expression" dxfId="3169" priority="51">
      <formula>AND(B$9&gt;=14/24,B$9&lt;20/24)</formula>
    </cfRule>
    <cfRule type="expression" dxfId="3168" priority="52">
      <formula>AND(B$9&gt;=8/24,B$9&lt;14/24)</formula>
    </cfRule>
    <cfRule type="expression" dxfId="3167" priority="53">
      <formula>B$9&lt;8/24</formula>
    </cfRule>
  </conditionalFormatting>
  <conditionalFormatting sqref="B11:L11">
    <cfRule type="expression" dxfId="3166" priority="49">
      <formula>B11&gt;$AG11</formula>
    </cfRule>
  </conditionalFormatting>
  <conditionalFormatting sqref="A16">
    <cfRule type="expression" dxfId="3165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B16:AF16">
    <cfRule type="expression" dxfId="3164" priority="38">
      <formula>B$9&gt;=20/24</formula>
    </cfRule>
    <cfRule type="expression" dxfId="3163" priority="39">
      <formula>AND(B$9&gt;=14/24,B$9&lt;20/24)</formula>
    </cfRule>
    <cfRule type="expression" dxfId="3162" priority="40">
      <formula>AND(B$9&gt;=8/24,B$9&lt;14/24)</formula>
    </cfRule>
    <cfRule type="expression" dxfId="3161" priority="41">
      <formula>B$9&lt;8/24</formula>
    </cfRule>
  </conditionalFormatting>
  <conditionalFormatting sqref="B16:AF16">
    <cfRule type="expression" dxfId="3160" priority="37">
      <formula>B16&gt;$AG16</formula>
    </cfRule>
  </conditionalFormatting>
  <conditionalFormatting sqref="A33">
    <cfRule type="expression" dxfId="3159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B33:AF33">
    <cfRule type="expression" dxfId="3158" priority="26">
      <formula>B$9&gt;=20/24</formula>
    </cfRule>
    <cfRule type="expression" dxfId="3157" priority="27">
      <formula>AND(B$9&gt;=14/24,B$9&lt;20/24)</formula>
    </cfRule>
    <cfRule type="expression" dxfId="3156" priority="28">
      <formula>AND(B$9&gt;=8/24,B$9&lt;14/24)</formula>
    </cfRule>
    <cfRule type="expression" dxfId="3155" priority="29">
      <formula>B$9&lt;8/24</formula>
    </cfRule>
  </conditionalFormatting>
  <conditionalFormatting sqref="B33:AF33">
    <cfRule type="expression" dxfId="3154" priority="25">
      <formula>B33&gt;$AG33</formula>
    </cfRule>
  </conditionalFormatting>
  <conditionalFormatting sqref="A44">
    <cfRule type="expression" dxfId="3153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B44:AF44">
    <cfRule type="expression" dxfId="3152" priority="14">
      <formula>B$9&gt;=20/24</formula>
    </cfRule>
    <cfRule type="expression" dxfId="3151" priority="15">
      <formula>AND(B$9&gt;=14/24,B$9&lt;20/24)</formula>
    </cfRule>
    <cfRule type="expression" dxfId="3150" priority="16">
      <formula>AND(B$9&gt;=8/24,B$9&lt;14/24)</formula>
    </cfRule>
    <cfRule type="expression" dxfId="3149" priority="17">
      <formula>B$9&lt;8/24</formula>
    </cfRule>
  </conditionalFormatting>
  <conditionalFormatting sqref="B44:AF44">
    <cfRule type="expression" dxfId="3148" priority="13">
      <formula>B44&gt;$AG44</formula>
    </cfRule>
  </conditionalFormatting>
  <conditionalFormatting sqref="B117">
    <cfRule type="expression" dxfId="3147" priority="1">
      <formula>B$9&gt;=20/24</formula>
    </cfRule>
    <cfRule type="expression" dxfId="3146" priority="2">
      <formula>AND(B$9&gt;=14/24,B$9&lt;20/24)</formula>
    </cfRule>
    <cfRule type="expression" dxfId="3145" priority="3">
      <formula>AND(B$9&gt;=8/24,B$9&lt;14/24)</formula>
    </cfRule>
    <cfRule type="expression" dxfId="3144" priority="4">
      <formula>B$9&lt;8/24</formula>
    </cfRule>
  </conditionalFormatting>
  <conditionalFormatting sqref="D117:AF117">
    <cfRule type="expression" dxfId="3143" priority="9">
      <formula>D$9&gt;=20/24</formula>
    </cfRule>
    <cfRule type="expression" dxfId="3142" priority="10">
      <formula>AND(D$9&gt;=14/24,D$9&lt;20/24)</formula>
    </cfRule>
    <cfRule type="expression" dxfId="3141" priority="11">
      <formula>AND(D$9&gt;=8/24,D$9&lt;14/24)</formula>
    </cfRule>
    <cfRule type="expression" dxfId="3140" priority="12">
      <formula>D$9&lt;8/24</formula>
    </cfRule>
  </conditionalFormatting>
  <conditionalFormatting sqref="C117">
    <cfRule type="expression" dxfId="3139" priority="5">
      <formula>C$9&gt;=20/24</formula>
    </cfRule>
    <cfRule type="expression" dxfId="3138" priority="6">
      <formula>AND(C$9&gt;=14/24,C$9&lt;20/24)</formula>
    </cfRule>
    <cfRule type="expression" dxfId="3137" priority="7">
      <formula>AND(C$9&gt;=8/24,C$9&lt;14/24)</formula>
    </cfRule>
    <cfRule type="expression" dxfId="3136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8C272636-25F9-466F-A0F0-7205CE47FE7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17A6C3AF-C17E-4548-AB96-650D9152AD6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BAAC68F1-CF7E-457A-8747-B25C0757D8E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F4E94E86-2A97-4B1E-8BEF-93373107D80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BD10EC30-5D87-4D81-A09C-2562F7493DE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658804E9-9DA3-4EB7-BB64-E3EA0CD4B43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2008A0DD-6228-46D6-BBBD-A8EF69EA8F4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93408C8F-741C-4183-B5B6-AF723EE405A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86" zoomScaleNormal="86" workbookViewId="0">
      <pane ySplit="10" topLeftCell="A74" activePane="bottomLeft" state="frozen"/>
      <selection activeCell="Z85" sqref="Z85"/>
      <selection pane="bottomLeft" activeCell="T80" sqref="T80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23.5703125" style="2" bestFit="1" customWidth="1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2079/12/25</v>
      </c>
      <c r="C4" s="196"/>
      <c r="D4" s="196"/>
      <c r="E4" s="197" t="str">
        <f ca="1">"2079/"&amp;"12/"&amp;INT(MID(CELL("filename",G6),FIND("]",CELL("filename",G6))+1,200))</f>
        <v>2079/12/25</v>
      </c>
      <c r="F4" s="197"/>
      <c r="G4" s="197"/>
      <c r="H4" s="197" t="str">
        <f ca="1">TEXT(E4,"dddd")</f>
        <v>Monday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434.9</v>
      </c>
      <c r="C5" s="33">
        <f t="shared" si="0"/>
        <v>478.79999999999995</v>
      </c>
      <c r="D5" s="33">
        <f t="shared" si="0"/>
        <v>522.29999999999995</v>
      </c>
      <c r="E5" s="33">
        <f t="shared" si="0"/>
        <v>534.20000000000005</v>
      </c>
      <c r="F5" s="33">
        <f t="shared" si="0"/>
        <v>532.1</v>
      </c>
      <c r="G5" s="33">
        <f t="shared" si="0"/>
        <v>532.20000000000005</v>
      </c>
      <c r="H5" s="33">
        <f t="shared" si="0"/>
        <v>449.6</v>
      </c>
      <c r="I5" s="33">
        <f t="shared" si="0"/>
        <v>427.4</v>
      </c>
      <c r="J5" s="33">
        <f t="shared" si="0"/>
        <v>429.4</v>
      </c>
      <c r="K5" s="33">
        <f t="shared" si="0"/>
        <v>450.7</v>
      </c>
      <c r="L5" s="33">
        <f t="shared" si="0"/>
        <v>456.9</v>
      </c>
      <c r="M5" s="33">
        <f t="shared" si="0"/>
        <v>463.5</v>
      </c>
      <c r="N5" s="33">
        <f t="shared" si="0"/>
        <v>408.4</v>
      </c>
      <c r="O5" s="33">
        <f t="shared" si="0"/>
        <v>406.9</v>
      </c>
      <c r="P5" s="33">
        <f t="shared" si="0"/>
        <v>451.5</v>
      </c>
      <c r="Q5" s="33">
        <f t="shared" si="0"/>
        <v>411.2</v>
      </c>
      <c r="R5" s="33">
        <f t="shared" si="0"/>
        <v>404.70000000000005</v>
      </c>
      <c r="S5" s="33">
        <f t="shared" si="0"/>
        <v>504.6</v>
      </c>
      <c r="T5" s="33">
        <f t="shared" si="0"/>
        <v>504.90000000000003</v>
      </c>
      <c r="U5" s="33">
        <f t="shared" si="0"/>
        <v>475.90000000000003</v>
      </c>
      <c r="V5" s="33">
        <f t="shared" si="0"/>
        <v>479.90000000000003</v>
      </c>
      <c r="W5" s="33">
        <f t="shared" si="0"/>
        <v>454.90000000000003</v>
      </c>
      <c r="X5" s="33">
        <f t="shared" si="0"/>
        <v>406.20000000000005</v>
      </c>
      <c r="Y5" s="33">
        <f t="shared" si="0"/>
        <v>360</v>
      </c>
      <c r="Z5" s="33">
        <f t="shared" si="0"/>
        <v>360</v>
      </c>
      <c r="AA5" s="33">
        <f t="shared" si="0"/>
        <v>410.90000000000003</v>
      </c>
      <c r="AB5" s="33">
        <f t="shared" si="0"/>
        <v>403.2</v>
      </c>
      <c r="AC5" s="33">
        <f t="shared" si="0"/>
        <v>391.09999999999997</v>
      </c>
      <c r="AD5" s="33">
        <f t="shared" si="0"/>
        <v>414.09999999999997</v>
      </c>
      <c r="AE5" s="33">
        <f t="shared" si="0"/>
        <v>440.7</v>
      </c>
      <c r="AF5" s="33">
        <f>B82</f>
        <v>412.90000000000003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1406MW at 8:00hr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Load=1103</v>
      </c>
      <c r="B7" s="38">
        <f t="shared" ref="B7:AF7" si="1">B89</f>
        <v>1235.74</v>
      </c>
      <c r="C7" s="38">
        <f t="shared" si="1"/>
        <v>1152.54</v>
      </c>
      <c r="D7" s="38">
        <f t="shared" si="1"/>
        <v>1126.3400000000001</v>
      </c>
      <c r="E7" s="38">
        <f t="shared" si="1"/>
        <v>1110.1399999999999</v>
      </c>
      <c r="F7" s="38">
        <f t="shared" si="1"/>
        <v>1102.54</v>
      </c>
      <c r="G7" s="38">
        <f t="shared" si="1"/>
        <v>1135.44</v>
      </c>
      <c r="H7" s="38">
        <f t="shared" si="1"/>
        <v>1155.94</v>
      </c>
      <c r="I7" s="38">
        <f t="shared" si="1"/>
        <v>1169.44</v>
      </c>
      <c r="J7" s="38">
        <f t="shared" si="1"/>
        <v>1215.24</v>
      </c>
      <c r="K7" s="38">
        <f t="shared" si="1"/>
        <v>1308.44</v>
      </c>
      <c r="L7" s="38">
        <f t="shared" si="1"/>
        <v>1393.9399999999998</v>
      </c>
      <c r="M7" s="38">
        <f t="shared" si="1"/>
        <v>1405.6399999999999</v>
      </c>
      <c r="N7" s="38">
        <f>N89</f>
        <v>1356.6399999999999</v>
      </c>
      <c r="O7" s="38">
        <f t="shared" si="1"/>
        <v>1338.4399999999998</v>
      </c>
      <c r="P7" s="38">
        <f t="shared" si="1"/>
        <v>1312.54</v>
      </c>
      <c r="Q7" s="38">
        <f t="shared" si="1"/>
        <v>1283.6399999999999</v>
      </c>
      <c r="R7" s="38">
        <f t="shared" si="1"/>
        <v>1238.3399999999999</v>
      </c>
      <c r="S7" s="38">
        <f t="shared" si="1"/>
        <v>1260.6399999999999</v>
      </c>
      <c r="T7" s="38">
        <f t="shared" si="1"/>
        <v>1315.6399999999999</v>
      </c>
      <c r="U7" s="38">
        <f t="shared" si="1"/>
        <v>1328.74</v>
      </c>
      <c r="V7" s="38">
        <f t="shared" si="1"/>
        <v>1276.44</v>
      </c>
      <c r="W7" s="38">
        <f t="shared" si="1"/>
        <v>1281.94</v>
      </c>
      <c r="X7" s="38">
        <f t="shared" si="1"/>
        <v>1441.64</v>
      </c>
      <c r="Y7" s="38">
        <f t="shared" si="1"/>
        <v>1522.94</v>
      </c>
      <c r="Z7" s="38">
        <f t="shared" si="1"/>
        <v>1593.64</v>
      </c>
      <c r="AA7" s="38">
        <f t="shared" si="1"/>
        <v>1593.64</v>
      </c>
      <c r="AB7" s="38">
        <f t="shared" si="1"/>
        <v>1511.3390000000002</v>
      </c>
      <c r="AC7" s="38">
        <f t="shared" si="1"/>
        <v>1503.6390000000001</v>
      </c>
      <c r="AD7" s="38">
        <f t="shared" si="1"/>
        <v>1441.239</v>
      </c>
      <c r="AE7" s="38">
        <f t="shared" si="1"/>
        <v>1274.239</v>
      </c>
      <c r="AF7" s="38">
        <f t="shared" si="1"/>
        <v>1227.5390000000002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27</v>
      </c>
      <c r="C11" s="50">
        <v>27</v>
      </c>
      <c r="D11" s="50">
        <v>27</v>
      </c>
      <c r="E11" s="50">
        <v>27</v>
      </c>
      <c r="F11" s="50">
        <v>27</v>
      </c>
      <c r="G11" s="50">
        <v>27</v>
      </c>
      <c r="H11" s="50">
        <v>27</v>
      </c>
      <c r="I11" s="50">
        <v>27</v>
      </c>
      <c r="J11" s="50">
        <v>27</v>
      </c>
      <c r="K11" s="50">
        <v>27</v>
      </c>
      <c r="L11" s="50">
        <v>27</v>
      </c>
      <c r="M11" s="50">
        <v>27</v>
      </c>
      <c r="N11" s="50">
        <v>27</v>
      </c>
      <c r="O11" s="50">
        <v>27</v>
      </c>
      <c r="P11" s="50">
        <v>27</v>
      </c>
      <c r="Q11" s="50">
        <v>27</v>
      </c>
      <c r="R11" s="50">
        <v>27</v>
      </c>
      <c r="S11" s="50">
        <v>27</v>
      </c>
      <c r="T11" s="50">
        <v>27</v>
      </c>
      <c r="U11" s="50">
        <v>27</v>
      </c>
      <c r="V11" s="50">
        <v>27</v>
      </c>
      <c r="W11" s="50">
        <v>27</v>
      </c>
      <c r="X11" s="50">
        <v>27</v>
      </c>
      <c r="Y11" s="50">
        <v>27</v>
      </c>
      <c r="Z11" s="50">
        <v>27</v>
      </c>
      <c r="AA11" s="50">
        <v>27</v>
      </c>
      <c r="AB11" s="50">
        <v>24.5</v>
      </c>
      <c r="AC11" s="50">
        <v>24.5</v>
      </c>
      <c r="AD11" s="50">
        <v>24.5</v>
      </c>
      <c r="AE11" s="50">
        <v>24.5</v>
      </c>
      <c r="AF11" s="50">
        <v>24.5</v>
      </c>
      <c r="AG11" s="51">
        <v>86</v>
      </c>
      <c r="AH11" s="52">
        <f t="shared" ref="AH11:AH74" si="2">MAX(B11:AF11)</f>
        <v>27</v>
      </c>
      <c r="AI11" s="53">
        <f t="shared" ref="AI11:AI74" si="3">MIN(B11:AF11)</f>
        <v>24.5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14</v>
      </c>
      <c r="C12" s="50">
        <v>14</v>
      </c>
      <c r="D12" s="50">
        <v>14</v>
      </c>
      <c r="E12" s="50">
        <v>14</v>
      </c>
      <c r="F12" s="50">
        <v>14</v>
      </c>
      <c r="G12" s="50">
        <v>14</v>
      </c>
      <c r="H12" s="50">
        <v>14</v>
      </c>
      <c r="I12" s="50">
        <v>14</v>
      </c>
      <c r="J12" s="50">
        <v>14</v>
      </c>
      <c r="K12" s="50">
        <v>14</v>
      </c>
      <c r="L12" s="50">
        <v>16.100000000000001</v>
      </c>
      <c r="M12" s="50">
        <v>16.100000000000001</v>
      </c>
      <c r="N12" s="50">
        <v>16.100000000000001</v>
      </c>
      <c r="O12" s="50">
        <v>16.100000000000001</v>
      </c>
      <c r="P12" s="50">
        <v>16.100000000000001</v>
      </c>
      <c r="Q12" s="50">
        <v>11.5</v>
      </c>
      <c r="R12" s="50">
        <v>11.5</v>
      </c>
      <c r="S12" s="50">
        <v>11.5</v>
      </c>
      <c r="T12" s="50">
        <v>11.5</v>
      </c>
      <c r="U12" s="50">
        <v>11.5</v>
      </c>
      <c r="V12" s="50">
        <v>11.5</v>
      </c>
      <c r="W12" s="50">
        <v>11.5</v>
      </c>
      <c r="X12" s="50">
        <v>11.5</v>
      </c>
      <c r="Y12" s="50">
        <v>16.100000000000001</v>
      </c>
      <c r="Z12" s="50">
        <v>16.100000000000001</v>
      </c>
      <c r="AA12" s="50">
        <v>16.100000000000001</v>
      </c>
      <c r="AB12" s="50">
        <v>15</v>
      </c>
      <c r="AC12" s="50">
        <v>15</v>
      </c>
      <c r="AD12" s="50">
        <v>15</v>
      </c>
      <c r="AE12" s="50">
        <v>15</v>
      </c>
      <c r="AF12" s="50">
        <v>15</v>
      </c>
      <c r="AG12" s="51">
        <v>52.4</v>
      </c>
      <c r="AH12" s="52">
        <f t="shared" si="2"/>
        <v>16.100000000000001</v>
      </c>
      <c r="AI12" s="53">
        <f t="shared" si="3"/>
        <v>11.5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28.3</v>
      </c>
      <c r="C13" s="50">
        <v>28.3</v>
      </c>
      <c r="D13" s="50">
        <v>28.3</v>
      </c>
      <c r="E13" s="50">
        <v>28.3</v>
      </c>
      <c r="F13" s="50">
        <v>28.3</v>
      </c>
      <c r="G13" s="50">
        <v>28.3</v>
      </c>
      <c r="H13" s="50">
        <v>28.3</v>
      </c>
      <c r="I13" s="50">
        <v>28.3</v>
      </c>
      <c r="J13" s="50">
        <v>28.3</v>
      </c>
      <c r="K13" s="50">
        <v>28.3</v>
      </c>
      <c r="L13" s="50">
        <v>28.7</v>
      </c>
      <c r="M13" s="50">
        <v>28.7</v>
      </c>
      <c r="N13" s="50">
        <v>28.7</v>
      </c>
      <c r="O13" s="50">
        <v>28.7</v>
      </c>
      <c r="P13" s="50">
        <v>28.7</v>
      </c>
      <c r="Q13" s="50">
        <v>28.5</v>
      </c>
      <c r="R13" s="50">
        <v>28.5</v>
      </c>
      <c r="S13" s="50">
        <v>28.5</v>
      </c>
      <c r="T13" s="50">
        <v>28.5</v>
      </c>
      <c r="U13" s="50">
        <v>28.5</v>
      </c>
      <c r="V13" s="50">
        <v>28.5</v>
      </c>
      <c r="W13" s="50">
        <v>28.5</v>
      </c>
      <c r="X13" s="50">
        <v>28.5</v>
      </c>
      <c r="Y13" s="50">
        <v>28.9</v>
      </c>
      <c r="Z13" s="50">
        <v>28.9</v>
      </c>
      <c r="AA13" s="50">
        <v>28.9</v>
      </c>
      <c r="AB13" s="50">
        <v>28.7</v>
      </c>
      <c r="AC13" s="50">
        <v>28.7</v>
      </c>
      <c r="AD13" s="50">
        <v>28.7</v>
      </c>
      <c r="AE13" s="50">
        <v>28.7</v>
      </c>
      <c r="AF13" s="50">
        <v>28.7</v>
      </c>
      <c r="AG13" s="55">
        <v>50</v>
      </c>
      <c r="AH13" s="52">
        <f t="shared" si="2"/>
        <v>28.9</v>
      </c>
      <c r="AI13" s="53">
        <f t="shared" si="3"/>
        <v>28.3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15.6</v>
      </c>
      <c r="C14" s="50">
        <v>15.6</v>
      </c>
      <c r="D14" s="50">
        <v>15.6</v>
      </c>
      <c r="E14" s="50">
        <v>15.6</v>
      </c>
      <c r="F14" s="50">
        <v>15.6</v>
      </c>
      <c r="G14" s="50">
        <v>15.6</v>
      </c>
      <c r="H14" s="50">
        <v>15.6</v>
      </c>
      <c r="I14" s="50">
        <v>15.6</v>
      </c>
      <c r="J14" s="50">
        <v>15.6</v>
      </c>
      <c r="K14" s="50">
        <v>15.6</v>
      </c>
      <c r="L14" s="50">
        <v>16</v>
      </c>
      <c r="M14" s="50">
        <v>16</v>
      </c>
      <c r="N14" s="50">
        <v>16</v>
      </c>
      <c r="O14" s="50">
        <v>16</v>
      </c>
      <c r="P14" s="50">
        <v>16</v>
      </c>
      <c r="Q14" s="50">
        <v>7.6</v>
      </c>
      <c r="R14" s="50">
        <v>7.6</v>
      </c>
      <c r="S14" s="50">
        <v>7.6</v>
      </c>
      <c r="T14" s="50">
        <v>7.6</v>
      </c>
      <c r="U14" s="50">
        <v>7.6</v>
      </c>
      <c r="V14" s="50">
        <v>7.6</v>
      </c>
      <c r="W14" s="50">
        <v>7.6</v>
      </c>
      <c r="X14" s="50">
        <v>7.6</v>
      </c>
      <c r="Y14" s="50">
        <v>16.8</v>
      </c>
      <c r="Z14" s="50">
        <v>16.8</v>
      </c>
      <c r="AA14" s="50">
        <v>16.8</v>
      </c>
      <c r="AB14" s="50">
        <v>16.3</v>
      </c>
      <c r="AC14" s="50">
        <v>16.3</v>
      </c>
      <c r="AD14" s="50">
        <v>16.3</v>
      </c>
      <c r="AE14" s="50">
        <v>16.3</v>
      </c>
      <c r="AF14" s="50">
        <v>16.3</v>
      </c>
      <c r="AG14" s="55">
        <v>45</v>
      </c>
      <c r="AH14" s="52">
        <f t="shared" si="2"/>
        <v>16.8</v>
      </c>
      <c r="AI14" s="53">
        <f t="shared" si="3"/>
        <v>7.6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8</v>
      </c>
      <c r="C15" s="50">
        <v>8</v>
      </c>
      <c r="D15" s="50">
        <v>8</v>
      </c>
      <c r="E15" s="50">
        <v>8</v>
      </c>
      <c r="F15" s="50">
        <v>8</v>
      </c>
      <c r="G15" s="50">
        <v>8</v>
      </c>
      <c r="H15" s="50">
        <v>8</v>
      </c>
      <c r="I15" s="50">
        <v>8</v>
      </c>
      <c r="J15" s="50">
        <v>8</v>
      </c>
      <c r="K15" s="50">
        <v>8</v>
      </c>
      <c r="L15" s="50">
        <v>8</v>
      </c>
      <c r="M15" s="50">
        <v>8</v>
      </c>
      <c r="N15" s="50">
        <v>8</v>
      </c>
      <c r="O15" s="50">
        <v>8</v>
      </c>
      <c r="P15" s="50">
        <v>8</v>
      </c>
      <c r="Q15" s="50">
        <v>8</v>
      </c>
      <c r="R15" s="50">
        <v>8</v>
      </c>
      <c r="S15" s="50">
        <v>8</v>
      </c>
      <c r="T15" s="50">
        <v>8</v>
      </c>
      <c r="U15" s="50">
        <v>8</v>
      </c>
      <c r="V15" s="50">
        <v>8</v>
      </c>
      <c r="W15" s="50">
        <v>8</v>
      </c>
      <c r="X15" s="50">
        <v>8</v>
      </c>
      <c r="Y15" s="50">
        <v>8</v>
      </c>
      <c r="Z15" s="50">
        <v>8</v>
      </c>
      <c r="AA15" s="50">
        <v>8</v>
      </c>
      <c r="AB15" s="50">
        <v>8.9990000000000006</v>
      </c>
      <c r="AC15" s="50">
        <v>8.9990000000000006</v>
      </c>
      <c r="AD15" s="50">
        <v>8.9990000000000006</v>
      </c>
      <c r="AE15" s="50">
        <v>8.9990000000000006</v>
      </c>
      <c r="AF15" s="50">
        <v>8.9990000000000006</v>
      </c>
      <c r="AG15" s="55">
        <v>42</v>
      </c>
      <c r="AH15" s="52">
        <f t="shared" si="2"/>
        <v>8.9990000000000006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/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9</v>
      </c>
      <c r="C18" s="50">
        <v>9</v>
      </c>
      <c r="D18" s="50">
        <v>9</v>
      </c>
      <c r="E18" s="50">
        <v>9</v>
      </c>
      <c r="F18" s="50">
        <v>9</v>
      </c>
      <c r="G18" s="50">
        <v>9</v>
      </c>
      <c r="H18" s="50">
        <v>9</v>
      </c>
      <c r="I18" s="50">
        <v>9</v>
      </c>
      <c r="J18" s="50">
        <v>9</v>
      </c>
      <c r="K18" s="50">
        <v>9</v>
      </c>
      <c r="L18" s="50">
        <v>8.6</v>
      </c>
      <c r="M18" s="50">
        <v>8.6</v>
      </c>
      <c r="N18" s="50">
        <v>8.6</v>
      </c>
      <c r="O18" s="50">
        <v>8.6</v>
      </c>
      <c r="P18" s="50">
        <v>8.6</v>
      </c>
      <c r="Q18" s="50">
        <v>8.6</v>
      </c>
      <c r="R18" s="50">
        <v>8.6</v>
      </c>
      <c r="S18" s="50">
        <v>8.6</v>
      </c>
      <c r="T18" s="50">
        <v>8.6</v>
      </c>
      <c r="U18" s="50">
        <v>8.6</v>
      </c>
      <c r="V18" s="50">
        <v>8.6</v>
      </c>
      <c r="W18" s="50">
        <v>8.6</v>
      </c>
      <c r="X18" s="50">
        <v>8.6</v>
      </c>
      <c r="Y18" s="50">
        <v>8.6</v>
      </c>
      <c r="Z18" s="50">
        <v>8.6</v>
      </c>
      <c r="AA18" s="50">
        <v>8.6</v>
      </c>
      <c r="AB18" s="50">
        <v>8.8000000000000007</v>
      </c>
      <c r="AC18" s="50">
        <v>8.8000000000000007</v>
      </c>
      <c r="AD18" s="50">
        <v>8.8000000000000007</v>
      </c>
      <c r="AE18" s="50">
        <v>8.8000000000000007</v>
      </c>
      <c r="AF18" s="50">
        <v>8.8000000000000007</v>
      </c>
      <c r="AG18" s="56">
        <v>30</v>
      </c>
      <c r="AH18" s="52">
        <f t="shared" si="2"/>
        <v>9</v>
      </c>
      <c r="AI18" s="53">
        <f t="shared" si="3"/>
        <v>8.6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8</v>
      </c>
      <c r="C19" s="50">
        <v>8</v>
      </c>
      <c r="D19" s="50">
        <v>8</v>
      </c>
      <c r="E19" s="50">
        <v>8</v>
      </c>
      <c r="F19" s="50">
        <v>8</v>
      </c>
      <c r="G19" s="50">
        <v>8</v>
      </c>
      <c r="H19" s="50">
        <v>8</v>
      </c>
      <c r="I19" s="50">
        <v>8</v>
      </c>
      <c r="J19" s="50">
        <v>8</v>
      </c>
      <c r="K19" s="50">
        <v>8</v>
      </c>
      <c r="L19" s="50">
        <v>8</v>
      </c>
      <c r="M19" s="50">
        <v>8</v>
      </c>
      <c r="N19" s="50">
        <v>8</v>
      </c>
      <c r="O19" s="50">
        <v>8</v>
      </c>
      <c r="P19" s="50">
        <v>8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8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10.5</v>
      </c>
      <c r="C22" s="50">
        <v>10.5</v>
      </c>
      <c r="D22" s="50">
        <v>10.5</v>
      </c>
      <c r="E22" s="50">
        <v>10.5</v>
      </c>
      <c r="F22" s="50">
        <v>10.5</v>
      </c>
      <c r="G22" s="50">
        <v>10.5</v>
      </c>
      <c r="H22" s="50">
        <v>10.5</v>
      </c>
      <c r="I22" s="50">
        <v>10.5</v>
      </c>
      <c r="J22" s="50">
        <v>10.5</v>
      </c>
      <c r="K22" s="50">
        <v>10.5</v>
      </c>
      <c r="L22" s="50">
        <v>10.5</v>
      </c>
      <c r="M22" s="50">
        <v>10.5</v>
      </c>
      <c r="N22" s="50">
        <v>10.5</v>
      </c>
      <c r="O22" s="50">
        <v>10.5</v>
      </c>
      <c r="P22" s="50">
        <v>10.5</v>
      </c>
      <c r="Q22" s="50">
        <v>9.1999999999999993</v>
      </c>
      <c r="R22" s="50">
        <v>9.1999999999999993</v>
      </c>
      <c r="S22" s="50">
        <v>9.1999999999999993</v>
      </c>
      <c r="T22" s="50">
        <v>9.1999999999999993</v>
      </c>
      <c r="U22" s="50">
        <v>9.1999999999999993</v>
      </c>
      <c r="V22" s="50">
        <v>9.1999999999999993</v>
      </c>
      <c r="W22" s="50">
        <v>9.1999999999999993</v>
      </c>
      <c r="X22" s="50">
        <v>9.1999999999999993</v>
      </c>
      <c r="Y22" s="50">
        <v>9.1999999999999993</v>
      </c>
      <c r="Z22" s="50">
        <v>9.1999999999999993</v>
      </c>
      <c r="AA22" s="50">
        <v>9.1999999999999993</v>
      </c>
      <c r="AB22" s="50">
        <v>9.1999999999999993</v>
      </c>
      <c r="AC22" s="50">
        <v>9.1999999999999993</v>
      </c>
      <c r="AD22" s="50">
        <v>9.1999999999999993</v>
      </c>
      <c r="AE22" s="50">
        <v>9.1999999999999993</v>
      </c>
      <c r="AF22" s="50">
        <v>9.1999999999999993</v>
      </c>
      <c r="AG22" s="55">
        <v>25</v>
      </c>
      <c r="AH22" s="52">
        <f t="shared" si="2"/>
        <v>10.5</v>
      </c>
      <c r="AI22" s="53">
        <f t="shared" si="3"/>
        <v>9.1999999999999993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6.8</v>
      </c>
      <c r="C26" s="50">
        <v>6.8</v>
      </c>
      <c r="D26" s="50">
        <v>6.8</v>
      </c>
      <c r="E26" s="50">
        <v>6.8</v>
      </c>
      <c r="F26" s="50">
        <v>6.8</v>
      </c>
      <c r="G26" s="50">
        <v>6.8</v>
      </c>
      <c r="H26" s="50">
        <v>6.8</v>
      </c>
      <c r="I26" s="50">
        <v>6.8</v>
      </c>
      <c r="J26" s="50">
        <v>6.8</v>
      </c>
      <c r="K26" s="50">
        <v>6.8</v>
      </c>
      <c r="L26" s="50">
        <v>6.8</v>
      </c>
      <c r="M26" s="50">
        <v>6.8</v>
      </c>
      <c r="N26" s="50">
        <v>6.8</v>
      </c>
      <c r="O26" s="50">
        <v>6.8</v>
      </c>
      <c r="P26" s="50">
        <v>6.8</v>
      </c>
      <c r="Q26" s="50">
        <v>6.4</v>
      </c>
      <c r="R26" s="50">
        <v>6.4</v>
      </c>
      <c r="S26" s="50">
        <v>6.4</v>
      </c>
      <c r="T26" s="50">
        <v>6.4</v>
      </c>
      <c r="U26" s="50">
        <v>6.4</v>
      </c>
      <c r="V26" s="50">
        <v>6.4</v>
      </c>
      <c r="W26" s="50">
        <v>6.4</v>
      </c>
      <c r="X26" s="50">
        <v>6.4</v>
      </c>
      <c r="Y26" s="50">
        <v>6.4</v>
      </c>
      <c r="Z26" s="50">
        <v>6.4</v>
      </c>
      <c r="AA26" s="50">
        <v>6.4</v>
      </c>
      <c r="AB26" s="50">
        <v>6.4</v>
      </c>
      <c r="AC26" s="50">
        <v>6.4</v>
      </c>
      <c r="AD26" s="50">
        <v>6.4</v>
      </c>
      <c r="AE26" s="50">
        <v>6.4</v>
      </c>
      <c r="AF26" s="50">
        <v>6.4</v>
      </c>
      <c r="AG26" s="55">
        <v>23.5</v>
      </c>
      <c r="AH26" s="52">
        <f t="shared" si="2"/>
        <v>6.8</v>
      </c>
      <c r="AI26" s="53">
        <f t="shared" si="3"/>
        <v>6.4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9</v>
      </c>
      <c r="C30" s="50">
        <v>9</v>
      </c>
      <c r="D30" s="50">
        <v>9</v>
      </c>
      <c r="E30" s="50">
        <v>9</v>
      </c>
      <c r="F30" s="50">
        <v>9</v>
      </c>
      <c r="G30" s="50">
        <v>9</v>
      </c>
      <c r="H30" s="50">
        <v>9</v>
      </c>
      <c r="I30" s="50">
        <v>9</v>
      </c>
      <c r="J30" s="50">
        <v>9</v>
      </c>
      <c r="K30" s="50">
        <v>9</v>
      </c>
      <c r="L30" s="50">
        <v>9</v>
      </c>
      <c r="M30" s="50">
        <v>9</v>
      </c>
      <c r="N30" s="50">
        <v>9</v>
      </c>
      <c r="O30" s="50">
        <v>9</v>
      </c>
      <c r="P30" s="50">
        <v>9</v>
      </c>
      <c r="Q30" s="50">
        <v>9</v>
      </c>
      <c r="R30" s="50">
        <v>9</v>
      </c>
      <c r="S30" s="50">
        <v>9</v>
      </c>
      <c r="T30" s="50">
        <v>9</v>
      </c>
      <c r="U30" s="50">
        <v>9</v>
      </c>
      <c r="V30" s="50">
        <v>9</v>
      </c>
      <c r="W30" s="50">
        <v>9</v>
      </c>
      <c r="X30" s="50">
        <v>9</v>
      </c>
      <c r="Y30" s="50">
        <v>9</v>
      </c>
      <c r="Z30" s="50">
        <v>9</v>
      </c>
      <c r="AA30" s="50">
        <v>9</v>
      </c>
      <c r="AB30" s="50">
        <v>9</v>
      </c>
      <c r="AC30" s="50">
        <v>9</v>
      </c>
      <c r="AD30" s="50">
        <v>9</v>
      </c>
      <c r="AE30" s="50">
        <v>9</v>
      </c>
      <c r="AF30" s="50">
        <v>9</v>
      </c>
      <c r="AG30" s="55">
        <v>22</v>
      </c>
      <c r="AH30" s="52">
        <f t="shared" si="2"/>
        <v>9</v>
      </c>
      <c r="AI30" s="53">
        <f t="shared" si="3"/>
        <v>9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2.2000000000000002</v>
      </c>
      <c r="N36" s="50">
        <v>2.2000000000000002</v>
      </c>
      <c r="O36" s="50">
        <v>2.2000000000000002</v>
      </c>
      <c r="P36" s="50">
        <v>2.2000000000000002</v>
      </c>
      <c r="Q36" s="50">
        <v>2.2000000000000002</v>
      </c>
      <c r="R36" s="50">
        <v>2.2000000000000002</v>
      </c>
      <c r="S36" s="50">
        <v>2.2000000000000002</v>
      </c>
      <c r="T36" s="50">
        <v>2.2000000000000002</v>
      </c>
      <c r="U36" s="50">
        <v>2.2000000000000002</v>
      </c>
      <c r="V36" s="50">
        <v>2.2000000000000002</v>
      </c>
      <c r="W36" s="50">
        <v>2.2000000000000002</v>
      </c>
      <c r="X36" s="50">
        <v>2.2000000000000002</v>
      </c>
      <c r="Y36" s="50">
        <v>2.2000000000000002</v>
      </c>
      <c r="Z36" s="50">
        <v>2.2000000000000002</v>
      </c>
      <c r="AA36" s="50">
        <v>2.2000000000000002</v>
      </c>
      <c r="AB36" s="50">
        <v>2.2000000000000002</v>
      </c>
      <c r="AC36" s="50">
        <v>2.2000000000000002</v>
      </c>
      <c r="AD36" s="50">
        <v>2.2000000000000002</v>
      </c>
      <c r="AE36" s="50">
        <v>2.2000000000000002</v>
      </c>
      <c r="AF36" s="50">
        <v>2.2000000000000002</v>
      </c>
      <c r="AG36" s="55">
        <v>13</v>
      </c>
      <c r="AH36" s="52">
        <f t="shared" si="2"/>
        <v>2.2000000000000002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3.5</v>
      </c>
      <c r="C37" s="50">
        <v>3.5</v>
      </c>
      <c r="D37" s="50">
        <v>3.5</v>
      </c>
      <c r="E37" s="50">
        <v>3.5</v>
      </c>
      <c r="F37" s="50">
        <v>3.5</v>
      </c>
      <c r="G37" s="50">
        <v>3.5</v>
      </c>
      <c r="H37" s="50">
        <v>3.5</v>
      </c>
      <c r="I37" s="50">
        <v>3.5</v>
      </c>
      <c r="J37" s="50">
        <v>3.5</v>
      </c>
      <c r="K37" s="50">
        <v>3.5</v>
      </c>
      <c r="L37" s="50">
        <v>3.5</v>
      </c>
      <c r="M37" s="50">
        <v>3.5</v>
      </c>
      <c r="N37" s="50">
        <v>3.5</v>
      </c>
      <c r="O37" s="50">
        <v>3.5</v>
      </c>
      <c r="P37" s="50">
        <v>3.5</v>
      </c>
      <c r="Q37" s="50">
        <v>3.5</v>
      </c>
      <c r="R37" s="50">
        <v>3.5</v>
      </c>
      <c r="S37" s="50">
        <v>3.5</v>
      </c>
      <c r="T37" s="50">
        <v>3.5</v>
      </c>
      <c r="U37" s="50">
        <v>3.5</v>
      </c>
      <c r="V37" s="50">
        <v>3.5</v>
      </c>
      <c r="W37" s="50">
        <v>3.5</v>
      </c>
      <c r="X37" s="50">
        <v>3.5</v>
      </c>
      <c r="Y37" s="50">
        <v>3.5</v>
      </c>
      <c r="Z37" s="50">
        <v>3.5</v>
      </c>
      <c r="AA37" s="50">
        <v>3.5</v>
      </c>
      <c r="AB37" s="50">
        <v>3.5</v>
      </c>
      <c r="AC37" s="50">
        <v>3.5</v>
      </c>
      <c r="AD37" s="50">
        <v>3.5</v>
      </c>
      <c r="AE37" s="50">
        <v>3.5</v>
      </c>
      <c r="AF37" s="50">
        <v>3.5</v>
      </c>
      <c r="AG37" s="55">
        <v>12</v>
      </c>
      <c r="AH37" s="52">
        <f t="shared" si="2"/>
        <v>3.5</v>
      </c>
      <c r="AI37" s="53">
        <f t="shared" si="3"/>
        <v>3.5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6.7</v>
      </c>
      <c r="C38" s="50">
        <v>6.7</v>
      </c>
      <c r="D38" s="50">
        <v>6.7</v>
      </c>
      <c r="E38" s="50">
        <v>6.7</v>
      </c>
      <c r="F38" s="50">
        <v>6.7</v>
      </c>
      <c r="G38" s="50">
        <v>6.7</v>
      </c>
      <c r="H38" s="50">
        <v>6.7</v>
      </c>
      <c r="I38" s="50">
        <v>6.7</v>
      </c>
      <c r="J38" s="50">
        <v>6.7</v>
      </c>
      <c r="K38" s="50">
        <v>6.7</v>
      </c>
      <c r="L38" s="50">
        <v>6.7</v>
      </c>
      <c r="M38" s="50">
        <v>6.7</v>
      </c>
      <c r="N38" s="50">
        <v>6.7</v>
      </c>
      <c r="O38" s="50">
        <v>6.7</v>
      </c>
      <c r="P38" s="50">
        <v>6.7</v>
      </c>
      <c r="Q38" s="50">
        <v>6.7</v>
      </c>
      <c r="R38" s="50">
        <v>6.7</v>
      </c>
      <c r="S38" s="50">
        <v>6.7</v>
      </c>
      <c r="T38" s="50">
        <v>6.7</v>
      </c>
      <c r="U38" s="50">
        <v>6.7</v>
      </c>
      <c r="V38" s="50">
        <v>6.7</v>
      </c>
      <c r="W38" s="50">
        <v>6.7</v>
      </c>
      <c r="X38" s="50">
        <v>6.7</v>
      </c>
      <c r="Y38" s="50">
        <v>6.7</v>
      </c>
      <c r="Z38" s="50">
        <v>6.7</v>
      </c>
      <c r="AA38" s="50">
        <v>6.7</v>
      </c>
      <c r="AB38" s="50">
        <v>6.7</v>
      </c>
      <c r="AC38" s="50">
        <v>6.7</v>
      </c>
      <c r="AD38" s="50">
        <v>6.7</v>
      </c>
      <c r="AE38" s="50">
        <v>6.7</v>
      </c>
      <c r="AF38" s="50">
        <v>6.7</v>
      </c>
      <c r="AG38" s="55">
        <v>12</v>
      </c>
      <c r="AH38" s="52">
        <f t="shared" si="2"/>
        <v>6.7</v>
      </c>
      <c r="AI38" s="53">
        <f t="shared" si="3"/>
        <v>6.7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6">
        <v>11.88</v>
      </c>
      <c r="AH41" s="52">
        <f t="shared" si="2"/>
        <v>0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205</v>
      </c>
      <c r="C46" s="63">
        <v>205</v>
      </c>
      <c r="D46" s="63">
        <v>205</v>
      </c>
      <c r="E46" s="63">
        <v>205</v>
      </c>
      <c r="F46" s="63">
        <v>205</v>
      </c>
      <c r="G46" s="63">
        <v>205</v>
      </c>
      <c r="H46" s="63">
        <v>205</v>
      </c>
      <c r="I46" s="63">
        <v>205</v>
      </c>
      <c r="J46" s="63">
        <v>205</v>
      </c>
      <c r="K46" s="63">
        <v>205</v>
      </c>
      <c r="L46" s="63">
        <v>205</v>
      </c>
      <c r="M46" s="63">
        <v>205</v>
      </c>
      <c r="N46" s="63">
        <v>205</v>
      </c>
      <c r="O46" s="63">
        <v>205</v>
      </c>
      <c r="P46" s="63">
        <v>205</v>
      </c>
      <c r="Q46" s="63">
        <v>205</v>
      </c>
      <c r="R46" s="63">
        <v>205</v>
      </c>
      <c r="S46" s="63">
        <v>205</v>
      </c>
      <c r="T46" s="63">
        <v>205</v>
      </c>
      <c r="U46" s="63">
        <v>205</v>
      </c>
      <c r="V46" s="63">
        <v>205</v>
      </c>
      <c r="W46" s="63">
        <v>205</v>
      </c>
      <c r="X46" s="63">
        <v>205</v>
      </c>
      <c r="Y46" s="63">
        <v>205</v>
      </c>
      <c r="Z46" s="63">
        <v>205</v>
      </c>
      <c r="AA46" s="63">
        <v>180</v>
      </c>
      <c r="AB46" s="63">
        <v>160</v>
      </c>
      <c r="AC46" s="63">
        <v>160</v>
      </c>
      <c r="AD46" s="63">
        <v>160</v>
      </c>
      <c r="AE46" s="63">
        <v>160</v>
      </c>
      <c r="AF46" s="63">
        <v>160</v>
      </c>
      <c r="AG46" s="61">
        <v>85</v>
      </c>
      <c r="AH46" s="52">
        <f t="shared" si="2"/>
        <v>205</v>
      </c>
      <c r="AI46" s="53">
        <f t="shared" si="3"/>
        <v>160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" si="4">SUM(B12:B46)</f>
        <v>443.1</v>
      </c>
      <c r="C48" s="67">
        <f t="shared" ref="C48:AG48" si="5">SUM(C12:C46)</f>
        <v>443.1</v>
      </c>
      <c r="D48" s="67">
        <f t="shared" si="5"/>
        <v>443.1</v>
      </c>
      <c r="E48" s="67">
        <f t="shared" si="5"/>
        <v>443.1</v>
      </c>
      <c r="F48" s="67">
        <f t="shared" si="5"/>
        <v>443.1</v>
      </c>
      <c r="G48" s="67">
        <f t="shared" si="5"/>
        <v>443.1</v>
      </c>
      <c r="H48" s="67">
        <f t="shared" si="5"/>
        <v>443.1</v>
      </c>
      <c r="I48" s="67">
        <f t="shared" si="5"/>
        <v>443.1</v>
      </c>
      <c r="J48" s="67">
        <f t="shared" si="5"/>
        <v>443.1</v>
      </c>
      <c r="K48" s="67">
        <f t="shared" si="5"/>
        <v>443.1</v>
      </c>
      <c r="L48" s="67">
        <f t="shared" si="5"/>
        <v>445.59999999999997</v>
      </c>
      <c r="M48" s="67">
        <f t="shared" si="5"/>
        <v>445.59999999999997</v>
      </c>
      <c r="N48" s="67">
        <f t="shared" si="5"/>
        <v>445.59999999999997</v>
      </c>
      <c r="O48" s="67">
        <f t="shared" si="5"/>
        <v>445.59999999999997</v>
      </c>
      <c r="P48" s="67">
        <f t="shared" si="5"/>
        <v>445.59999999999997</v>
      </c>
      <c r="Q48" s="67">
        <f t="shared" si="5"/>
        <v>429.29999999999995</v>
      </c>
      <c r="R48" s="67">
        <f t="shared" si="5"/>
        <v>429.29999999999995</v>
      </c>
      <c r="S48" s="67">
        <f t="shared" si="5"/>
        <v>429.29999999999995</v>
      </c>
      <c r="T48" s="67">
        <f t="shared" si="5"/>
        <v>429.29999999999995</v>
      </c>
      <c r="U48" s="67">
        <f t="shared" ref="U48:V48" si="6">SUM(U12:U46)</f>
        <v>422.29999999999995</v>
      </c>
      <c r="V48" s="67">
        <f t="shared" si="6"/>
        <v>429.29999999999995</v>
      </c>
      <c r="W48" s="67">
        <f>SUM(W12:W46)</f>
        <v>429.29999999999995</v>
      </c>
      <c r="X48" s="67">
        <f t="shared" ref="X48" si="7">SUM(X12:X46)</f>
        <v>429.29999999999995</v>
      </c>
      <c r="Y48" s="67">
        <f>SUM(Y12:Y46)</f>
        <v>443.5</v>
      </c>
      <c r="Z48" s="67">
        <f t="shared" ref="Z48:AF48" si="8">SUM(Z12:Z46)</f>
        <v>443.5</v>
      </c>
      <c r="AA48" s="67">
        <f t="shared" si="8"/>
        <v>418.5</v>
      </c>
      <c r="AB48" s="67">
        <f t="shared" si="8"/>
        <v>397.899</v>
      </c>
      <c r="AC48" s="67">
        <f t="shared" si="8"/>
        <v>397.899</v>
      </c>
      <c r="AD48" s="67">
        <f t="shared" si="8"/>
        <v>397.899</v>
      </c>
      <c r="AE48" s="67">
        <f t="shared" si="8"/>
        <v>397.899</v>
      </c>
      <c r="AF48" s="67">
        <f t="shared" si="8"/>
        <v>397.899</v>
      </c>
      <c r="AG48" s="68">
        <f t="shared" si="5"/>
        <v>875.68</v>
      </c>
      <c r="AH48" s="52">
        <f t="shared" si="2"/>
        <v>445.59999999999997</v>
      </c>
      <c r="AI48" s="53">
        <f t="shared" si="3"/>
        <v>397.899</v>
      </c>
      <c r="AK48" s="54"/>
    </row>
    <row r="49" spans="1:41" x14ac:dyDescent="0.25">
      <c r="A49" s="69" t="s">
        <v>53</v>
      </c>
      <c r="B49" s="50">
        <v>60</v>
      </c>
      <c r="C49" s="50">
        <v>60</v>
      </c>
      <c r="D49" s="50">
        <v>60</v>
      </c>
      <c r="E49" s="50">
        <v>15</v>
      </c>
      <c r="F49" s="50">
        <v>15</v>
      </c>
      <c r="G49" s="50">
        <v>15</v>
      </c>
      <c r="H49" s="50">
        <v>15</v>
      </c>
      <c r="I49" s="50">
        <v>60</v>
      </c>
      <c r="J49" s="50">
        <v>76</v>
      </c>
      <c r="K49" s="50">
        <v>35</v>
      </c>
      <c r="L49" s="50">
        <v>35</v>
      </c>
      <c r="M49" s="50">
        <v>35</v>
      </c>
      <c r="N49" s="70">
        <v>20</v>
      </c>
      <c r="O49" s="50">
        <v>70</v>
      </c>
      <c r="P49" s="50">
        <v>70</v>
      </c>
      <c r="Q49" s="50">
        <v>65</v>
      </c>
      <c r="R49" s="50">
        <v>60</v>
      </c>
      <c r="S49" s="50">
        <v>70</v>
      </c>
      <c r="T49" s="50">
        <v>50</v>
      </c>
      <c r="U49" s="50">
        <v>50</v>
      </c>
      <c r="V49" s="50">
        <v>40</v>
      </c>
      <c r="W49" s="50">
        <v>40</v>
      </c>
      <c r="X49" s="50">
        <v>40</v>
      </c>
      <c r="Y49" s="50">
        <v>110</v>
      </c>
      <c r="Z49" s="50">
        <v>210</v>
      </c>
      <c r="AA49" s="50">
        <v>250</v>
      </c>
      <c r="AB49" s="50">
        <v>140</v>
      </c>
      <c r="AC49" s="50">
        <v>140</v>
      </c>
      <c r="AD49" s="50">
        <v>140</v>
      </c>
      <c r="AE49" s="50">
        <v>140</v>
      </c>
      <c r="AF49" s="50">
        <v>130</v>
      </c>
      <c r="AG49" s="56">
        <v>456</v>
      </c>
      <c r="AH49" s="52">
        <f t="shared" si="2"/>
        <v>250</v>
      </c>
      <c r="AI49" s="53">
        <f t="shared" si="3"/>
        <v>15</v>
      </c>
      <c r="AK49" s="54"/>
    </row>
    <row r="50" spans="1:41" x14ac:dyDescent="0.25">
      <c r="A50" s="71" t="s">
        <v>54</v>
      </c>
      <c r="B50" s="72">
        <v>26</v>
      </c>
      <c r="C50" s="72">
        <v>26</v>
      </c>
      <c r="D50" s="72">
        <v>26</v>
      </c>
      <c r="E50" s="72">
        <v>26</v>
      </c>
      <c r="F50" s="72">
        <v>26</v>
      </c>
      <c r="G50" s="72">
        <v>26</v>
      </c>
      <c r="H50" s="72">
        <v>26</v>
      </c>
      <c r="I50" s="72">
        <v>26</v>
      </c>
      <c r="J50" s="72">
        <v>26</v>
      </c>
      <c r="K50" s="72">
        <v>26</v>
      </c>
      <c r="L50" s="72">
        <v>26</v>
      </c>
      <c r="M50" s="72">
        <v>26</v>
      </c>
      <c r="N50" s="72">
        <v>26</v>
      </c>
      <c r="O50" s="72">
        <v>26</v>
      </c>
      <c r="P50" s="72">
        <v>26</v>
      </c>
      <c r="Q50" s="72">
        <v>26</v>
      </c>
      <c r="R50" s="72">
        <v>26</v>
      </c>
      <c r="S50" s="72">
        <v>26</v>
      </c>
      <c r="T50" s="72">
        <v>26</v>
      </c>
      <c r="U50" s="72">
        <v>26</v>
      </c>
      <c r="V50" s="72">
        <v>26</v>
      </c>
      <c r="W50" s="72">
        <v>26</v>
      </c>
      <c r="X50" s="72">
        <v>26</v>
      </c>
      <c r="Y50" s="72">
        <v>26</v>
      </c>
      <c r="Z50" s="72">
        <v>26</v>
      </c>
      <c r="AA50" s="72">
        <v>26</v>
      </c>
      <c r="AB50" s="72">
        <v>26</v>
      </c>
      <c r="AC50" s="72">
        <v>26</v>
      </c>
      <c r="AD50" s="72">
        <v>26</v>
      </c>
      <c r="AE50" s="72">
        <v>26</v>
      </c>
      <c r="AF50" s="72">
        <v>26</v>
      </c>
      <c r="AG50" s="61">
        <v>60</v>
      </c>
      <c r="AH50" s="52">
        <f t="shared" si="2"/>
        <v>26</v>
      </c>
      <c r="AI50" s="53">
        <f t="shared" si="3"/>
        <v>26</v>
      </c>
      <c r="AK50" s="54"/>
    </row>
    <row r="51" spans="1:41" ht="15.75" thickBot="1" x14ac:dyDescent="0.3">
      <c r="A51" s="73" t="s">
        <v>55</v>
      </c>
      <c r="B51" s="74">
        <v>9</v>
      </c>
      <c r="C51" s="74">
        <v>9</v>
      </c>
      <c r="D51" s="74">
        <v>9</v>
      </c>
      <c r="E51" s="74">
        <v>9</v>
      </c>
      <c r="F51" s="74">
        <v>9</v>
      </c>
      <c r="G51" s="74">
        <v>9</v>
      </c>
      <c r="H51" s="74">
        <v>9</v>
      </c>
      <c r="I51" s="74">
        <v>9</v>
      </c>
      <c r="J51" s="74">
        <v>9</v>
      </c>
      <c r="K51" s="74">
        <v>9</v>
      </c>
      <c r="L51" s="74">
        <v>9</v>
      </c>
      <c r="M51" s="74">
        <v>9</v>
      </c>
      <c r="N51" s="74">
        <v>9</v>
      </c>
      <c r="O51" s="74">
        <v>9</v>
      </c>
      <c r="P51" s="74">
        <v>9</v>
      </c>
      <c r="Q51" s="74">
        <v>9.3000000000000007</v>
      </c>
      <c r="R51" s="74">
        <v>9.3000000000000007</v>
      </c>
      <c r="S51" s="74">
        <v>9.3000000000000007</v>
      </c>
      <c r="T51" s="74">
        <v>9.3000000000000007</v>
      </c>
      <c r="U51" s="74">
        <v>9.3000000000000007</v>
      </c>
      <c r="V51" s="74">
        <v>9.3000000000000007</v>
      </c>
      <c r="W51" s="74">
        <v>9.3000000000000007</v>
      </c>
      <c r="X51" s="74">
        <v>9.3000000000000007</v>
      </c>
      <c r="Y51" s="74">
        <v>9.3000000000000007</v>
      </c>
      <c r="Z51" s="74">
        <v>9.3000000000000007</v>
      </c>
      <c r="AA51" s="74">
        <v>9.3000000000000007</v>
      </c>
      <c r="AB51" s="74">
        <v>9.3000000000000007</v>
      </c>
      <c r="AC51" s="74">
        <v>9.3000000000000007</v>
      </c>
      <c r="AD51" s="74">
        <v>9.3000000000000007</v>
      </c>
      <c r="AE51" s="74">
        <v>9.3000000000000007</v>
      </c>
      <c r="AF51" s="74">
        <v>9.3000000000000007</v>
      </c>
      <c r="AG51" s="75">
        <v>22.1</v>
      </c>
      <c r="AH51" s="52">
        <f t="shared" si="2"/>
        <v>9.3000000000000007</v>
      </c>
      <c r="AI51" s="53">
        <f t="shared" si="3"/>
        <v>9</v>
      </c>
      <c r="AK51" s="54"/>
    </row>
    <row r="52" spans="1:41" ht="15.75" thickBot="1" x14ac:dyDescent="0.3">
      <c r="A52" s="76" t="s">
        <v>56</v>
      </c>
      <c r="B52" s="67">
        <f t="shared" ref="B52" si="9">SUM(B49:B51)</f>
        <v>95</v>
      </c>
      <c r="C52" s="67">
        <f t="shared" ref="C52:AG52" si="10">SUM(C49:C51)</f>
        <v>95</v>
      </c>
      <c r="D52" s="67">
        <f t="shared" si="10"/>
        <v>95</v>
      </c>
      <c r="E52" s="67">
        <f t="shared" si="10"/>
        <v>50</v>
      </c>
      <c r="F52" s="67">
        <f t="shared" si="10"/>
        <v>50</v>
      </c>
      <c r="G52" s="67">
        <f t="shared" si="10"/>
        <v>50</v>
      </c>
      <c r="H52" s="67">
        <f t="shared" si="10"/>
        <v>50</v>
      </c>
      <c r="I52" s="67">
        <f t="shared" si="10"/>
        <v>95</v>
      </c>
      <c r="J52" s="67">
        <f t="shared" si="10"/>
        <v>111</v>
      </c>
      <c r="K52" s="67">
        <f t="shared" si="10"/>
        <v>70</v>
      </c>
      <c r="L52" s="67">
        <f t="shared" si="10"/>
        <v>70</v>
      </c>
      <c r="M52" s="67">
        <f t="shared" si="10"/>
        <v>70</v>
      </c>
      <c r="N52" s="67">
        <f t="shared" si="10"/>
        <v>55</v>
      </c>
      <c r="O52" s="67">
        <f t="shared" si="10"/>
        <v>105</v>
      </c>
      <c r="P52" s="67">
        <f t="shared" si="10"/>
        <v>105</v>
      </c>
      <c r="Q52" s="67">
        <f t="shared" si="10"/>
        <v>100.3</v>
      </c>
      <c r="R52" s="67">
        <f t="shared" si="10"/>
        <v>95.3</v>
      </c>
      <c r="S52" s="67">
        <f t="shared" si="10"/>
        <v>105.3</v>
      </c>
      <c r="T52" s="67">
        <f t="shared" si="10"/>
        <v>85.3</v>
      </c>
      <c r="U52" s="67">
        <f t="shared" ref="U52:V52" si="11">SUM(U49:U51)</f>
        <v>85.3</v>
      </c>
      <c r="V52" s="67">
        <f t="shared" si="11"/>
        <v>75.3</v>
      </c>
      <c r="W52" s="67">
        <f t="shared" ref="W52:Y52" si="12">SUM(W49:W51)</f>
        <v>75.3</v>
      </c>
      <c r="X52" s="67">
        <f t="shared" si="12"/>
        <v>75.3</v>
      </c>
      <c r="Y52" s="67">
        <f t="shared" si="12"/>
        <v>145.30000000000001</v>
      </c>
      <c r="Z52" s="67">
        <v>245.3</v>
      </c>
      <c r="AA52" s="67">
        <v>245.3</v>
      </c>
      <c r="AB52" s="67">
        <f t="shared" si="10"/>
        <v>175.3</v>
      </c>
      <c r="AC52" s="67">
        <f t="shared" si="10"/>
        <v>175.3</v>
      </c>
      <c r="AD52" s="67">
        <f t="shared" si="10"/>
        <v>175.3</v>
      </c>
      <c r="AE52" s="67">
        <f t="shared" si="10"/>
        <v>175.3</v>
      </c>
      <c r="AF52" s="67">
        <f t="shared" si="10"/>
        <v>165.3</v>
      </c>
      <c r="AG52" s="68">
        <f t="shared" si="10"/>
        <v>538.1</v>
      </c>
      <c r="AH52" s="52">
        <f t="shared" si="2"/>
        <v>245.3</v>
      </c>
      <c r="AI52" s="53">
        <f t="shared" si="3"/>
        <v>50</v>
      </c>
      <c r="AK52" s="54"/>
    </row>
    <row r="53" spans="1:41" x14ac:dyDescent="0.25">
      <c r="A53" s="49" t="s">
        <v>57</v>
      </c>
      <c r="B53" s="50">
        <v>48</v>
      </c>
      <c r="C53" s="50">
        <v>48</v>
      </c>
      <c r="D53" s="50">
        <v>0</v>
      </c>
      <c r="E53" s="50">
        <v>0</v>
      </c>
      <c r="F53" s="50">
        <v>0</v>
      </c>
      <c r="G53" s="50">
        <v>0</v>
      </c>
      <c r="H53" s="50">
        <v>35.4</v>
      </c>
      <c r="I53" s="50">
        <v>45.4</v>
      </c>
      <c r="J53" s="50">
        <v>60.6</v>
      </c>
      <c r="K53" s="50">
        <v>61</v>
      </c>
      <c r="L53" s="50">
        <v>35.799999999999997</v>
      </c>
      <c r="M53" s="50">
        <v>35.799999999999997</v>
      </c>
      <c r="N53" s="50">
        <v>30.6</v>
      </c>
      <c r="O53" s="50">
        <v>28.7</v>
      </c>
      <c r="P53" s="50">
        <v>28.6</v>
      </c>
      <c r="Q53" s="50">
        <v>40.700000000000003</v>
      </c>
      <c r="R53" s="50">
        <v>40.6</v>
      </c>
      <c r="S53" s="50">
        <v>60.6</v>
      </c>
      <c r="T53" s="50">
        <v>71</v>
      </c>
      <c r="U53" s="50">
        <v>91</v>
      </c>
      <c r="V53" s="50">
        <v>71.599999999999994</v>
      </c>
      <c r="W53" s="50">
        <v>61</v>
      </c>
      <c r="X53" s="50">
        <v>61</v>
      </c>
      <c r="Y53" s="50">
        <v>88</v>
      </c>
      <c r="Z53" s="50">
        <v>91.4</v>
      </c>
      <c r="AA53" s="50">
        <v>91.4</v>
      </c>
      <c r="AB53" s="50">
        <v>81.3</v>
      </c>
      <c r="AC53" s="50">
        <v>81.3</v>
      </c>
      <c r="AD53" s="50">
        <v>81.3</v>
      </c>
      <c r="AE53" s="50">
        <v>81.3</v>
      </c>
      <c r="AF53" s="50">
        <v>50</v>
      </c>
      <c r="AG53" s="56">
        <v>144</v>
      </c>
      <c r="AH53" s="52">
        <f t="shared" si="2"/>
        <v>91.4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22</v>
      </c>
      <c r="C54" s="72">
        <v>22</v>
      </c>
      <c r="D54" s="72">
        <v>0</v>
      </c>
      <c r="E54" s="72">
        <v>0</v>
      </c>
      <c r="F54" s="72">
        <v>0</v>
      </c>
      <c r="G54" s="72">
        <v>35</v>
      </c>
      <c r="H54" s="72">
        <v>20</v>
      </c>
      <c r="I54" s="72">
        <v>33.799999999999997</v>
      </c>
      <c r="J54" s="72">
        <v>44.9</v>
      </c>
      <c r="K54" s="72">
        <v>31.8</v>
      </c>
      <c r="L54" s="72">
        <v>24.9</v>
      </c>
      <c r="M54" s="72">
        <v>24.9</v>
      </c>
      <c r="N54" s="72">
        <v>24.7</v>
      </c>
      <c r="O54" s="72">
        <v>21.1</v>
      </c>
      <c r="P54" s="72">
        <v>21.8</v>
      </c>
      <c r="Q54" s="72">
        <v>35.299999999999997</v>
      </c>
      <c r="R54" s="50">
        <v>36.5</v>
      </c>
      <c r="S54" s="50">
        <v>35.299999999999997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72">
        <v>49.4</v>
      </c>
      <c r="AC54" s="72">
        <v>49.4</v>
      </c>
      <c r="AD54" s="72">
        <v>25</v>
      </c>
      <c r="AE54" s="72">
        <v>0</v>
      </c>
      <c r="AF54" s="72">
        <v>0</v>
      </c>
      <c r="AG54" s="61">
        <v>70</v>
      </c>
      <c r="AH54" s="52">
        <f t="shared" si="2"/>
        <v>49.4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43.6</v>
      </c>
      <c r="C55" s="72">
        <v>34.299999999999997</v>
      </c>
      <c r="D55" s="72">
        <v>34.200000000000003</v>
      </c>
      <c r="E55" s="72">
        <v>19.5</v>
      </c>
      <c r="F55" s="72">
        <v>0</v>
      </c>
      <c r="G55" s="72">
        <v>0</v>
      </c>
      <c r="H55" s="72">
        <v>0</v>
      </c>
      <c r="I55" s="72">
        <v>17.3</v>
      </c>
      <c r="J55" s="72">
        <v>38</v>
      </c>
      <c r="K55" s="72">
        <v>32.9</v>
      </c>
      <c r="L55" s="72">
        <v>32.799999999999997</v>
      </c>
      <c r="M55" s="72">
        <v>32.799999999999997</v>
      </c>
      <c r="N55" s="72">
        <v>32.9</v>
      </c>
      <c r="O55" s="72">
        <v>16.399999999999999</v>
      </c>
      <c r="P55" s="72">
        <v>16.399999999999999</v>
      </c>
      <c r="Q55" s="72">
        <v>22</v>
      </c>
      <c r="R55" s="50">
        <v>22</v>
      </c>
      <c r="S55" s="50">
        <v>22</v>
      </c>
      <c r="T55" s="50">
        <v>22</v>
      </c>
      <c r="U55" s="50">
        <v>22.1</v>
      </c>
      <c r="V55" s="50">
        <v>21.9</v>
      </c>
      <c r="W55" s="50">
        <v>34</v>
      </c>
      <c r="X55" s="50">
        <v>34</v>
      </c>
      <c r="Y55" s="50">
        <v>52.8</v>
      </c>
      <c r="Z55" s="50">
        <v>68.5</v>
      </c>
      <c r="AA55" s="50">
        <v>68.5</v>
      </c>
      <c r="AB55" s="72">
        <v>57.9</v>
      </c>
      <c r="AC55" s="72">
        <v>57.9</v>
      </c>
      <c r="AD55" s="72">
        <v>32</v>
      </c>
      <c r="AE55" s="72">
        <v>32</v>
      </c>
      <c r="AF55" s="72">
        <v>0</v>
      </c>
      <c r="AG55" s="61">
        <v>69</v>
      </c>
      <c r="AH55" s="52">
        <f t="shared" si="2"/>
        <v>68.5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34.299999999999997</v>
      </c>
      <c r="C56" s="72">
        <v>37.299999999999997</v>
      </c>
      <c r="D56" s="72">
        <v>37.299999999999997</v>
      </c>
      <c r="E56" s="72">
        <v>37.299999999999997</v>
      </c>
      <c r="F56" s="72">
        <v>37.299999999999997</v>
      </c>
      <c r="G56" s="72">
        <v>37.299999999999997</v>
      </c>
      <c r="H56" s="72">
        <v>37.299999999999997</v>
      </c>
      <c r="I56" s="72">
        <v>37.299999999999997</v>
      </c>
      <c r="J56" s="72">
        <v>37.299999999999997</v>
      </c>
      <c r="K56" s="72">
        <v>37.299999999999997</v>
      </c>
      <c r="L56" s="72">
        <v>37.299999999999997</v>
      </c>
      <c r="M56" s="72">
        <v>37.299999999999997</v>
      </c>
      <c r="N56" s="72">
        <v>37</v>
      </c>
      <c r="O56" s="72">
        <v>36.299999999999997</v>
      </c>
      <c r="P56" s="72">
        <v>36.299999999999997</v>
      </c>
      <c r="Q56" s="72">
        <v>36.299999999999997</v>
      </c>
      <c r="R56" s="50">
        <v>36.299999999999997</v>
      </c>
      <c r="S56" s="50">
        <v>36.299999999999997</v>
      </c>
      <c r="T56" s="50">
        <v>36.299999999999997</v>
      </c>
      <c r="U56" s="50">
        <v>36</v>
      </c>
      <c r="V56" s="50">
        <v>35.299999999999997</v>
      </c>
      <c r="W56" s="50">
        <v>35.299999999999997</v>
      </c>
      <c r="X56" s="50">
        <v>35.299999999999997</v>
      </c>
      <c r="Y56" s="50">
        <v>35.299999999999997</v>
      </c>
      <c r="Z56" s="50">
        <v>35.299999999999997</v>
      </c>
      <c r="AA56" s="50">
        <v>35.299999999999997</v>
      </c>
      <c r="AB56" s="72">
        <v>35.299999999999997</v>
      </c>
      <c r="AC56" s="72">
        <v>35.299999999999997</v>
      </c>
      <c r="AD56" s="72">
        <v>35.299999999999997</v>
      </c>
      <c r="AE56" s="72">
        <v>35.299999999999997</v>
      </c>
      <c r="AF56" s="72">
        <v>35.299999999999997</v>
      </c>
      <c r="AG56" s="61">
        <v>60</v>
      </c>
      <c r="AH56" s="52">
        <f t="shared" si="2"/>
        <v>37.299999999999997</v>
      </c>
      <c r="AI56" s="53">
        <f t="shared" si="3"/>
        <v>34.299999999999997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10</v>
      </c>
      <c r="J57" s="72">
        <v>15</v>
      </c>
      <c r="K57" s="72">
        <v>15</v>
      </c>
      <c r="L57" s="72">
        <v>10</v>
      </c>
      <c r="M57" s="72">
        <v>10</v>
      </c>
      <c r="N57" s="72">
        <v>10</v>
      </c>
      <c r="O57" s="72">
        <v>10</v>
      </c>
      <c r="P57" s="72">
        <v>9.9</v>
      </c>
      <c r="Q57" s="72">
        <v>10</v>
      </c>
      <c r="R57" s="50">
        <v>10.3</v>
      </c>
      <c r="S57" s="50">
        <v>10.3</v>
      </c>
      <c r="T57" s="50">
        <v>10.3</v>
      </c>
      <c r="U57" s="50">
        <v>10.3</v>
      </c>
      <c r="V57" s="50">
        <v>10.3</v>
      </c>
      <c r="W57" s="50">
        <v>10.3</v>
      </c>
      <c r="X57" s="50">
        <v>15</v>
      </c>
      <c r="Y57" s="50">
        <v>15</v>
      </c>
      <c r="Z57" s="50">
        <v>15</v>
      </c>
      <c r="AA57" s="50">
        <v>15</v>
      </c>
      <c r="AB57" s="72">
        <v>15</v>
      </c>
      <c r="AC57" s="72">
        <v>15</v>
      </c>
      <c r="AD57" s="72">
        <v>15</v>
      </c>
      <c r="AE57" s="72">
        <v>0</v>
      </c>
      <c r="AF57" s="72">
        <v>0</v>
      </c>
      <c r="AG57" s="61">
        <v>30</v>
      </c>
      <c r="AH57" s="52">
        <f t="shared" si="2"/>
        <v>15</v>
      </c>
      <c r="AI57" s="53">
        <f t="shared" si="3"/>
        <v>0</v>
      </c>
      <c r="AK57" s="54"/>
    </row>
    <row r="58" spans="1:41" ht="15.75" thickBot="1" x14ac:dyDescent="0.3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4</v>
      </c>
      <c r="N58" s="72">
        <v>5.5</v>
      </c>
      <c r="O58" s="72">
        <v>11.8</v>
      </c>
      <c r="P58" s="72">
        <v>17</v>
      </c>
      <c r="Q58" s="72">
        <v>17.600000000000001</v>
      </c>
      <c r="R58" s="50">
        <v>17.2</v>
      </c>
      <c r="S58" s="50">
        <v>17.2</v>
      </c>
      <c r="T58" s="50">
        <v>17.2</v>
      </c>
      <c r="U58" s="50">
        <v>17.2</v>
      </c>
      <c r="V58" s="50">
        <v>17.2</v>
      </c>
      <c r="W58" s="50">
        <v>17.2</v>
      </c>
      <c r="X58" s="50">
        <v>17.2</v>
      </c>
      <c r="Y58" s="50">
        <v>17.2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17.600000000000001</v>
      </c>
      <c r="AI58" s="53">
        <f t="shared" si="3"/>
        <v>0</v>
      </c>
      <c r="AK58" s="54"/>
      <c r="AL58" s="54"/>
      <c r="AM58" s="85"/>
      <c r="AN58" s="85"/>
    </row>
    <row r="59" spans="1:41" x14ac:dyDescent="0.25">
      <c r="A59" s="60" t="s">
        <v>63</v>
      </c>
      <c r="B59" s="72">
        <v>13</v>
      </c>
      <c r="C59" s="72">
        <v>13</v>
      </c>
      <c r="D59" s="72">
        <v>13</v>
      </c>
      <c r="E59" s="72">
        <v>13</v>
      </c>
      <c r="F59" s="72">
        <v>13</v>
      </c>
      <c r="G59" s="72">
        <v>13</v>
      </c>
      <c r="H59" s="72">
        <v>13</v>
      </c>
      <c r="I59" s="72">
        <v>13</v>
      </c>
      <c r="J59" s="72">
        <v>13</v>
      </c>
      <c r="K59" s="72">
        <v>13</v>
      </c>
      <c r="L59" s="72">
        <v>13</v>
      </c>
      <c r="M59" s="72">
        <v>13</v>
      </c>
      <c r="N59" s="72">
        <v>13</v>
      </c>
      <c r="O59" s="72">
        <v>15</v>
      </c>
      <c r="P59" s="72">
        <v>15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14</v>
      </c>
      <c r="AA59" s="72">
        <v>14</v>
      </c>
      <c r="AB59" s="72">
        <v>14</v>
      </c>
      <c r="AC59" s="72">
        <v>14</v>
      </c>
      <c r="AD59" s="72">
        <v>14</v>
      </c>
      <c r="AE59" s="72">
        <v>14</v>
      </c>
      <c r="AF59" s="72">
        <v>14</v>
      </c>
      <c r="AG59" s="61">
        <v>24</v>
      </c>
      <c r="AH59" s="52">
        <f t="shared" si="2"/>
        <v>15</v>
      </c>
      <c r="AI59" s="53">
        <f t="shared" si="3"/>
        <v>13</v>
      </c>
      <c r="AK59" s="54"/>
      <c r="AL59" s="86"/>
      <c r="AM59" s="87"/>
      <c r="AN59" s="87"/>
      <c r="AO59" s="88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89"/>
      <c r="AM60" s="72"/>
      <c r="AN60" s="83"/>
      <c r="AO60" s="90"/>
    </row>
    <row r="61" spans="1:41" s="77" customFormat="1" x14ac:dyDescent="0.25">
      <c r="A61" s="60" t="s">
        <v>65</v>
      </c>
      <c r="B61" s="72">
        <v>11.8</v>
      </c>
      <c r="C61" s="72">
        <v>11.8</v>
      </c>
      <c r="D61" s="72">
        <v>11.8</v>
      </c>
      <c r="E61" s="72">
        <v>11.8</v>
      </c>
      <c r="F61" s="72">
        <v>11.8</v>
      </c>
      <c r="G61" s="72">
        <v>11.8</v>
      </c>
      <c r="H61" s="72">
        <v>11.8</v>
      </c>
      <c r="I61" s="72">
        <v>11.8</v>
      </c>
      <c r="J61" s="72">
        <v>11.8</v>
      </c>
      <c r="K61" s="72">
        <v>11.8</v>
      </c>
      <c r="L61" s="72">
        <v>11.8</v>
      </c>
      <c r="M61" s="72">
        <v>11.8</v>
      </c>
      <c r="N61" s="72">
        <v>11.8</v>
      </c>
      <c r="O61" s="72">
        <v>11.9</v>
      </c>
      <c r="P61" s="72">
        <v>11.9</v>
      </c>
      <c r="Q61" s="72">
        <v>11.8</v>
      </c>
      <c r="R61" s="72">
        <v>11.8</v>
      </c>
      <c r="S61" s="72">
        <v>11.8</v>
      </c>
      <c r="T61" s="72">
        <v>11.8</v>
      </c>
      <c r="U61" s="72">
        <v>11.8</v>
      </c>
      <c r="V61" s="72">
        <v>11.8</v>
      </c>
      <c r="W61" s="72">
        <v>11.8</v>
      </c>
      <c r="X61" s="72">
        <v>11.8</v>
      </c>
      <c r="Y61" s="72">
        <v>11.8</v>
      </c>
      <c r="Z61" s="72">
        <v>11.8</v>
      </c>
      <c r="AA61" s="72">
        <v>11.8</v>
      </c>
      <c r="AB61" s="72">
        <v>11.7</v>
      </c>
      <c r="AC61" s="72">
        <v>11.7</v>
      </c>
      <c r="AD61" s="72">
        <v>11.7</v>
      </c>
      <c r="AE61" s="72">
        <v>11.7</v>
      </c>
      <c r="AF61" s="72">
        <v>11.7</v>
      </c>
      <c r="AG61" s="61">
        <v>14.1</v>
      </c>
      <c r="AH61" s="52">
        <f t="shared" si="2"/>
        <v>11.9</v>
      </c>
      <c r="AI61" s="53">
        <f t="shared" si="3"/>
        <v>11.7</v>
      </c>
      <c r="AJ61" s="1"/>
      <c r="AK61" s="54"/>
      <c r="AL61" s="89"/>
      <c r="AM61" s="83"/>
      <c r="AN61" s="83"/>
      <c r="AO61" s="90"/>
    </row>
    <row r="62" spans="1:41" ht="15.75" thickBot="1" x14ac:dyDescent="0.3">
      <c r="A62" s="78" t="s">
        <v>66</v>
      </c>
      <c r="B62" s="72">
        <v>3.7</v>
      </c>
      <c r="C62" s="72">
        <v>3.7</v>
      </c>
      <c r="D62" s="72">
        <v>3.7</v>
      </c>
      <c r="E62" s="72">
        <v>3.7</v>
      </c>
      <c r="F62" s="72">
        <v>3.7</v>
      </c>
      <c r="G62" s="72">
        <v>3.7</v>
      </c>
      <c r="H62" s="72">
        <v>3.7</v>
      </c>
      <c r="I62" s="72">
        <v>3.7</v>
      </c>
      <c r="J62" s="72">
        <v>3.7</v>
      </c>
      <c r="K62" s="72">
        <v>3.7</v>
      </c>
      <c r="L62" s="72">
        <v>3.7</v>
      </c>
      <c r="M62" s="72">
        <v>4</v>
      </c>
      <c r="N62" s="72">
        <v>4</v>
      </c>
      <c r="O62" s="72">
        <v>4.3</v>
      </c>
      <c r="P62" s="72">
        <v>4.3</v>
      </c>
      <c r="Q62" s="72">
        <v>4.4000000000000004</v>
      </c>
      <c r="R62" s="72">
        <v>4.4000000000000004</v>
      </c>
      <c r="S62" s="72">
        <v>4.4000000000000004</v>
      </c>
      <c r="T62" s="72">
        <v>4.4000000000000004</v>
      </c>
      <c r="U62" s="72">
        <v>4.4000000000000004</v>
      </c>
      <c r="V62" s="72">
        <v>4.4000000000000004</v>
      </c>
      <c r="W62" s="72">
        <v>4.4000000000000004</v>
      </c>
      <c r="X62" s="72">
        <v>4.4000000000000004</v>
      </c>
      <c r="Y62" s="72">
        <v>4.4000000000000004</v>
      </c>
      <c r="Z62" s="72">
        <v>4.4000000000000004</v>
      </c>
      <c r="AA62" s="72">
        <v>4.4000000000000004</v>
      </c>
      <c r="AB62" s="72">
        <v>4.4000000000000004</v>
      </c>
      <c r="AC62" s="72">
        <v>4.4000000000000004</v>
      </c>
      <c r="AD62" s="72">
        <v>4.4000000000000004</v>
      </c>
      <c r="AE62" s="72">
        <v>4.4000000000000004</v>
      </c>
      <c r="AF62" s="72">
        <v>4.4000000000000004</v>
      </c>
      <c r="AG62" s="61">
        <v>14</v>
      </c>
      <c r="AH62" s="52">
        <f t="shared" si="2"/>
        <v>4.4000000000000004</v>
      </c>
      <c r="AI62" s="53">
        <f t="shared" si="3"/>
        <v>3.7</v>
      </c>
      <c r="AK62" s="54"/>
      <c r="AL62" s="93"/>
      <c r="AM62" s="50"/>
      <c r="AN62" s="50"/>
      <c r="AO62" s="94"/>
    </row>
    <row r="63" spans="1:41" x14ac:dyDescent="0.25">
      <c r="A63" s="60" t="s">
        <v>67</v>
      </c>
      <c r="B63" s="72">
        <v>3.4</v>
      </c>
      <c r="C63" s="72">
        <v>3.4</v>
      </c>
      <c r="D63" s="72">
        <v>3.4</v>
      </c>
      <c r="E63" s="72">
        <v>3.4</v>
      </c>
      <c r="F63" s="72">
        <v>3.4</v>
      </c>
      <c r="G63" s="72">
        <v>3.4</v>
      </c>
      <c r="H63" s="72">
        <v>3.4</v>
      </c>
      <c r="I63" s="72">
        <v>3.4</v>
      </c>
      <c r="J63" s="72">
        <v>3.4</v>
      </c>
      <c r="K63" s="72">
        <v>3.4</v>
      </c>
      <c r="L63" s="72">
        <v>3.4</v>
      </c>
      <c r="M63" s="72">
        <v>5</v>
      </c>
      <c r="N63" s="72">
        <v>5</v>
      </c>
      <c r="O63" s="72">
        <v>5</v>
      </c>
      <c r="P63" s="72">
        <v>5</v>
      </c>
      <c r="Q63" s="72">
        <v>5</v>
      </c>
      <c r="R63" s="72">
        <v>5</v>
      </c>
      <c r="S63" s="72">
        <v>5</v>
      </c>
      <c r="T63" s="72">
        <v>5</v>
      </c>
      <c r="U63" s="72">
        <v>5</v>
      </c>
      <c r="V63" s="72">
        <v>5</v>
      </c>
      <c r="W63" s="72">
        <v>5</v>
      </c>
      <c r="X63" s="72">
        <v>5</v>
      </c>
      <c r="Y63" s="72">
        <v>5</v>
      </c>
      <c r="Z63" s="72">
        <v>5</v>
      </c>
      <c r="AA63" s="72">
        <v>5</v>
      </c>
      <c r="AB63" s="72">
        <v>4</v>
      </c>
      <c r="AC63" s="72">
        <v>4</v>
      </c>
      <c r="AD63" s="72">
        <v>4</v>
      </c>
      <c r="AE63" s="72">
        <v>4</v>
      </c>
      <c r="AF63" s="72">
        <v>4</v>
      </c>
      <c r="AG63" s="61">
        <v>10.050000000000001</v>
      </c>
      <c r="AH63" s="52">
        <f t="shared" si="2"/>
        <v>5</v>
      </c>
      <c r="AI63" s="53">
        <f t="shared" si="3"/>
        <v>3.4</v>
      </c>
      <c r="AK63" s="54"/>
      <c r="AL63" s="93"/>
      <c r="AM63" s="84"/>
      <c r="AN63" s="96"/>
      <c r="AO63" s="211"/>
    </row>
    <row r="64" spans="1:41" x14ac:dyDescent="0.25">
      <c r="A64" s="60" t="s">
        <v>68</v>
      </c>
      <c r="B64" s="72">
        <v>2.5</v>
      </c>
      <c r="C64" s="72">
        <v>2.5</v>
      </c>
      <c r="D64" s="72">
        <v>2.5</v>
      </c>
      <c r="E64" s="72">
        <v>2.5</v>
      </c>
      <c r="F64" s="72">
        <v>2.5</v>
      </c>
      <c r="G64" s="72">
        <v>2.5</v>
      </c>
      <c r="H64" s="72">
        <v>2.5</v>
      </c>
      <c r="I64" s="72">
        <v>2.5</v>
      </c>
      <c r="J64" s="72">
        <v>2.5</v>
      </c>
      <c r="K64" s="72">
        <v>2.5</v>
      </c>
      <c r="L64" s="72">
        <v>2.5</v>
      </c>
      <c r="M64" s="72">
        <v>2.5</v>
      </c>
      <c r="N64" s="72">
        <v>2.5</v>
      </c>
      <c r="O64" s="72">
        <v>2.5</v>
      </c>
      <c r="P64" s="72">
        <v>2.5</v>
      </c>
      <c r="Q64" s="72">
        <v>2.5</v>
      </c>
      <c r="R64" s="72">
        <v>2.5</v>
      </c>
      <c r="S64" s="72">
        <v>2.5</v>
      </c>
      <c r="T64" s="72">
        <v>2.5</v>
      </c>
      <c r="U64" s="72">
        <v>2.5</v>
      </c>
      <c r="V64" s="72">
        <v>2.5</v>
      </c>
      <c r="W64" s="72">
        <v>2.5</v>
      </c>
      <c r="X64" s="72">
        <v>2.5</v>
      </c>
      <c r="Y64" s="72">
        <v>2.5</v>
      </c>
      <c r="Z64" s="72">
        <v>2.5</v>
      </c>
      <c r="AA64" s="72">
        <v>2.5</v>
      </c>
      <c r="AB64" s="72">
        <v>2.5</v>
      </c>
      <c r="AC64" s="72">
        <v>2.5</v>
      </c>
      <c r="AD64" s="72">
        <v>2.5</v>
      </c>
      <c r="AE64" s="72">
        <v>2.5</v>
      </c>
      <c r="AF64" s="72">
        <v>2.5</v>
      </c>
      <c r="AG64" s="61">
        <v>6.2</v>
      </c>
      <c r="AH64" s="52">
        <f t="shared" si="2"/>
        <v>2.5</v>
      </c>
      <c r="AI64" s="53">
        <f t="shared" si="3"/>
        <v>2.5</v>
      </c>
      <c r="AK64" s="54"/>
      <c r="AL64" s="93"/>
      <c r="AM64" s="84"/>
      <c r="AN64" s="84"/>
      <c r="AO64" s="212"/>
    </row>
    <row r="65" spans="1:41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  <c r="AL65" s="98"/>
      <c r="AM65" s="99"/>
      <c r="AN65" s="99"/>
      <c r="AO65" s="100"/>
    </row>
    <row r="66" spans="1:41" ht="15.75" thickBot="1" x14ac:dyDescent="0.3">
      <c r="A66" s="81" t="s">
        <v>70</v>
      </c>
      <c r="B66" s="67">
        <f t="shared" ref="B66:W66" si="13">SUM(B53:B65)</f>
        <v>185.83999999999997</v>
      </c>
      <c r="C66" s="67">
        <f t="shared" si="13"/>
        <v>179.54</v>
      </c>
      <c r="D66" s="67">
        <f t="shared" si="13"/>
        <v>109.44000000000001</v>
      </c>
      <c r="E66" s="67">
        <f t="shared" si="13"/>
        <v>94.740000000000009</v>
      </c>
      <c r="F66" s="67">
        <f t="shared" si="13"/>
        <v>75.240000000000009</v>
      </c>
      <c r="G66" s="67">
        <f t="shared" si="13"/>
        <v>110.24000000000001</v>
      </c>
      <c r="H66" s="67">
        <f t="shared" si="13"/>
        <v>130.63999999999999</v>
      </c>
      <c r="I66" s="67">
        <f t="shared" si="13"/>
        <v>181.73999999999998</v>
      </c>
      <c r="J66" s="67">
        <f t="shared" si="13"/>
        <v>233.74</v>
      </c>
      <c r="K66" s="67">
        <f t="shared" si="13"/>
        <v>215.94</v>
      </c>
      <c r="L66" s="67">
        <f t="shared" si="13"/>
        <v>178.74</v>
      </c>
      <c r="M66" s="67">
        <f t="shared" si="13"/>
        <v>184.64000000000001</v>
      </c>
      <c r="N66" s="67">
        <f t="shared" si="13"/>
        <v>180.54</v>
      </c>
      <c r="O66" s="67">
        <f t="shared" si="13"/>
        <v>166.54</v>
      </c>
      <c r="P66" s="67">
        <f t="shared" si="13"/>
        <v>172.24</v>
      </c>
      <c r="Q66" s="67">
        <f t="shared" si="13"/>
        <v>203.14000000000001</v>
      </c>
      <c r="R66" s="67">
        <f t="shared" si="13"/>
        <v>204.14</v>
      </c>
      <c r="S66" s="67">
        <f t="shared" si="13"/>
        <v>222.94</v>
      </c>
      <c r="T66" s="67">
        <f t="shared" si="13"/>
        <v>198.04000000000002</v>
      </c>
      <c r="U66" s="67">
        <f t="shared" si="13"/>
        <v>217.84</v>
      </c>
      <c r="V66" s="67">
        <f t="shared" si="13"/>
        <v>197.54000000000002</v>
      </c>
      <c r="W66" s="67">
        <f t="shared" si="13"/>
        <v>199.04000000000002</v>
      </c>
      <c r="X66" s="67">
        <f t="shared" ref="X66:Y66" si="14">SUM(X53:X65)</f>
        <v>203.74</v>
      </c>
      <c r="Y66" s="67">
        <f t="shared" si="14"/>
        <v>249.54000000000002</v>
      </c>
      <c r="Z66" s="67">
        <v>266.44</v>
      </c>
      <c r="AA66" s="67">
        <v>266.44</v>
      </c>
      <c r="AB66" s="67">
        <f t="shared" ref="AB66:AG66" si="15">SUM(AB53:AB65)</f>
        <v>279.03999999999996</v>
      </c>
      <c r="AC66" s="67">
        <f t="shared" si="15"/>
        <v>279.03999999999996</v>
      </c>
      <c r="AD66" s="67">
        <f t="shared" si="15"/>
        <v>228.74</v>
      </c>
      <c r="AE66" s="67">
        <f t="shared" si="15"/>
        <v>188.73999999999998</v>
      </c>
      <c r="AF66" s="67">
        <f t="shared" si="15"/>
        <v>125.44000000000001</v>
      </c>
      <c r="AG66" s="68">
        <f t="shared" si="15"/>
        <v>489.91</v>
      </c>
      <c r="AH66" s="52">
        <f t="shared" si="2"/>
        <v>279.03999999999996</v>
      </c>
      <c r="AI66" s="53">
        <f t="shared" si="3"/>
        <v>75.240000000000009</v>
      </c>
      <c r="AK66" s="54"/>
    </row>
    <row r="67" spans="1:41" x14ac:dyDescent="0.25">
      <c r="A67" s="49" t="s">
        <v>71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40</v>
      </c>
      <c r="L67" s="50">
        <v>60</v>
      </c>
      <c r="M67" s="50">
        <v>60</v>
      </c>
      <c r="N67" s="50">
        <v>40</v>
      </c>
      <c r="O67" s="50">
        <v>40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1" x14ac:dyDescent="0.25">
      <c r="A68" s="60" t="s">
        <v>72</v>
      </c>
      <c r="B68" s="72">
        <v>28.5</v>
      </c>
      <c r="C68" s="72">
        <v>28.5</v>
      </c>
      <c r="D68" s="72">
        <v>28.5</v>
      </c>
      <c r="E68" s="72">
        <v>28.5</v>
      </c>
      <c r="F68" s="72">
        <v>28.5</v>
      </c>
      <c r="G68" s="72">
        <v>28.5</v>
      </c>
      <c r="H68" s="72">
        <v>28.5</v>
      </c>
      <c r="I68" s="72">
        <v>28.5</v>
      </c>
      <c r="J68" s="72">
        <v>28.5</v>
      </c>
      <c r="K68" s="72">
        <v>28.7</v>
      </c>
      <c r="L68" s="72">
        <v>28.5</v>
      </c>
      <c r="M68" s="72">
        <v>28.2</v>
      </c>
      <c r="N68" s="72">
        <v>16.100000000000001</v>
      </c>
      <c r="O68" s="72">
        <v>16.8</v>
      </c>
      <c r="P68" s="72">
        <v>16.7</v>
      </c>
      <c r="Q68" s="50">
        <v>28.9</v>
      </c>
      <c r="R68" s="50">
        <v>28.1</v>
      </c>
      <c r="S68" s="50">
        <v>28.1</v>
      </c>
      <c r="T68" s="72">
        <v>28</v>
      </c>
      <c r="U68" s="72">
        <v>28</v>
      </c>
      <c r="V68" s="72">
        <v>28</v>
      </c>
      <c r="W68" s="72">
        <v>28</v>
      </c>
      <c r="X68" s="72">
        <v>28</v>
      </c>
      <c r="Y68" s="72">
        <v>28</v>
      </c>
      <c r="Z68" s="72">
        <v>28</v>
      </c>
      <c r="AA68" s="72">
        <v>28</v>
      </c>
      <c r="AB68" s="72">
        <v>28</v>
      </c>
      <c r="AC68" s="72">
        <v>28</v>
      </c>
      <c r="AD68" s="72">
        <v>28</v>
      </c>
      <c r="AE68" s="72">
        <v>28</v>
      </c>
      <c r="AF68" s="72">
        <v>28</v>
      </c>
      <c r="AG68" s="61">
        <v>32</v>
      </c>
      <c r="AH68" s="52">
        <f t="shared" si="2"/>
        <v>28.9</v>
      </c>
      <c r="AI68" s="53">
        <f t="shared" si="3"/>
        <v>16.100000000000001</v>
      </c>
      <c r="AK68" s="54"/>
    </row>
    <row r="69" spans="1:41" ht="15.75" thickBot="1" x14ac:dyDescent="0.3">
      <c r="A69" s="78" t="s">
        <v>73</v>
      </c>
      <c r="B69" s="74">
        <v>10.4</v>
      </c>
      <c r="C69" s="74">
        <v>10.4</v>
      </c>
      <c r="D69" s="74">
        <v>10.4</v>
      </c>
      <c r="E69" s="74">
        <v>10.4</v>
      </c>
      <c r="F69" s="74">
        <v>10.4</v>
      </c>
      <c r="G69" s="74">
        <v>10.4</v>
      </c>
      <c r="H69" s="74">
        <v>10.4</v>
      </c>
      <c r="I69" s="74">
        <v>10.4</v>
      </c>
      <c r="J69" s="74">
        <v>10.4</v>
      </c>
      <c r="K69" s="74">
        <v>10.5</v>
      </c>
      <c r="L69" s="74">
        <v>10.4</v>
      </c>
      <c r="M69" s="74">
        <v>10.3</v>
      </c>
      <c r="N69" s="74">
        <v>5.9</v>
      </c>
      <c r="O69" s="74">
        <v>6.1</v>
      </c>
      <c r="P69" s="74">
        <v>6.1</v>
      </c>
      <c r="Q69" s="50">
        <v>10.5</v>
      </c>
      <c r="R69" s="50">
        <v>10.3</v>
      </c>
      <c r="S69" s="50">
        <v>10.3</v>
      </c>
      <c r="T69" s="74">
        <v>10.4</v>
      </c>
      <c r="U69" s="74">
        <v>10.4</v>
      </c>
      <c r="V69" s="74">
        <v>10.4</v>
      </c>
      <c r="W69" s="74">
        <v>10.4</v>
      </c>
      <c r="X69" s="74">
        <v>10.4</v>
      </c>
      <c r="Y69" s="74">
        <v>10.4</v>
      </c>
      <c r="Z69" s="74">
        <v>10.4</v>
      </c>
      <c r="AA69" s="74">
        <v>10.4</v>
      </c>
      <c r="AB69" s="74">
        <v>10.199999999999999</v>
      </c>
      <c r="AC69" s="74">
        <v>10.199999999999999</v>
      </c>
      <c r="AD69" s="74">
        <v>10.199999999999999</v>
      </c>
      <c r="AE69" s="74">
        <v>10.199999999999999</v>
      </c>
      <c r="AF69" s="74">
        <v>10.199999999999999</v>
      </c>
      <c r="AG69" s="75">
        <v>14</v>
      </c>
      <c r="AH69" s="52">
        <f t="shared" si="2"/>
        <v>10.5</v>
      </c>
      <c r="AI69" s="53">
        <f t="shared" si="3"/>
        <v>5.9</v>
      </c>
      <c r="AK69" s="54"/>
    </row>
    <row r="70" spans="1:41" ht="15.75" thickBot="1" x14ac:dyDescent="0.3">
      <c r="A70" s="81" t="s">
        <v>74</v>
      </c>
      <c r="B70" s="67">
        <f t="shared" ref="B70" si="16">B67+B68+B69</f>
        <v>98.9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98.9</v>
      </c>
      <c r="M70" s="67">
        <f t="shared" ref="M70:AF70" si="17">M67+M68+M69</f>
        <v>98.5</v>
      </c>
      <c r="N70" s="67">
        <f t="shared" si="17"/>
        <v>62</v>
      </c>
      <c r="O70" s="67">
        <f t="shared" si="17"/>
        <v>62.9</v>
      </c>
      <c r="P70" s="67">
        <f t="shared" si="17"/>
        <v>82.8</v>
      </c>
      <c r="Q70" s="67">
        <f t="shared" si="17"/>
        <v>99.4</v>
      </c>
      <c r="R70" s="67">
        <f t="shared" si="17"/>
        <v>98.399999999999991</v>
      </c>
      <c r="S70" s="67">
        <f t="shared" si="17"/>
        <v>98.399999999999991</v>
      </c>
      <c r="T70" s="67">
        <f t="shared" si="17"/>
        <v>98.4</v>
      </c>
      <c r="U70" s="67">
        <f t="shared" si="17"/>
        <v>98.4</v>
      </c>
      <c r="V70" s="67">
        <f t="shared" si="17"/>
        <v>98.4</v>
      </c>
      <c r="W70" s="67">
        <f t="shared" ref="W70:Y70" si="18">W67+W68+W69</f>
        <v>98.4</v>
      </c>
      <c r="X70" s="67">
        <f t="shared" si="18"/>
        <v>98.4</v>
      </c>
      <c r="Y70" s="67">
        <f t="shared" si="18"/>
        <v>98.4</v>
      </c>
      <c r="Z70" s="67">
        <v>98.4</v>
      </c>
      <c r="AA70" s="67">
        <v>98.4</v>
      </c>
      <c r="AB70" s="67">
        <f t="shared" si="17"/>
        <v>98.2</v>
      </c>
      <c r="AC70" s="67">
        <f t="shared" si="17"/>
        <v>98.2</v>
      </c>
      <c r="AD70" s="67">
        <f t="shared" si="17"/>
        <v>98.2</v>
      </c>
      <c r="AE70" s="67">
        <f t="shared" si="17"/>
        <v>98.2</v>
      </c>
      <c r="AF70" s="67">
        <f t="shared" si="17"/>
        <v>98.2</v>
      </c>
      <c r="AG70" s="68">
        <f>SUM(AG67:AG69)</f>
        <v>106</v>
      </c>
      <c r="AH70" s="52">
        <f t="shared" si="2"/>
        <v>99.4</v>
      </c>
      <c r="AI70" s="53">
        <f t="shared" si="3"/>
        <v>0</v>
      </c>
      <c r="AK70" s="54"/>
    </row>
    <row r="71" spans="1:41" x14ac:dyDescent="0.25">
      <c r="A71" s="49" t="s">
        <v>75</v>
      </c>
      <c r="B71" s="50">
        <v>39.6</v>
      </c>
      <c r="C71" s="50">
        <v>40</v>
      </c>
      <c r="D71" s="50">
        <v>72</v>
      </c>
      <c r="E71" s="50">
        <v>66.8</v>
      </c>
      <c r="F71" s="50">
        <v>62.4</v>
      </c>
      <c r="G71" s="50">
        <v>62</v>
      </c>
      <c r="H71" s="50">
        <v>65.5</v>
      </c>
      <c r="I71" s="50">
        <v>59.6</v>
      </c>
      <c r="J71" s="50">
        <v>57</v>
      </c>
      <c r="K71" s="50">
        <v>62.6</v>
      </c>
      <c r="L71" s="50">
        <v>50.7</v>
      </c>
      <c r="M71" s="50">
        <v>51.9</v>
      </c>
      <c r="N71" s="50">
        <v>56.7</v>
      </c>
      <c r="O71" s="50">
        <v>58.8</v>
      </c>
      <c r="P71" s="50">
        <v>48.5</v>
      </c>
      <c r="Q71" s="50">
        <v>61.1</v>
      </c>
      <c r="R71" s="50">
        <v>49.6</v>
      </c>
      <c r="S71" s="50">
        <v>57.7</v>
      </c>
      <c r="T71" s="50">
        <v>57.7</v>
      </c>
      <c r="U71" s="50">
        <v>70</v>
      </c>
      <c r="V71" s="50">
        <v>40</v>
      </c>
      <c r="W71" s="50">
        <v>49</v>
      </c>
      <c r="X71" s="50">
        <v>49</v>
      </c>
      <c r="Y71" s="50">
        <v>36.299999999999997</v>
      </c>
      <c r="Z71" s="50">
        <v>43.5</v>
      </c>
      <c r="AA71" s="50">
        <v>43.5</v>
      </c>
      <c r="AB71" s="50">
        <v>51.6</v>
      </c>
      <c r="AC71" s="50">
        <v>55.4</v>
      </c>
      <c r="AD71" s="50">
        <v>52</v>
      </c>
      <c r="AE71" s="50">
        <v>52</v>
      </c>
      <c r="AF71" s="50">
        <v>60</v>
      </c>
      <c r="AG71" s="56"/>
      <c r="AH71" s="52">
        <f t="shared" si="2"/>
        <v>72</v>
      </c>
      <c r="AI71" s="53">
        <f t="shared" si="3"/>
        <v>36.299999999999997</v>
      </c>
      <c r="AK71" s="54"/>
    </row>
    <row r="72" spans="1:41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1" x14ac:dyDescent="0.25">
      <c r="A73" s="60" t="s">
        <v>77</v>
      </c>
      <c r="B73" s="72">
        <v>287.60000000000002</v>
      </c>
      <c r="C73" s="72">
        <v>310</v>
      </c>
      <c r="D73" s="72">
        <v>321.89999999999998</v>
      </c>
      <c r="E73" s="72">
        <v>374.7</v>
      </c>
      <c r="F73" s="72">
        <v>392.6</v>
      </c>
      <c r="G73" s="72">
        <v>390</v>
      </c>
      <c r="H73" s="72">
        <v>387.7</v>
      </c>
      <c r="I73" s="72">
        <v>314.7</v>
      </c>
      <c r="J73" s="72">
        <v>292</v>
      </c>
      <c r="K73" s="72">
        <v>290</v>
      </c>
      <c r="L73" s="72">
        <v>320</v>
      </c>
      <c r="M73" s="72">
        <v>326.89999999999998</v>
      </c>
      <c r="N73" s="72">
        <v>328.7</v>
      </c>
      <c r="O73" s="72">
        <v>268</v>
      </c>
      <c r="P73" s="72">
        <v>291</v>
      </c>
      <c r="Q73" s="72">
        <v>311.7</v>
      </c>
      <c r="R73" s="72">
        <v>290.7</v>
      </c>
      <c r="S73" s="72">
        <v>275.10000000000002</v>
      </c>
      <c r="T73" s="72">
        <v>375</v>
      </c>
      <c r="U73" s="72">
        <v>363</v>
      </c>
      <c r="V73" s="72">
        <v>370</v>
      </c>
      <c r="W73" s="72">
        <v>365</v>
      </c>
      <c r="X73" s="72">
        <v>340</v>
      </c>
      <c r="Y73" s="72">
        <v>304</v>
      </c>
      <c r="Z73" s="72">
        <v>250</v>
      </c>
      <c r="AA73" s="72">
        <v>208</v>
      </c>
      <c r="AB73" s="72">
        <v>288.3</v>
      </c>
      <c r="AC73" s="72">
        <v>275</v>
      </c>
      <c r="AD73" s="72">
        <v>267</v>
      </c>
      <c r="AE73" s="72">
        <v>290</v>
      </c>
      <c r="AF73" s="72">
        <v>307</v>
      </c>
      <c r="AG73" s="82"/>
      <c r="AH73" s="52">
        <f t="shared" si="2"/>
        <v>392.6</v>
      </c>
      <c r="AI73" s="53">
        <f t="shared" si="3"/>
        <v>208</v>
      </c>
      <c r="AK73" s="54"/>
    </row>
    <row r="74" spans="1:41" x14ac:dyDescent="0.25">
      <c r="A74" s="60" t="s">
        <v>78</v>
      </c>
      <c r="B74" s="72">
        <v>56.7</v>
      </c>
      <c r="C74" s="72">
        <v>56.7</v>
      </c>
      <c r="D74" s="72">
        <v>56.7</v>
      </c>
      <c r="E74" s="83">
        <v>54.5</v>
      </c>
      <c r="F74" s="83">
        <v>54.1</v>
      </c>
      <c r="G74" s="83">
        <v>54.1</v>
      </c>
      <c r="H74" s="83">
        <v>54.8</v>
      </c>
      <c r="I74" s="83">
        <v>55.2</v>
      </c>
      <c r="J74" s="83">
        <v>56.9</v>
      </c>
      <c r="K74" s="83">
        <v>56.9</v>
      </c>
      <c r="L74" s="83">
        <v>56.9</v>
      </c>
      <c r="M74" s="83">
        <v>57.1</v>
      </c>
      <c r="N74" s="83">
        <v>56.1</v>
      </c>
      <c r="O74" s="83">
        <v>63.4</v>
      </c>
      <c r="P74" s="83">
        <v>49.4</v>
      </c>
      <c r="Q74" s="83">
        <v>54</v>
      </c>
      <c r="R74" s="83">
        <v>50.9</v>
      </c>
      <c r="S74" s="83">
        <v>51.1</v>
      </c>
      <c r="T74" s="83">
        <v>51.1</v>
      </c>
      <c r="U74" s="83">
        <v>51.1</v>
      </c>
      <c r="V74" s="83">
        <v>51.1</v>
      </c>
      <c r="W74" s="83">
        <v>51.1</v>
      </c>
      <c r="X74" s="83">
        <v>51.1</v>
      </c>
      <c r="Y74" s="83">
        <v>51.1</v>
      </c>
      <c r="Z74" s="72">
        <v>47.6</v>
      </c>
      <c r="AA74" s="72">
        <v>47.6</v>
      </c>
      <c r="AB74" s="72">
        <v>52.2</v>
      </c>
      <c r="AC74" s="72">
        <v>53.7</v>
      </c>
      <c r="AD74" s="72">
        <v>53.7</v>
      </c>
      <c r="AE74" s="72">
        <v>53.7</v>
      </c>
      <c r="AF74" s="72">
        <v>53.7</v>
      </c>
      <c r="AG74" s="82"/>
      <c r="AH74" s="52">
        <f t="shared" si="2"/>
        <v>63.4</v>
      </c>
      <c r="AI74" s="53">
        <f t="shared" si="3"/>
        <v>47.6</v>
      </c>
      <c r="AK74" s="54"/>
    </row>
    <row r="75" spans="1:41" x14ac:dyDescent="0.25">
      <c r="A75" s="60" t="s">
        <v>79</v>
      </c>
      <c r="B75" s="50">
        <v>29</v>
      </c>
      <c r="C75" s="50">
        <v>28.2</v>
      </c>
      <c r="D75" s="50">
        <v>28.2</v>
      </c>
      <c r="E75" s="50">
        <v>26.3</v>
      </c>
      <c r="F75" s="50">
        <v>25.1</v>
      </c>
      <c r="G75" s="50">
        <v>26</v>
      </c>
      <c r="H75" s="50">
        <v>24.2</v>
      </c>
      <c r="I75" s="50">
        <v>20.100000000000001</v>
      </c>
      <c r="J75" s="50">
        <v>21.5</v>
      </c>
      <c r="K75" s="50">
        <v>19.899999999999999</v>
      </c>
      <c r="L75" s="50">
        <v>23.1</v>
      </c>
      <c r="M75" s="50">
        <v>21</v>
      </c>
      <c r="N75" s="50">
        <v>22</v>
      </c>
      <c r="O75" s="50">
        <v>18.2</v>
      </c>
      <c r="P75" s="50">
        <v>18</v>
      </c>
      <c r="Q75" s="50">
        <v>24.7</v>
      </c>
      <c r="R75" s="50">
        <v>20</v>
      </c>
      <c r="S75" s="50">
        <v>20.8</v>
      </c>
      <c r="T75" s="50">
        <v>20.8</v>
      </c>
      <c r="U75" s="50">
        <v>20.8</v>
      </c>
      <c r="V75" s="50">
        <v>14.8</v>
      </c>
      <c r="W75" s="50">
        <v>14.8</v>
      </c>
      <c r="X75" s="50">
        <v>14.8</v>
      </c>
      <c r="Y75" s="50">
        <v>14.8</v>
      </c>
      <c r="Z75" s="50">
        <v>18.899999999999999</v>
      </c>
      <c r="AA75" s="50">
        <v>18.899999999999999</v>
      </c>
      <c r="AB75" s="50">
        <v>18.8</v>
      </c>
      <c r="AC75" s="50">
        <v>19.100000000000001</v>
      </c>
      <c r="AD75" s="50">
        <v>18.399999999999999</v>
      </c>
      <c r="AE75" s="50">
        <v>18.399999999999999</v>
      </c>
      <c r="AF75" s="50">
        <v>20</v>
      </c>
      <c r="AG75" s="82"/>
      <c r="AH75" s="52">
        <f t="shared" ref="AH75:AH117" si="19">MAX(B75:AF75)</f>
        <v>29</v>
      </c>
      <c r="AI75" s="53">
        <f t="shared" ref="AI75:AI117" si="20">MIN(B75:AF75)</f>
        <v>14.8</v>
      </c>
      <c r="AK75" s="54"/>
    </row>
    <row r="76" spans="1:41" x14ac:dyDescent="0.25">
      <c r="A76" s="60" t="s">
        <v>80</v>
      </c>
      <c r="B76" s="84">
        <v>0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9"/>
        <v>0</v>
      </c>
      <c r="AI76" s="53">
        <f t="shared" si="20"/>
        <v>0</v>
      </c>
      <c r="AK76" s="54"/>
    </row>
    <row r="77" spans="1:41" ht="15.75" thickBot="1" x14ac:dyDescent="0.3">
      <c r="A77" s="60" t="s">
        <v>81</v>
      </c>
      <c r="B77" s="84">
        <v>0</v>
      </c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9"/>
        <v>0</v>
      </c>
      <c r="AI77" s="53">
        <f t="shared" si="20"/>
        <v>0</v>
      </c>
      <c r="AK77" s="54"/>
      <c r="AL77" s="85" t="s">
        <v>82</v>
      </c>
      <c r="AM77" s="85"/>
    </row>
    <row r="78" spans="1:41" x14ac:dyDescent="0.25">
      <c r="A78" s="60" t="s">
        <v>83</v>
      </c>
      <c r="B78" s="84">
        <v>0</v>
      </c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9"/>
        <v>0</v>
      </c>
      <c r="AI78" s="53">
        <f t="shared" si="20"/>
        <v>0</v>
      </c>
      <c r="AK78" s="86"/>
      <c r="AL78" s="87">
        <v>14</v>
      </c>
      <c r="AM78" s="87">
        <v>10</v>
      </c>
      <c r="AN78" s="88"/>
    </row>
    <row r="79" spans="1:41" x14ac:dyDescent="0.25">
      <c r="A79" s="60" t="s">
        <v>84</v>
      </c>
      <c r="B79" s="84">
        <v>0</v>
      </c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9"/>
        <v>0</v>
      </c>
      <c r="AI79" s="53">
        <f t="shared" si="20"/>
        <v>0</v>
      </c>
      <c r="AK79" s="89" t="s">
        <v>85</v>
      </c>
      <c r="AL79" s="72">
        <v>643764.44999999995</v>
      </c>
      <c r="AM79" s="83">
        <v>643635.35</v>
      </c>
      <c r="AN79" s="90">
        <f>AL79-AM79</f>
        <v>129.09999999997672</v>
      </c>
    </row>
    <row r="80" spans="1:41" x14ac:dyDescent="0.25">
      <c r="A80" s="91" t="s">
        <v>86</v>
      </c>
      <c r="B80" s="84">
        <v>0</v>
      </c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9"/>
        <v>0</v>
      </c>
      <c r="AI80" s="53">
        <f t="shared" si="20"/>
        <v>0</v>
      </c>
      <c r="AK80" s="89" t="s">
        <v>87</v>
      </c>
      <c r="AL80" s="83">
        <v>478786.95</v>
      </c>
      <c r="AM80" s="83">
        <v>478655.4</v>
      </c>
      <c r="AN80" s="90">
        <f>AL80-AM80</f>
        <v>131.54999999998836</v>
      </c>
    </row>
    <row r="81" spans="1:88" ht="15.75" thickBot="1" x14ac:dyDescent="0.3">
      <c r="A81" s="91" t="s">
        <v>88</v>
      </c>
      <c r="B81" s="84">
        <v>0</v>
      </c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9"/>
        <v>0</v>
      </c>
      <c r="AI81" s="53">
        <f t="shared" si="20"/>
        <v>0</v>
      </c>
      <c r="AK81" s="93"/>
      <c r="AL81" s="50"/>
      <c r="AM81" s="50"/>
      <c r="AN81" s="94">
        <f>AN79+AN80</f>
        <v>260.64999999996508</v>
      </c>
    </row>
    <row r="82" spans="1:88" ht="15.75" thickBot="1" x14ac:dyDescent="0.3">
      <c r="A82" s="81" t="s">
        <v>89</v>
      </c>
      <c r="B82" s="67">
        <f t="shared" ref="B82" si="21">SUMIF(B71:B81,"&gt;0")</f>
        <v>412.90000000000003</v>
      </c>
      <c r="C82" s="67">
        <f t="shared" ref="C82:AF82" si="22">SUMIF(C71:C81,"&gt;0")</f>
        <v>434.9</v>
      </c>
      <c r="D82" s="67">
        <f t="shared" si="22"/>
        <v>478.79999999999995</v>
      </c>
      <c r="E82" s="67">
        <f t="shared" si="22"/>
        <v>522.29999999999995</v>
      </c>
      <c r="F82" s="67">
        <f t="shared" si="22"/>
        <v>534.20000000000005</v>
      </c>
      <c r="G82" s="67">
        <f t="shared" si="22"/>
        <v>532.1</v>
      </c>
      <c r="H82" s="67">
        <f t="shared" si="22"/>
        <v>532.20000000000005</v>
      </c>
      <c r="I82" s="67">
        <f t="shared" si="22"/>
        <v>449.6</v>
      </c>
      <c r="J82" s="67">
        <f t="shared" si="22"/>
        <v>427.4</v>
      </c>
      <c r="K82" s="67">
        <f t="shared" si="22"/>
        <v>429.4</v>
      </c>
      <c r="L82" s="67">
        <f t="shared" si="22"/>
        <v>450.7</v>
      </c>
      <c r="M82" s="67">
        <f t="shared" si="22"/>
        <v>456.9</v>
      </c>
      <c r="N82" s="67">
        <f t="shared" si="22"/>
        <v>463.5</v>
      </c>
      <c r="O82" s="67">
        <f t="shared" si="22"/>
        <v>408.4</v>
      </c>
      <c r="P82" s="67">
        <f t="shared" si="22"/>
        <v>406.9</v>
      </c>
      <c r="Q82" s="67">
        <f t="shared" si="22"/>
        <v>451.5</v>
      </c>
      <c r="R82" s="67">
        <f t="shared" si="22"/>
        <v>411.2</v>
      </c>
      <c r="S82" s="67">
        <f t="shared" si="22"/>
        <v>404.70000000000005</v>
      </c>
      <c r="T82" s="67">
        <f t="shared" si="22"/>
        <v>504.6</v>
      </c>
      <c r="U82" s="67">
        <f t="shared" si="22"/>
        <v>504.90000000000003</v>
      </c>
      <c r="V82" s="67">
        <f t="shared" si="22"/>
        <v>475.90000000000003</v>
      </c>
      <c r="W82" s="67">
        <f t="shared" ref="W82:Y82" si="23">SUMIF(W71:W81,"&gt;0")</f>
        <v>479.90000000000003</v>
      </c>
      <c r="X82" s="67">
        <f t="shared" si="23"/>
        <v>454.90000000000003</v>
      </c>
      <c r="Y82" s="67">
        <f t="shared" si="23"/>
        <v>406.20000000000005</v>
      </c>
      <c r="Z82" s="67">
        <v>360</v>
      </c>
      <c r="AA82" s="67">
        <v>360</v>
      </c>
      <c r="AB82" s="67">
        <f t="shared" si="22"/>
        <v>410.90000000000003</v>
      </c>
      <c r="AC82" s="67">
        <f t="shared" si="22"/>
        <v>403.2</v>
      </c>
      <c r="AD82" s="67">
        <f t="shared" si="22"/>
        <v>391.09999999999997</v>
      </c>
      <c r="AE82" s="67">
        <f t="shared" si="22"/>
        <v>414.09999999999997</v>
      </c>
      <c r="AF82" s="67">
        <f t="shared" si="22"/>
        <v>440.7</v>
      </c>
      <c r="AG82" s="95">
        <f>SUM(AG71:AG81)</f>
        <v>0</v>
      </c>
      <c r="AH82" s="52">
        <f t="shared" si="19"/>
        <v>534.20000000000005</v>
      </c>
      <c r="AI82" s="53">
        <f t="shared" si="20"/>
        <v>360</v>
      </c>
      <c r="AK82" s="93"/>
      <c r="AL82" s="84"/>
      <c r="AM82" s="96"/>
      <c r="AN82" s="211">
        <f>AN81/4</f>
        <v>65.162499999991269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9"/>
        <v>0</v>
      </c>
      <c r="AI83" s="53">
        <f t="shared" si="20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9"/>
        <v>0</v>
      </c>
      <c r="AI84" s="53">
        <f t="shared" si="20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9"/>
        <v>0</v>
      </c>
      <c r="AI85" s="53">
        <f t="shared" si="20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9"/>
        <v>0</v>
      </c>
      <c r="AI86" s="53">
        <f t="shared" si="2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W87" si="24">B48+B52+B70+B66+B82+B86</f>
        <v>1235.74</v>
      </c>
      <c r="C87" s="102">
        <f t="shared" si="24"/>
        <v>1152.54</v>
      </c>
      <c r="D87" s="102">
        <f t="shared" si="24"/>
        <v>1126.3400000000001</v>
      </c>
      <c r="E87" s="102">
        <f t="shared" si="24"/>
        <v>1110.1399999999999</v>
      </c>
      <c r="F87" s="102">
        <f t="shared" si="24"/>
        <v>1102.54</v>
      </c>
      <c r="G87" s="102">
        <f t="shared" si="24"/>
        <v>1135.44</v>
      </c>
      <c r="H87" s="102">
        <f t="shared" si="24"/>
        <v>1155.94</v>
      </c>
      <c r="I87" s="102">
        <f t="shared" si="24"/>
        <v>1169.44</v>
      </c>
      <c r="J87" s="102">
        <f t="shared" si="24"/>
        <v>1215.24</v>
      </c>
      <c r="K87" s="102">
        <f t="shared" si="24"/>
        <v>1158.44</v>
      </c>
      <c r="L87" s="102">
        <f t="shared" si="24"/>
        <v>1243.9399999999998</v>
      </c>
      <c r="M87" s="102">
        <f t="shared" si="24"/>
        <v>1255.6399999999999</v>
      </c>
      <c r="N87" s="102">
        <f t="shared" si="24"/>
        <v>1206.6399999999999</v>
      </c>
      <c r="O87" s="102">
        <f t="shared" si="24"/>
        <v>1188.4399999999998</v>
      </c>
      <c r="P87" s="102">
        <f t="shared" si="24"/>
        <v>1212.54</v>
      </c>
      <c r="Q87" s="102">
        <f t="shared" si="24"/>
        <v>1283.6399999999999</v>
      </c>
      <c r="R87" s="102">
        <f t="shared" si="24"/>
        <v>1238.3399999999999</v>
      </c>
      <c r="S87" s="102">
        <f t="shared" si="24"/>
        <v>1260.6399999999999</v>
      </c>
      <c r="T87" s="102">
        <f t="shared" si="24"/>
        <v>1315.6399999999999</v>
      </c>
      <c r="U87" s="102">
        <f t="shared" si="24"/>
        <v>1328.74</v>
      </c>
      <c r="V87" s="102">
        <f t="shared" si="24"/>
        <v>1276.44</v>
      </c>
      <c r="W87" s="102">
        <f t="shared" si="24"/>
        <v>1281.94</v>
      </c>
      <c r="X87" s="102">
        <f t="shared" ref="X87:Y87" si="25">X48+X52+X70+X66+X82+X86</f>
        <v>1261.6400000000001</v>
      </c>
      <c r="Y87" s="102">
        <f t="shared" si="25"/>
        <v>1342.94</v>
      </c>
      <c r="Z87" s="102">
        <v>1413.64</v>
      </c>
      <c r="AA87" s="102">
        <v>1413.64</v>
      </c>
      <c r="AB87" s="102">
        <f t="shared" ref="AB87:AG87" si="26">AB48+AB52+AB70+AB66+AB82+AB86</f>
        <v>1361.3390000000002</v>
      </c>
      <c r="AC87" s="102">
        <f t="shared" si="26"/>
        <v>1353.6390000000001</v>
      </c>
      <c r="AD87" s="102">
        <f t="shared" si="26"/>
        <v>1291.239</v>
      </c>
      <c r="AE87" s="102">
        <f t="shared" si="26"/>
        <v>1274.239</v>
      </c>
      <c r="AF87" s="102">
        <f t="shared" si="26"/>
        <v>1227.5390000000002</v>
      </c>
      <c r="AG87" s="68">
        <f t="shared" si="26"/>
        <v>2065.09</v>
      </c>
      <c r="AH87" s="52">
        <f>MAX(B87:AF87)</f>
        <v>1413.64</v>
      </c>
      <c r="AI87" s="53">
        <f>MIN(B87:AF87)</f>
        <v>1102.54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150</v>
      </c>
      <c r="L88" s="104">
        <v>150</v>
      </c>
      <c r="M88" s="104">
        <v>150</v>
      </c>
      <c r="N88" s="104">
        <v>150</v>
      </c>
      <c r="O88" s="104">
        <v>150</v>
      </c>
      <c r="P88" s="104">
        <v>100</v>
      </c>
      <c r="Q88" s="104"/>
      <c r="R88" s="104"/>
      <c r="S88" s="104"/>
      <c r="T88" s="104"/>
      <c r="U88" s="104"/>
      <c r="V88" s="104"/>
      <c r="W88" s="104"/>
      <c r="X88" s="104">
        <v>180</v>
      </c>
      <c r="Y88" s="104">
        <v>180</v>
      </c>
      <c r="Z88" s="104">
        <v>180</v>
      </c>
      <c r="AA88" s="104">
        <v>180</v>
      </c>
      <c r="AB88" s="104">
        <v>150</v>
      </c>
      <c r="AC88" s="104">
        <v>150</v>
      </c>
      <c r="AD88" s="104">
        <v>150</v>
      </c>
      <c r="AE88" s="104"/>
      <c r="AF88" s="104"/>
      <c r="AG88" s="95"/>
      <c r="AH88" s="52">
        <f t="shared" si="19"/>
        <v>180</v>
      </c>
      <c r="AI88" s="53">
        <f t="shared" si="20"/>
        <v>100</v>
      </c>
      <c r="AK88" s="2">
        <f>2861/24</f>
        <v>119.20833333333333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27">B87+B88</f>
        <v>1235.74</v>
      </c>
      <c r="C89" s="102">
        <f t="shared" ref="C89:AF89" si="28">C87+C88</f>
        <v>1152.54</v>
      </c>
      <c r="D89" s="102">
        <f t="shared" si="28"/>
        <v>1126.3400000000001</v>
      </c>
      <c r="E89" s="102">
        <f t="shared" si="28"/>
        <v>1110.1399999999999</v>
      </c>
      <c r="F89" s="102">
        <f t="shared" si="28"/>
        <v>1102.54</v>
      </c>
      <c r="G89" s="102">
        <f t="shared" si="28"/>
        <v>1135.44</v>
      </c>
      <c r="H89" s="102">
        <f t="shared" si="28"/>
        <v>1155.94</v>
      </c>
      <c r="I89" s="102">
        <f t="shared" si="28"/>
        <v>1169.44</v>
      </c>
      <c r="J89" s="102">
        <f t="shared" si="28"/>
        <v>1215.24</v>
      </c>
      <c r="K89" s="102">
        <f t="shared" si="28"/>
        <v>1308.44</v>
      </c>
      <c r="L89" s="102">
        <f t="shared" si="28"/>
        <v>1393.9399999999998</v>
      </c>
      <c r="M89" s="102">
        <f t="shared" si="28"/>
        <v>1405.6399999999999</v>
      </c>
      <c r="N89" s="102">
        <f t="shared" si="28"/>
        <v>1356.6399999999999</v>
      </c>
      <c r="O89" s="102">
        <f t="shared" si="28"/>
        <v>1338.4399999999998</v>
      </c>
      <c r="P89" s="102">
        <f t="shared" si="28"/>
        <v>1312.54</v>
      </c>
      <c r="Q89" s="102">
        <f t="shared" si="28"/>
        <v>1283.6399999999999</v>
      </c>
      <c r="R89" s="102">
        <f t="shared" si="28"/>
        <v>1238.3399999999999</v>
      </c>
      <c r="S89" s="102">
        <f t="shared" si="28"/>
        <v>1260.6399999999999</v>
      </c>
      <c r="T89" s="102">
        <f t="shared" si="28"/>
        <v>1315.6399999999999</v>
      </c>
      <c r="U89" s="102">
        <f t="shared" si="28"/>
        <v>1328.74</v>
      </c>
      <c r="V89" s="102">
        <f t="shared" si="28"/>
        <v>1276.44</v>
      </c>
      <c r="W89" s="102">
        <f t="shared" ref="W89:Y89" si="29">W87+W88</f>
        <v>1281.94</v>
      </c>
      <c r="X89" s="102">
        <f t="shared" si="29"/>
        <v>1441.64</v>
      </c>
      <c r="Y89" s="102">
        <f t="shared" si="29"/>
        <v>1522.94</v>
      </c>
      <c r="Z89" s="102">
        <v>1593.64</v>
      </c>
      <c r="AA89" s="102">
        <v>1593.64</v>
      </c>
      <c r="AB89" s="102">
        <f t="shared" si="28"/>
        <v>1511.3390000000002</v>
      </c>
      <c r="AC89" s="102">
        <f t="shared" si="28"/>
        <v>1503.6390000000001</v>
      </c>
      <c r="AD89" s="102">
        <f t="shared" si="28"/>
        <v>1441.239</v>
      </c>
      <c r="AE89" s="102">
        <f t="shared" si="28"/>
        <v>1274.239</v>
      </c>
      <c r="AF89" s="102">
        <f t="shared" si="28"/>
        <v>1227.5390000000002</v>
      </c>
      <c r="AG89" s="95">
        <f>AG86+AG82+AG70+AG66+AG48+AG88</f>
        <v>1526.99</v>
      </c>
      <c r="AH89" s="52">
        <f t="shared" si="19"/>
        <v>1593.64</v>
      </c>
      <c r="AI89" s="53">
        <f t="shared" si="20"/>
        <v>1102.54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30">B89-B97</f>
        <v>1235.74</v>
      </c>
      <c r="C90" s="102">
        <f t="shared" ref="C90:AF90" si="31">C89-C97</f>
        <v>1152.54</v>
      </c>
      <c r="D90" s="102">
        <f t="shared" si="31"/>
        <v>1126.3400000000001</v>
      </c>
      <c r="E90" s="102">
        <f t="shared" si="31"/>
        <v>1110.1399999999999</v>
      </c>
      <c r="F90" s="102">
        <f t="shared" si="31"/>
        <v>1102.54</v>
      </c>
      <c r="G90" s="102">
        <f t="shared" si="31"/>
        <v>1135.44</v>
      </c>
      <c r="H90" s="102">
        <f t="shared" si="31"/>
        <v>1155.94</v>
      </c>
      <c r="I90" s="102">
        <f t="shared" si="31"/>
        <v>1169.44</v>
      </c>
      <c r="J90" s="102">
        <f t="shared" si="31"/>
        <v>1215.24</v>
      </c>
      <c r="K90" s="102">
        <f t="shared" si="31"/>
        <v>1308.44</v>
      </c>
      <c r="L90" s="102">
        <f t="shared" si="31"/>
        <v>1393.9399999999998</v>
      </c>
      <c r="M90" s="102">
        <f t="shared" si="31"/>
        <v>1405.6399999999999</v>
      </c>
      <c r="N90" s="102">
        <f t="shared" si="31"/>
        <v>1356.6399999999999</v>
      </c>
      <c r="O90" s="102">
        <f t="shared" si="31"/>
        <v>1338.4399999999998</v>
      </c>
      <c r="P90" s="102">
        <f t="shared" si="31"/>
        <v>1312.54</v>
      </c>
      <c r="Q90" s="102">
        <f t="shared" si="31"/>
        <v>1283.6399999999999</v>
      </c>
      <c r="R90" s="102">
        <f t="shared" si="31"/>
        <v>1238.3399999999999</v>
      </c>
      <c r="S90" s="102">
        <f t="shared" si="31"/>
        <v>1260.6399999999999</v>
      </c>
      <c r="T90" s="102">
        <f t="shared" si="31"/>
        <v>1315.6399999999999</v>
      </c>
      <c r="U90" s="102">
        <f t="shared" si="31"/>
        <v>1328.74</v>
      </c>
      <c r="V90" s="102">
        <f t="shared" si="31"/>
        <v>1276.44</v>
      </c>
      <c r="W90" s="102">
        <f t="shared" ref="W90:Y90" si="32">W89-W97</f>
        <v>1281.94</v>
      </c>
      <c r="X90" s="102">
        <f t="shared" si="32"/>
        <v>1441.64</v>
      </c>
      <c r="Y90" s="102">
        <f t="shared" si="32"/>
        <v>1522.94</v>
      </c>
      <c r="Z90" s="102">
        <v>1518.24</v>
      </c>
      <c r="AA90" s="102">
        <v>1518.24</v>
      </c>
      <c r="AB90" s="102">
        <f t="shared" si="31"/>
        <v>1511.3390000000002</v>
      </c>
      <c r="AC90" s="102">
        <f t="shared" si="31"/>
        <v>1503.6390000000001</v>
      </c>
      <c r="AD90" s="102">
        <f t="shared" si="31"/>
        <v>1441.239</v>
      </c>
      <c r="AE90" s="102">
        <f t="shared" si="31"/>
        <v>1274.239</v>
      </c>
      <c r="AF90" s="102">
        <f t="shared" si="31"/>
        <v>1227.5390000000002</v>
      </c>
      <c r="AG90" s="95"/>
      <c r="AH90" s="52">
        <f t="shared" si="19"/>
        <v>1522.94</v>
      </c>
      <c r="AI90" s="53">
        <f t="shared" si="20"/>
        <v>1102.54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9"/>
        <v>0</v>
      </c>
      <c r="AI91" s="53">
        <f t="shared" si="2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9"/>
        <v>0</v>
      </c>
      <c r="AI92" s="53">
        <f t="shared" si="2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9"/>
        <v>0</v>
      </c>
      <c r="AI93" s="53">
        <f t="shared" si="2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9"/>
        <v>0</v>
      </c>
      <c r="AI94" s="53">
        <f t="shared" si="2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9"/>
        <v>0</v>
      </c>
      <c r="AI95" s="53">
        <f t="shared" si="2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9"/>
        <v>0</v>
      </c>
      <c r="AI96" s="53">
        <f t="shared" si="2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9"/>
        <v>0</v>
      </c>
      <c r="AI97" s="53">
        <f t="shared" si="20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" si="33">B82-B97</f>
        <v>412.90000000000003</v>
      </c>
      <c r="C98" s="67">
        <f t="shared" ref="C98:AF98" si="34">C82-C97</f>
        <v>434.9</v>
      </c>
      <c r="D98" s="67">
        <f t="shared" si="34"/>
        <v>478.79999999999995</v>
      </c>
      <c r="E98" s="67">
        <f t="shared" si="34"/>
        <v>522.29999999999995</v>
      </c>
      <c r="F98" s="67">
        <f t="shared" si="34"/>
        <v>534.20000000000005</v>
      </c>
      <c r="G98" s="67">
        <f t="shared" si="34"/>
        <v>532.1</v>
      </c>
      <c r="H98" s="67">
        <f t="shared" si="34"/>
        <v>532.20000000000005</v>
      </c>
      <c r="I98" s="67">
        <f t="shared" si="34"/>
        <v>449.6</v>
      </c>
      <c r="J98" s="67">
        <f t="shared" si="34"/>
        <v>427.4</v>
      </c>
      <c r="K98" s="67">
        <f t="shared" si="34"/>
        <v>429.4</v>
      </c>
      <c r="L98" s="67">
        <f t="shared" si="34"/>
        <v>450.7</v>
      </c>
      <c r="M98" s="67">
        <f t="shared" si="34"/>
        <v>456.9</v>
      </c>
      <c r="N98" s="67">
        <f t="shared" si="34"/>
        <v>463.5</v>
      </c>
      <c r="O98" s="67">
        <f t="shared" si="34"/>
        <v>408.4</v>
      </c>
      <c r="P98" s="67">
        <f t="shared" si="34"/>
        <v>406.9</v>
      </c>
      <c r="Q98" s="67">
        <f t="shared" si="34"/>
        <v>451.5</v>
      </c>
      <c r="R98" s="67">
        <f t="shared" si="34"/>
        <v>411.2</v>
      </c>
      <c r="S98" s="67">
        <f t="shared" si="34"/>
        <v>404.70000000000005</v>
      </c>
      <c r="T98" s="67">
        <f t="shared" si="34"/>
        <v>504.6</v>
      </c>
      <c r="U98" s="67">
        <f t="shared" si="34"/>
        <v>504.90000000000003</v>
      </c>
      <c r="V98" s="67">
        <f t="shared" si="34"/>
        <v>475.90000000000003</v>
      </c>
      <c r="W98" s="67">
        <f t="shared" si="34"/>
        <v>479.90000000000003</v>
      </c>
      <c r="X98" s="67">
        <f t="shared" ref="X98:Y98" si="35">X82-X97</f>
        <v>454.90000000000003</v>
      </c>
      <c r="Y98" s="67">
        <f t="shared" si="35"/>
        <v>406.20000000000005</v>
      </c>
      <c r="Z98" s="67">
        <v>360</v>
      </c>
      <c r="AA98" s="67">
        <f t="shared" si="34"/>
        <v>360</v>
      </c>
      <c r="AB98" s="67">
        <f t="shared" si="34"/>
        <v>410.90000000000003</v>
      </c>
      <c r="AC98" s="67">
        <f t="shared" si="34"/>
        <v>403.2</v>
      </c>
      <c r="AD98" s="67">
        <f t="shared" si="34"/>
        <v>391.09999999999997</v>
      </c>
      <c r="AE98" s="67">
        <f t="shared" si="34"/>
        <v>414.09999999999997</v>
      </c>
      <c r="AF98" s="67">
        <f t="shared" si="34"/>
        <v>440.7</v>
      </c>
      <c r="AG98" s="95"/>
      <c r="AH98" s="52">
        <f t="shared" si="19"/>
        <v>534.20000000000005</v>
      </c>
      <c r="AI98" s="53">
        <f t="shared" si="20"/>
        <v>360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50.002000000000002</v>
      </c>
      <c r="C99" s="108">
        <v>50.058999999999997</v>
      </c>
      <c r="D99" s="108">
        <v>49.991</v>
      </c>
      <c r="E99" s="108">
        <v>50.02</v>
      </c>
      <c r="F99" s="108">
        <v>50</v>
      </c>
      <c r="G99" s="108">
        <v>49.993000000000002</v>
      </c>
      <c r="H99" s="108">
        <v>49.994999999999997</v>
      </c>
      <c r="I99" s="108">
        <v>50.036999999999999</v>
      </c>
      <c r="J99" s="108">
        <v>50.08</v>
      </c>
      <c r="K99" s="108">
        <v>50.57</v>
      </c>
      <c r="L99" s="108">
        <v>49.984999999999999</v>
      </c>
      <c r="M99" s="108">
        <v>49.902000000000001</v>
      </c>
      <c r="N99" s="108">
        <v>50.033000000000001</v>
      </c>
      <c r="O99" s="108">
        <v>50</v>
      </c>
      <c r="P99" s="108">
        <v>50.085999999999999</v>
      </c>
      <c r="Q99" s="108">
        <v>49.97</v>
      </c>
      <c r="R99" s="108">
        <v>49.859000000000002</v>
      </c>
      <c r="S99" s="108">
        <v>50.043999999999997</v>
      </c>
      <c r="T99" s="108">
        <v>49.97</v>
      </c>
      <c r="U99" s="108">
        <v>50.07</v>
      </c>
      <c r="V99" s="108">
        <v>50.02</v>
      </c>
      <c r="W99" s="108">
        <v>49.96</v>
      </c>
      <c r="X99" s="108">
        <v>49.96</v>
      </c>
      <c r="Y99" s="108">
        <v>49.16</v>
      </c>
      <c r="Z99" s="108">
        <v>49.86</v>
      </c>
      <c r="AA99" s="108">
        <v>49.86</v>
      </c>
      <c r="AB99" s="108">
        <v>50.029000000000003</v>
      </c>
      <c r="AC99" s="108">
        <v>49.927999999999997</v>
      </c>
      <c r="AD99" s="108">
        <v>49.969000000000001</v>
      </c>
      <c r="AE99" s="108">
        <v>49.969000000000001</v>
      </c>
      <c r="AF99" s="108">
        <v>49.98</v>
      </c>
      <c r="AG99" s="109"/>
      <c r="AH99" s="52">
        <f t="shared" si="19"/>
        <v>50.57</v>
      </c>
      <c r="AI99" s="53">
        <f t="shared" si="20"/>
        <v>49.16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127.8</v>
      </c>
      <c r="C100" s="72">
        <v>127.8</v>
      </c>
      <c r="D100" s="72">
        <v>127.8</v>
      </c>
      <c r="E100" s="72">
        <v>127.8</v>
      </c>
      <c r="F100" s="72">
        <v>127.8</v>
      </c>
      <c r="G100" s="72">
        <v>127.8</v>
      </c>
      <c r="H100" s="72">
        <v>128</v>
      </c>
      <c r="I100" s="72">
        <v>128</v>
      </c>
      <c r="J100" s="72">
        <v>128</v>
      </c>
      <c r="K100" s="72">
        <v>128</v>
      </c>
      <c r="L100" s="72">
        <v>128</v>
      </c>
      <c r="M100" s="72">
        <v>127.9</v>
      </c>
      <c r="N100" s="72">
        <v>128.5</v>
      </c>
      <c r="O100" s="72">
        <v>128</v>
      </c>
      <c r="P100" s="72">
        <v>125.5</v>
      </c>
      <c r="Q100" s="72">
        <v>125.5</v>
      </c>
      <c r="R100" s="72">
        <v>125.7</v>
      </c>
      <c r="S100" s="72">
        <v>126.3</v>
      </c>
      <c r="T100" s="72">
        <v>126.3</v>
      </c>
      <c r="U100" s="72">
        <v>125.4</v>
      </c>
      <c r="V100" s="72">
        <v>128.30000000000001</v>
      </c>
      <c r="W100" s="72">
        <v>129.80000000000001</v>
      </c>
      <c r="X100" s="72">
        <v>129.80000000000001</v>
      </c>
      <c r="Y100" s="72">
        <v>129.69999999999999</v>
      </c>
      <c r="Z100" s="72">
        <v>127.7</v>
      </c>
      <c r="AA100" s="72">
        <v>127.7</v>
      </c>
      <c r="AB100" s="72">
        <v>130.1</v>
      </c>
      <c r="AC100" s="72">
        <v>130.4</v>
      </c>
      <c r="AD100" s="72">
        <v>130.30000000000001</v>
      </c>
      <c r="AE100" s="72">
        <v>130.30000000000001</v>
      </c>
      <c r="AF100" s="72">
        <v>126</v>
      </c>
      <c r="AG100" s="111"/>
      <c r="AH100" s="52">
        <f t="shared" si="19"/>
        <v>130.4</v>
      </c>
      <c r="AI100" s="53">
        <f t="shared" si="20"/>
        <v>125.4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131.69999999999999</v>
      </c>
      <c r="C101" s="72">
        <v>131.69999999999999</v>
      </c>
      <c r="D101" s="72">
        <v>131.69999999999999</v>
      </c>
      <c r="E101" s="72">
        <v>131.69999999999999</v>
      </c>
      <c r="F101" s="72">
        <v>131.69999999999999</v>
      </c>
      <c r="G101" s="72">
        <v>131.69999999999999</v>
      </c>
      <c r="H101" s="72">
        <v>131</v>
      </c>
      <c r="I101" s="72">
        <v>131</v>
      </c>
      <c r="J101" s="72">
        <v>131</v>
      </c>
      <c r="K101" s="72">
        <v>131</v>
      </c>
      <c r="L101" s="72">
        <v>131</v>
      </c>
      <c r="M101" s="72">
        <v>129.5</v>
      </c>
      <c r="N101" s="72">
        <v>129.9</v>
      </c>
      <c r="O101" s="72">
        <v>129.80000000000001</v>
      </c>
      <c r="P101" s="72">
        <v>128.4</v>
      </c>
      <c r="Q101" s="72">
        <v>129.5</v>
      </c>
      <c r="R101" s="72">
        <v>129.4</v>
      </c>
      <c r="S101" s="72">
        <v>130.1</v>
      </c>
      <c r="T101" s="72">
        <v>129.9</v>
      </c>
      <c r="U101" s="72">
        <v>129</v>
      </c>
      <c r="V101" s="72">
        <v>130.80000000000001</v>
      </c>
      <c r="W101" s="72">
        <v>131.9</v>
      </c>
      <c r="X101" s="72">
        <v>131.9</v>
      </c>
      <c r="Y101" s="72">
        <v>132</v>
      </c>
      <c r="Z101" s="72">
        <v>130.1</v>
      </c>
      <c r="AA101" s="72">
        <v>130.1</v>
      </c>
      <c r="AB101" s="72">
        <v>132.1</v>
      </c>
      <c r="AC101" s="72">
        <v>132.9</v>
      </c>
      <c r="AD101" s="72">
        <v>132.4</v>
      </c>
      <c r="AE101" s="72">
        <v>132.4</v>
      </c>
      <c r="AF101" s="72">
        <v>130.69999999999999</v>
      </c>
      <c r="AG101" s="111"/>
      <c r="AH101" s="52">
        <f t="shared" si="19"/>
        <v>132.9</v>
      </c>
      <c r="AI101" s="53">
        <f t="shared" si="20"/>
        <v>128.4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128.5</v>
      </c>
      <c r="C102" s="72">
        <v>128.5</v>
      </c>
      <c r="D102" s="72">
        <v>128.5</v>
      </c>
      <c r="E102" s="72">
        <v>128.5</v>
      </c>
      <c r="F102" s="72">
        <v>128.5</v>
      </c>
      <c r="G102" s="72">
        <v>128.5</v>
      </c>
      <c r="H102" s="72">
        <v>131</v>
      </c>
      <c r="I102" s="72">
        <v>131</v>
      </c>
      <c r="J102" s="72">
        <v>131</v>
      </c>
      <c r="K102" s="72">
        <v>131</v>
      </c>
      <c r="L102" s="72">
        <v>131</v>
      </c>
      <c r="M102" s="72">
        <v>131.9</v>
      </c>
      <c r="N102" s="72">
        <v>132.4</v>
      </c>
      <c r="O102" s="72">
        <v>131.80000000000001</v>
      </c>
      <c r="P102" s="72">
        <v>127.8</v>
      </c>
      <c r="Q102" s="72">
        <v>131.4</v>
      </c>
      <c r="R102" s="72">
        <v>130.4</v>
      </c>
      <c r="S102" s="72">
        <v>131.69999999999999</v>
      </c>
      <c r="T102" s="72">
        <v>129.9</v>
      </c>
      <c r="U102" s="72">
        <v>128.69999999999999</v>
      </c>
      <c r="V102" s="72">
        <v>129.69999999999999</v>
      </c>
      <c r="W102" s="72">
        <v>130.19999999999999</v>
      </c>
      <c r="X102" s="72">
        <v>130.19999999999999</v>
      </c>
      <c r="Y102" s="72">
        <v>125.5</v>
      </c>
      <c r="Z102" s="72">
        <v>128</v>
      </c>
      <c r="AA102" s="72">
        <v>128</v>
      </c>
      <c r="AB102" s="72">
        <v>130.80000000000001</v>
      </c>
      <c r="AC102" s="72">
        <v>130.9</v>
      </c>
      <c r="AD102" s="72">
        <v>132</v>
      </c>
      <c r="AE102" s="72">
        <v>132</v>
      </c>
      <c r="AF102" s="72">
        <v>130.5</v>
      </c>
      <c r="AG102" s="111"/>
      <c r="AH102" s="52">
        <f t="shared" si="19"/>
        <v>132.4</v>
      </c>
      <c r="AI102" s="53">
        <f t="shared" si="20"/>
        <v>125.5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9"/>
        <v>0</v>
      </c>
      <c r="AI103" s="53">
        <f t="shared" si="2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131.6</v>
      </c>
      <c r="C104" s="113">
        <v>131.6</v>
      </c>
      <c r="D104" s="113">
        <v>131.6</v>
      </c>
      <c r="E104" s="113">
        <v>131.6</v>
      </c>
      <c r="F104" s="113">
        <v>131.6</v>
      </c>
      <c r="G104" s="113">
        <v>131.6</v>
      </c>
      <c r="H104" s="113">
        <v>131.6</v>
      </c>
      <c r="I104" s="113">
        <v>131.6</v>
      </c>
      <c r="J104" s="113">
        <v>131.6</v>
      </c>
      <c r="K104" s="113">
        <v>131.6</v>
      </c>
      <c r="L104" s="113">
        <v>131.6</v>
      </c>
      <c r="M104" s="113">
        <v>132.69999999999999</v>
      </c>
      <c r="N104" s="113">
        <v>131.9</v>
      </c>
      <c r="O104" s="113">
        <v>131.30000000000001</v>
      </c>
      <c r="P104" s="113">
        <v>130.80000000000001</v>
      </c>
      <c r="Q104" s="113">
        <v>133.6</v>
      </c>
      <c r="R104" s="113">
        <v>131.30000000000001</v>
      </c>
      <c r="S104" s="113">
        <v>133.19999999999999</v>
      </c>
      <c r="T104" s="113">
        <v>134</v>
      </c>
      <c r="U104" s="113">
        <v>133.30000000000001</v>
      </c>
      <c r="V104" s="113">
        <v>134.69999999999999</v>
      </c>
      <c r="W104" s="113">
        <v>135.1</v>
      </c>
      <c r="X104" s="113">
        <v>135.1</v>
      </c>
      <c r="Y104" s="113">
        <v>134.80000000000001</v>
      </c>
      <c r="Z104" s="113">
        <v>132.80000000000001</v>
      </c>
      <c r="AA104" s="113">
        <v>135.19999999999999</v>
      </c>
      <c r="AB104" s="113">
        <v>134.6</v>
      </c>
      <c r="AC104" s="113">
        <v>135.6</v>
      </c>
      <c r="AD104" s="113">
        <v>135.80000000000001</v>
      </c>
      <c r="AE104" s="113">
        <v>135.80000000000001</v>
      </c>
      <c r="AF104" s="113">
        <v>131.30000000000001</v>
      </c>
      <c r="AG104" s="114"/>
      <c r="AH104" s="52">
        <f t="shared" si="19"/>
        <v>135.80000000000001</v>
      </c>
      <c r="AI104" s="53">
        <f t="shared" si="20"/>
        <v>130.80000000000001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128</v>
      </c>
      <c r="C105" s="72">
        <v>128</v>
      </c>
      <c r="D105" s="72">
        <v>128</v>
      </c>
      <c r="E105" s="72">
        <v>128</v>
      </c>
      <c r="F105" s="72">
        <v>128</v>
      </c>
      <c r="G105" s="72">
        <v>128</v>
      </c>
      <c r="H105" s="72">
        <v>127.8</v>
      </c>
      <c r="I105" s="72">
        <v>127.8</v>
      </c>
      <c r="J105" s="72">
        <v>127.8</v>
      </c>
      <c r="K105" s="72">
        <v>127.8</v>
      </c>
      <c r="L105" s="72">
        <v>127.8</v>
      </c>
      <c r="M105" s="72">
        <v>127.6</v>
      </c>
      <c r="N105" s="72">
        <v>126.9</v>
      </c>
      <c r="O105" s="72">
        <v>133.1</v>
      </c>
      <c r="P105" s="72">
        <v>130.19999999999999</v>
      </c>
      <c r="Q105" s="72">
        <v>134.9</v>
      </c>
      <c r="R105" s="72">
        <v>125.6</v>
      </c>
      <c r="S105" s="72">
        <v>129</v>
      </c>
      <c r="T105" s="72">
        <v>128.30000000000001</v>
      </c>
      <c r="U105" s="72">
        <v>126.9</v>
      </c>
      <c r="V105" s="72">
        <v>133.80000000000001</v>
      </c>
      <c r="W105" s="72">
        <v>129.4</v>
      </c>
      <c r="X105" s="72">
        <v>129.4</v>
      </c>
      <c r="Y105" s="72">
        <v>129.30000000000001</v>
      </c>
      <c r="Z105" s="72">
        <v>132.5</v>
      </c>
      <c r="AA105" s="72">
        <v>132.30000000000001</v>
      </c>
      <c r="AB105" s="72">
        <v>132.19999999999999</v>
      </c>
      <c r="AC105" s="72">
        <v>130.30000000000001</v>
      </c>
      <c r="AD105" s="72">
        <v>133.6</v>
      </c>
      <c r="AE105" s="72">
        <v>133.6</v>
      </c>
      <c r="AF105" s="72">
        <v>136.1</v>
      </c>
      <c r="AG105" s="111"/>
      <c r="AH105" s="52">
        <f t="shared" si="19"/>
        <v>136.1</v>
      </c>
      <c r="AI105" s="53">
        <f t="shared" si="20"/>
        <v>125.6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</v>
      </c>
      <c r="C106" s="99">
        <v>66</v>
      </c>
      <c r="D106" s="99">
        <v>66</v>
      </c>
      <c r="E106" s="99">
        <v>66</v>
      </c>
      <c r="F106" s="99">
        <v>66</v>
      </c>
      <c r="G106" s="99">
        <v>66</v>
      </c>
      <c r="H106" s="99">
        <v>65.900000000000006</v>
      </c>
      <c r="I106" s="99">
        <v>65.900000000000006</v>
      </c>
      <c r="J106" s="99">
        <v>65.900000000000006</v>
      </c>
      <c r="K106" s="99">
        <v>65.900000000000006</v>
      </c>
      <c r="L106" s="99">
        <v>65.900000000000006</v>
      </c>
      <c r="M106" s="99">
        <v>64.8</v>
      </c>
      <c r="N106" s="99">
        <v>65</v>
      </c>
      <c r="O106" s="99">
        <v>65.099999999999994</v>
      </c>
      <c r="P106" s="99">
        <v>64.599999999999994</v>
      </c>
      <c r="Q106" s="99">
        <v>65</v>
      </c>
      <c r="R106" s="99">
        <v>64.900000000000006</v>
      </c>
      <c r="S106" s="99">
        <v>65.3</v>
      </c>
      <c r="T106" s="99">
        <v>65</v>
      </c>
      <c r="U106" s="99">
        <v>64.900000000000006</v>
      </c>
      <c r="V106" s="99">
        <v>65.599999999999994</v>
      </c>
      <c r="W106" s="99">
        <v>66.099999999999994</v>
      </c>
      <c r="X106" s="99">
        <v>66.099999999999994</v>
      </c>
      <c r="Y106" s="99">
        <v>66</v>
      </c>
      <c r="Z106" s="99">
        <v>65.2</v>
      </c>
      <c r="AA106" s="99">
        <v>66.099999999999994</v>
      </c>
      <c r="AB106" s="99">
        <v>66.2</v>
      </c>
      <c r="AC106" s="99">
        <v>66.400000000000006</v>
      </c>
      <c r="AD106" s="99">
        <v>66.5</v>
      </c>
      <c r="AE106" s="99">
        <v>66.5</v>
      </c>
      <c r="AF106" s="99">
        <v>65.400000000000006</v>
      </c>
      <c r="AG106" s="115"/>
      <c r="AH106" s="52">
        <f t="shared" si="19"/>
        <v>66.5</v>
      </c>
      <c r="AI106" s="53">
        <f t="shared" si="20"/>
        <v>64.599999999999994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 t="s">
        <v>256</v>
      </c>
      <c r="AA107" s="99"/>
      <c r="AB107" s="99"/>
      <c r="AC107" s="99"/>
      <c r="AD107" s="99"/>
      <c r="AE107" s="99"/>
      <c r="AF107" s="99"/>
      <c r="AG107" s="115"/>
      <c r="AH107" s="52">
        <f t="shared" si="19"/>
        <v>0</v>
      </c>
      <c r="AI107" s="53">
        <f t="shared" si="20"/>
        <v>0</v>
      </c>
    </row>
    <row r="108" spans="1:88" ht="15.75" thickBot="1" x14ac:dyDescent="0.3">
      <c r="A108" s="117" t="s">
        <v>112</v>
      </c>
      <c r="B108" s="118">
        <f t="shared" ref="B108:O108" si="36">SUM(B18,B24,B27:B28,B56,B58:B59,B61,B63,B109:B113,B135,B141,B147,B156,B158,B170,B177,B180:B181,B188,B190,B192,B196:B198,B200:B202,B207,B213:B214,B216:B218,B226,B231)</f>
        <v>118.2</v>
      </c>
      <c r="C108" s="118">
        <f t="shared" si="36"/>
        <v>118.13999999999999</v>
      </c>
      <c r="D108" s="118">
        <f t="shared" si="36"/>
        <v>113.54</v>
      </c>
      <c r="E108" s="118">
        <f t="shared" si="36"/>
        <v>109.24000000000001</v>
      </c>
      <c r="F108" s="118">
        <f t="shared" si="36"/>
        <v>116.54</v>
      </c>
      <c r="G108" s="118">
        <f t="shared" si="36"/>
        <v>125.34</v>
      </c>
      <c r="H108" s="118">
        <f t="shared" si="36"/>
        <v>163.63999999999999</v>
      </c>
      <c r="I108" s="118">
        <f t="shared" si="36"/>
        <v>193.54</v>
      </c>
      <c r="J108" s="118">
        <f t="shared" si="36"/>
        <v>221.44</v>
      </c>
      <c r="K108" s="118">
        <f t="shared" si="36"/>
        <v>246.04</v>
      </c>
      <c r="L108" s="118">
        <f t="shared" si="36"/>
        <v>254.04000000000002</v>
      </c>
      <c r="M108" s="118">
        <f t="shared" si="36"/>
        <v>258.64</v>
      </c>
      <c r="N108" s="118">
        <f t="shared" si="36"/>
        <v>251.04</v>
      </c>
      <c r="O108" s="118">
        <f t="shared" si="36"/>
        <v>238.74</v>
      </c>
      <c r="P108" s="118">
        <v>42</v>
      </c>
      <c r="Q108" s="118">
        <f t="shared" ref="Q108:W108" si="37">SUM(Q18,Q24,Q27:Q28,Q56,Q58:Q59,Q61,Q63,Q109:Q113,Q135,Q141,Q147,Q156,Q158,Q170,Q177,Q180:Q181,Q188,Q190,Q192,Q196:Q198,Q200:Q202,Q207,Q213:Q214,Q216:Q218,Q226,Q231)</f>
        <v>213.7</v>
      </c>
      <c r="R108" s="118">
        <f t="shared" si="37"/>
        <v>161.89999999999998</v>
      </c>
      <c r="S108" s="118">
        <f t="shared" si="37"/>
        <v>166.7</v>
      </c>
      <c r="T108" s="118">
        <f t="shared" si="37"/>
        <v>180.1</v>
      </c>
      <c r="U108" s="118">
        <f t="shared" si="37"/>
        <v>203.8</v>
      </c>
      <c r="V108" s="118">
        <f t="shared" si="37"/>
        <v>200.29999999999998</v>
      </c>
      <c r="W108" s="118">
        <f t="shared" si="37"/>
        <v>210.5</v>
      </c>
      <c r="X108" s="118">
        <f t="shared" ref="X108:Y108" si="38">SUM(X18,X24,X27:X28,X56,X58:X59,X61,X63,X109:X113,X135,X141,X147,X156,X158,X170,X177,X180:X181,X188,X190,X192,X196:X198,X200:X202,X207,X213:X214,X216:X218,X226,X231)</f>
        <v>210.5</v>
      </c>
      <c r="Y108" s="118">
        <f t="shared" si="38"/>
        <v>216.29999999999998</v>
      </c>
      <c r="Z108" s="118">
        <v>289.09708333333333</v>
      </c>
      <c r="AA108" s="118">
        <f t="shared" ref="AA108:AF108" si="39">SUM(AA18,AA24,AA27:AA28,AA56,AA58:AA59,AA61,AA63,AA109:AA113,AA135,AA141,AA147,AA156,AA158,AA170,AA177,AA180:AA181,AA188,AA190,AA192,AA196:AA198,AA200:AA202,AA207,AA213:AA214,AA216:AA218,AA226,AA231)</f>
        <v>220.5</v>
      </c>
      <c r="AB108" s="118">
        <f t="shared" si="39"/>
        <v>230.6</v>
      </c>
      <c r="AC108" s="118">
        <f t="shared" si="39"/>
        <v>220.2</v>
      </c>
      <c r="AD108" s="118">
        <f t="shared" si="39"/>
        <v>233.79999999999998</v>
      </c>
      <c r="AE108" s="118">
        <f t="shared" si="39"/>
        <v>233.79999999999998</v>
      </c>
      <c r="AF108" s="118">
        <f t="shared" si="39"/>
        <v>141.5</v>
      </c>
      <c r="AG108" s="119"/>
      <c r="AH108" s="52">
        <f t="shared" si="19"/>
        <v>289.09708333333333</v>
      </c>
      <c r="AI108" s="53">
        <f t="shared" si="20"/>
        <v>42</v>
      </c>
    </row>
    <row r="109" spans="1:88" x14ac:dyDescent="0.25">
      <c r="A109" s="107" t="s">
        <v>113</v>
      </c>
      <c r="B109" s="120">
        <v>-11</v>
      </c>
      <c r="C109" s="120">
        <v>-10.4</v>
      </c>
      <c r="D109" s="120">
        <v>-22.3</v>
      </c>
      <c r="E109" s="120">
        <v>-24.1</v>
      </c>
      <c r="F109" s="120">
        <v>-28.8</v>
      </c>
      <c r="G109" s="120">
        <v>-26</v>
      </c>
      <c r="H109" s="120">
        <v>-23.2</v>
      </c>
      <c r="I109" s="120">
        <v>-12.9</v>
      </c>
      <c r="J109" s="120">
        <v>-2.8</v>
      </c>
      <c r="K109" s="120">
        <v>3.1</v>
      </c>
      <c r="L109" s="120">
        <v>-2</v>
      </c>
      <c r="M109" s="120">
        <v>-1.7</v>
      </c>
      <c r="N109" s="120">
        <v>-0.8</v>
      </c>
      <c r="O109" s="120">
        <v>-7.2</v>
      </c>
      <c r="P109" s="120">
        <v>-5.0999999999999996</v>
      </c>
      <c r="Q109" s="120">
        <v>0</v>
      </c>
      <c r="R109" s="120">
        <v>-1.7</v>
      </c>
      <c r="S109" s="120">
        <v>3.9</v>
      </c>
      <c r="T109" s="120">
        <v>-2</v>
      </c>
      <c r="U109" s="120">
        <v>0</v>
      </c>
      <c r="V109" s="120">
        <v>0</v>
      </c>
      <c r="W109" s="120">
        <v>-2</v>
      </c>
      <c r="X109" s="120">
        <v>-2</v>
      </c>
      <c r="Y109" s="120">
        <v>-15.5</v>
      </c>
      <c r="Z109" s="120">
        <v>-16.399999999999999</v>
      </c>
      <c r="AA109" s="120">
        <v>-14.6</v>
      </c>
      <c r="AB109" s="120">
        <v>11</v>
      </c>
      <c r="AC109" s="120">
        <v>9.1</v>
      </c>
      <c r="AD109" s="120">
        <v>1.8</v>
      </c>
      <c r="AE109" s="120">
        <v>1.8</v>
      </c>
      <c r="AF109" s="120">
        <v>-24.7</v>
      </c>
      <c r="AG109" s="121">
        <v>75</v>
      </c>
      <c r="AH109" s="52">
        <f t="shared" si="19"/>
        <v>11</v>
      </c>
      <c r="AI109" s="53">
        <f t="shared" si="20"/>
        <v>-28.8</v>
      </c>
    </row>
    <row r="110" spans="1:88" x14ac:dyDescent="0.25">
      <c r="A110" s="110" t="s">
        <v>114</v>
      </c>
      <c r="B110" s="186">
        <v>-10.5</v>
      </c>
      <c r="C110" s="186">
        <v>-10.5</v>
      </c>
      <c r="D110" s="186">
        <v>-28.4</v>
      </c>
      <c r="E110" s="186">
        <v>-31.3</v>
      </c>
      <c r="F110" s="186">
        <v>-36.5</v>
      </c>
      <c r="G110" s="186">
        <v>-29</v>
      </c>
      <c r="H110" s="186">
        <v>-28.8</v>
      </c>
      <c r="I110" s="186">
        <v>-15.2</v>
      </c>
      <c r="J110" s="186">
        <v>-1.8</v>
      </c>
      <c r="K110" s="186">
        <v>0</v>
      </c>
      <c r="L110" s="186">
        <v>-8.9</v>
      </c>
      <c r="M110" s="186">
        <v>-7.5</v>
      </c>
      <c r="N110" s="186">
        <v>-6.5</v>
      </c>
      <c r="O110" s="186">
        <v>-14</v>
      </c>
      <c r="P110" s="186">
        <v>-11.1</v>
      </c>
      <c r="Q110" s="186">
        <v>0</v>
      </c>
      <c r="R110" s="186">
        <v>-4.2</v>
      </c>
      <c r="S110" s="186">
        <v>5.6</v>
      </c>
      <c r="T110" s="186">
        <v>-5.6</v>
      </c>
      <c r="U110" s="186">
        <v>-2.8</v>
      </c>
      <c r="V110" s="186">
        <v>-4.5</v>
      </c>
      <c r="W110" s="186">
        <v>0</v>
      </c>
      <c r="X110" s="186">
        <v>0</v>
      </c>
      <c r="Y110" s="186">
        <v>-16.100000000000001</v>
      </c>
      <c r="Z110" s="186">
        <v>-18.2</v>
      </c>
      <c r="AA110" s="186">
        <v>-13.1</v>
      </c>
      <c r="AB110" s="186">
        <v>9.6999999999999993</v>
      </c>
      <c r="AC110" s="186">
        <v>8.3000000000000007</v>
      </c>
      <c r="AD110" s="186">
        <v>-1</v>
      </c>
      <c r="AE110" s="186">
        <v>-1</v>
      </c>
      <c r="AF110" s="186">
        <v>-34.6</v>
      </c>
      <c r="AG110" s="121">
        <v>240</v>
      </c>
      <c r="AH110" s="52">
        <f t="shared" si="19"/>
        <v>9.6999999999999993</v>
      </c>
      <c r="AI110" s="53">
        <f t="shared" si="20"/>
        <v>-36.5</v>
      </c>
    </row>
    <row r="111" spans="1:88" x14ac:dyDescent="0.25">
      <c r="A111" s="110" t="s">
        <v>115</v>
      </c>
      <c r="B111" s="186">
        <v>-38.5</v>
      </c>
      <c r="C111" s="186">
        <v>-45.6</v>
      </c>
      <c r="D111" s="186">
        <v>-32.4</v>
      </c>
      <c r="E111" s="186">
        <v>-29.8</v>
      </c>
      <c r="F111" s="186">
        <v>-26.8</v>
      </c>
      <c r="G111" s="186">
        <v>-24</v>
      </c>
      <c r="H111" s="186">
        <v>-6.5</v>
      </c>
      <c r="I111" s="186">
        <v>5.4</v>
      </c>
      <c r="J111" s="186">
        <v>6.2</v>
      </c>
      <c r="K111" s="186">
        <v>27.9</v>
      </c>
      <c r="L111" s="186">
        <v>35</v>
      </c>
      <c r="M111" s="186">
        <v>27.2</v>
      </c>
      <c r="N111" s="186">
        <v>25</v>
      </c>
      <c r="O111" s="186">
        <v>16.899999999999999</v>
      </c>
      <c r="P111" s="186">
        <v>-19</v>
      </c>
      <c r="Q111" s="186">
        <f>-1-11</f>
        <v>-12</v>
      </c>
      <c r="R111" s="186">
        <v>-55</v>
      </c>
      <c r="S111" s="186">
        <v>-60</v>
      </c>
      <c r="T111" s="186">
        <f>-39.6-9.4</f>
        <v>-49</v>
      </c>
      <c r="U111" s="186">
        <f>-36.3-6.6</f>
        <v>-42.9</v>
      </c>
      <c r="V111" s="186">
        <f>-30.7-0</f>
        <v>-30.7</v>
      </c>
      <c r="W111" s="186">
        <f>-24+7</f>
        <v>-17</v>
      </c>
      <c r="X111" s="186">
        <f t="shared" ref="X111" si="40">-24+7</f>
        <v>-17</v>
      </c>
      <c r="Y111" s="186">
        <f>-3.3+12.9</f>
        <v>9.6000000000000014</v>
      </c>
      <c r="Z111" s="186">
        <v>15.5</v>
      </c>
      <c r="AA111" s="186">
        <v>15.5</v>
      </c>
      <c r="AB111" s="186">
        <v>-1</v>
      </c>
      <c r="AC111" s="186">
        <v>-4</v>
      </c>
      <c r="AD111" s="186">
        <v>13</v>
      </c>
      <c r="AE111" s="186">
        <v>13</v>
      </c>
      <c r="AF111" s="186">
        <v>-21</v>
      </c>
      <c r="AG111" s="121">
        <v>240</v>
      </c>
      <c r="AH111" s="52">
        <f t="shared" si="19"/>
        <v>35</v>
      </c>
      <c r="AI111" s="53">
        <f t="shared" si="20"/>
        <v>-60</v>
      </c>
    </row>
    <row r="112" spans="1:88" x14ac:dyDescent="0.25">
      <c r="A112" s="110" t="s">
        <v>116</v>
      </c>
      <c r="B112" s="186">
        <v>32.5</v>
      </c>
      <c r="C112" s="186">
        <v>31.4</v>
      </c>
      <c r="D112" s="186">
        <v>29.5</v>
      </c>
      <c r="E112" s="186">
        <v>29.7</v>
      </c>
      <c r="F112" s="186">
        <v>31.8</v>
      </c>
      <c r="G112" s="186">
        <v>33.9</v>
      </c>
      <c r="H112" s="186">
        <v>35.700000000000003</v>
      </c>
      <c r="I112" s="186">
        <v>38.299999999999997</v>
      </c>
      <c r="J112" s="186">
        <v>39.4</v>
      </c>
      <c r="K112" s="186">
        <v>35.200000000000003</v>
      </c>
      <c r="L112" s="186">
        <v>44.2</v>
      </c>
      <c r="M112" s="186">
        <v>35.9</v>
      </c>
      <c r="N112" s="186">
        <v>34.5</v>
      </c>
      <c r="O112" s="186">
        <v>34.5</v>
      </c>
      <c r="P112" s="186">
        <v>38.9</v>
      </c>
      <c r="Q112" s="186">
        <v>36.4</v>
      </c>
      <c r="R112" s="186">
        <v>35.9</v>
      </c>
      <c r="S112" s="186">
        <v>30.9</v>
      </c>
      <c r="T112" s="186">
        <v>33.9</v>
      </c>
      <c r="U112" s="186">
        <v>39.200000000000003</v>
      </c>
      <c r="V112" s="186">
        <v>41</v>
      </c>
      <c r="W112" s="186">
        <v>42.4</v>
      </c>
      <c r="X112" s="186">
        <v>42.4</v>
      </c>
      <c r="Y112" s="186">
        <v>39.200000000000003</v>
      </c>
      <c r="Z112" s="186">
        <v>53</v>
      </c>
      <c r="AA112" s="186">
        <v>53</v>
      </c>
      <c r="AB112" s="186">
        <v>52.1</v>
      </c>
      <c r="AC112" s="186">
        <v>51.6</v>
      </c>
      <c r="AD112" s="186">
        <v>41.6</v>
      </c>
      <c r="AE112" s="186">
        <v>41.6</v>
      </c>
      <c r="AF112" s="186">
        <v>36.4</v>
      </c>
      <c r="AG112" s="121">
        <v>60</v>
      </c>
      <c r="AH112" s="52">
        <f t="shared" si="19"/>
        <v>53</v>
      </c>
      <c r="AI112" s="53">
        <f t="shared" si="20"/>
        <v>29.5</v>
      </c>
    </row>
    <row r="113" spans="1:37" x14ac:dyDescent="0.25">
      <c r="A113" s="123" t="s">
        <v>117</v>
      </c>
      <c r="B113" s="124">
        <v>59.2</v>
      </c>
      <c r="C113" s="124">
        <v>62.8</v>
      </c>
      <c r="D113" s="124">
        <v>76.7</v>
      </c>
      <c r="E113" s="124">
        <v>74.3</v>
      </c>
      <c r="F113" s="124">
        <v>86.4</v>
      </c>
      <c r="G113" s="124">
        <v>80</v>
      </c>
      <c r="H113" s="124">
        <v>96</v>
      </c>
      <c r="I113" s="124">
        <v>87.5</v>
      </c>
      <c r="J113" s="124">
        <v>90</v>
      </c>
      <c r="K113" s="124">
        <v>89.4</v>
      </c>
      <c r="L113" s="124">
        <v>95.7</v>
      </c>
      <c r="M113" s="124">
        <v>109.1</v>
      </c>
      <c r="N113" s="124">
        <v>102</v>
      </c>
      <c r="O113" s="124">
        <v>104</v>
      </c>
      <c r="P113" s="124">
        <v>101.5</v>
      </c>
      <c r="Q113" s="124">
        <v>81</v>
      </c>
      <c r="R113" s="124">
        <v>79</v>
      </c>
      <c r="S113" s="124">
        <v>78.400000000000006</v>
      </c>
      <c r="T113" s="124">
        <v>94.9</v>
      </c>
      <c r="U113" s="124">
        <v>102.7</v>
      </c>
      <c r="V113" s="124">
        <v>87.6</v>
      </c>
      <c r="W113" s="124">
        <v>80.2</v>
      </c>
      <c r="X113" s="124">
        <v>80.2</v>
      </c>
      <c r="Y113" s="124">
        <v>92.2</v>
      </c>
      <c r="Z113" s="124">
        <v>103.4</v>
      </c>
      <c r="AA113" s="124">
        <v>90</v>
      </c>
      <c r="AB113" s="124">
        <v>70</v>
      </c>
      <c r="AC113" s="124">
        <v>66.400000000000006</v>
      </c>
      <c r="AD113" s="124">
        <v>89.6</v>
      </c>
      <c r="AE113" s="124">
        <v>89.6</v>
      </c>
      <c r="AF113" s="124">
        <v>96.6</v>
      </c>
      <c r="AG113" s="125">
        <v>120</v>
      </c>
      <c r="AH113" s="52">
        <f t="shared" si="19"/>
        <v>109.1</v>
      </c>
      <c r="AI113" s="53">
        <f t="shared" si="20"/>
        <v>59.2</v>
      </c>
    </row>
    <row r="114" spans="1:37" x14ac:dyDescent="0.25">
      <c r="A114" s="123" t="s">
        <v>118</v>
      </c>
      <c r="B114" s="124">
        <v>75.5</v>
      </c>
      <c r="C114" s="124">
        <v>78</v>
      </c>
      <c r="D114" s="124">
        <v>87.7</v>
      </c>
      <c r="E114" s="124">
        <v>85.3</v>
      </c>
      <c r="F114" s="124">
        <v>98.7</v>
      </c>
      <c r="G114" s="124">
        <v>98</v>
      </c>
      <c r="H114" s="124">
        <v>99.5</v>
      </c>
      <c r="I114" s="124">
        <v>80.3</v>
      </c>
      <c r="J114" s="124">
        <v>79.400000000000006</v>
      </c>
      <c r="K114" s="124">
        <v>74.8</v>
      </c>
      <c r="L114" s="124">
        <v>82.4</v>
      </c>
      <c r="M114" s="124">
        <v>91.1</v>
      </c>
      <c r="N114" s="124">
        <v>82</v>
      </c>
      <c r="O114" s="124">
        <v>87.2</v>
      </c>
      <c r="P114" s="124">
        <v>100.3</v>
      </c>
      <c r="Q114" s="124">
        <v>82.7</v>
      </c>
      <c r="R114" s="124">
        <v>82.6</v>
      </c>
      <c r="S114" s="124">
        <v>81.7</v>
      </c>
      <c r="T114" s="124">
        <v>99</v>
      </c>
      <c r="U114" s="124">
        <v>99.2</v>
      </c>
      <c r="V114" s="124">
        <v>81.5</v>
      </c>
      <c r="W114" s="124">
        <v>69.599999999999994</v>
      </c>
      <c r="X114" s="124">
        <v>69.599999999999994</v>
      </c>
      <c r="Y114" s="124">
        <v>67</v>
      </c>
      <c r="Z114" s="124">
        <v>93.2</v>
      </c>
      <c r="AA114" s="124">
        <v>90</v>
      </c>
      <c r="AB114" s="124">
        <v>79.900000000000006</v>
      </c>
      <c r="AC114" s="124">
        <v>82.1</v>
      </c>
      <c r="AD114" s="124">
        <v>73</v>
      </c>
      <c r="AE114" s="124">
        <v>73</v>
      </c>
      <c r="AF114" s="124">
        <v>99.1</v>
      </c>
      <c r="AG114" s="125"/>
      <c r="AH114" s="52">
        <f t="shared" si="19"/>
        <v>100.3</v>
      </c>
      <c r="AI114" s="53">
        <f t="shared" si="20"/>
        <v>67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>
        <v>41.5</v>
      </c>
      <c r="O115" s="124"/>
      <c r="P115" s="124">
        <v>42.6</v>
      </c>
      <c r="Q115" s="124"/>
      <c r="R115" s="124"/>
      <c r="S115" s="124">
        <v>32.200000000000003</v>
      </c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9"/>
        <v>42.6</v>
      </c>
      <c r="AI115" s="53">
        <f t="shared" si="20"/>
        <v>32.200000000000003</v>
      </c>
    </row>
    <row r="116" spans="1:37" x14ac:dyDescent="0.25">
      <c r="A116" s="127" t="s">
        <v>120</v>
      </c>
      <c r="B116" s="113">
        <v>-14.7</v>
      </c>
      <c r="C116" s="113">
        <v>-13.4</v>
      </c>
      <c r="D116" s="113">
        <v>-12.8</v>
      </c>
      <c r="E116" s="113">
        <v>-11</v>
      </c>
      <c r="F116" s="113">
        <v>-10</v>
      </c>
      <c r="G116" s="113">
        <v>-11.8</v>
      </c>
      <c r="H116" s="113">
        <v>-12.6</v>
      </c>
      <c r="I116" s="113">
        <v>-25.4</v>
      </c>
      <c r="J116" s="113">
        <v>-28.7</v>
      </c>
      <c r="K116" s="113">
        <v>-4.5</v>
      </c>
      <c r="L116" s="113">
        <v>-5.9</v>
      </c>
      <c r="M116" s="113">
        <v>-1.8</v>
      </c>
      <c r="N116" s="113">
        <v>-0.5</v>
      </c>
      <c r="O116" s="113">
        <v>0</v>
      </c>
      <c r="P116" s="113">
        <v>-0.6</v>
      </c>
      <c r="Q116" s="113">
        <v>0.5</v>
      </c>
      <c r="R116" s="113">
        <v>2.8</v>
      </c>
      <c r="S116" s="113">
        <v>0.7</v>
      </c>
      <c r="T116" s="113">
        <v>-0.7</v>
      </c>
      <c r="U116" s="113">
        <v>-32.4</v>
      </c>
      <c r="V116" s="113">
        <v>-41.8</v>
      </c>
      <c r="W116" s="113">
        <v>-48.3</v>
      </c>
      <c r="X116" s="113">
        <v>-48.3</v>
      </c>
      <c r="Y116" s="113">
        <v>-57.2</v>
      </c>
      <c r="Z116" s="113">
        <v>-55.2</v>
      </c>
      <c r="AA116" s="113">
        <v>-51</v>
      </c>
      <c r="AB116" s="113">
        <v>-44.7</v>
      </c>
      <c r="AC116" s="113">
        <v>-41.1</v>
      </c>
      <c r="AD116" s="113">
        <v>-36.700000000000003</v>
      </c>
      <c r="AE116" s="113">
        <v>-36.700000000000003</v>
      </c>
      <c r="AF116" s="113">
        <v>-22.6</v>
      </c>
      <c r="AG116" s="126"/>
      <c r="AH116" s="52">
        <f t="shared" si="19"/>
        <v>2.8</v>
      </c>
      <c r="AI116" s="53">
        <f t="shared" si="20"/>
        <v>-57.2</v>
      </c>
    </row>
    <row r="117" spans="1:37" ht="15.75" thickBot="1" x14ac:dyDescent="0.3">
      <c r="A117" s="127" t="s">
        <v>121</v>
      </c>
      <c r="B117" s="113">
        <v>83.5</v>
      </c>
      <c r="C117" s="113">
        <v>87.6</v>
      </c>
      <c r="D117" s="113">
        <v>78.900000000000006</v>
      </c>
      <c r="E117" s="113">
        <v>80.3</v>
      </c>
      <c r="F117" s="113">
        <v>79.3</v>
      </c>
      <c r="G117" s="113">
        <v>78.5</v>
      </c>
      <c r="H117" s="113">
        <v>75.7</v>
      </c>
      <c r="I117" s="113">
        <v>77.900000000000006</v>
      </c>
      <c r="J117" s="113">
        <v>74.3</v>
      </c>
      <c r="K117" s="113">
        <v>59.5</v>
      </c>
      <c r="L117" s="113">
        <v>61</v>
      </c>
      <c r="M117" s="113">
        <v>58.9</v>
      </c>
      <c r="N117" s="113">
        <v>52</v>
      </c>
      <c r="O117" s="113">
        <v>46.3</v>
      </c>
      <c r="P117" s="113">
        <v>53.5</v>
      </c>
      <c r="Q117" s="113">
        <v>71.900000000000006</v>
      </c>
      <c r="R117" s="113">
        <v>67.099999999999994</v>
      </c>
      <c r="S117" s="113">
        <v>70.3</v>
      </c>
      <c r="T117" s="113">
        <v>72.400000000000006</v>
      </c>
      <c r="U117" s="113">
        <v>82</v>
      </c>
      <c r="V117" s="113">
        <v>80.400000000000006</v>
      </c>
      <c r="W117" s="113">
        <v>70.3</v>
      </c>
      <c r="X117" s="113">
        <v>70.3</v>
      </c>
      <c r="Y117" s="113">
        <v>100.2</v>
      </c>
      <c r="Z117" s="113">
        <v>104.6</v>
      </c>
      <c r="AA117" s="113">
        <v>97</v>
      </c>
      <c r="AB117" s="113">
        <v>95.2</v>
      </c>
      <c r="AC117" s="113">
        <v>81.3</v>
      </c>
      <c r="AD117" s="113">
        <v>87.4</v>
      </c>
      <c r="AE117" s="113">
        <v>87.4</v>
      </c>
      <c r="AF117" s="113">
        <v>80.8</v>
      </c>
      <c r="AG117" s="126"/>
      <c r="AH117" s="52">
        <f t="shared" si="19"/>
        <v>104.6</v>
      </c>
      <c r="AI117" s="53">
        <f t="shared" si="20"/>
        <v>46.3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41">SUM(B119:B223)</f>
        <v>0</v>
      </c>
      <c r="C224" s="144">
        <f t="shared" si="41"/>
        <v>0</v>
      </c>
      <c r="D224" s="144">
        <f t="shared" si="41"/>
        <v>0</v>
      </c>
      <c r="E224" s="144">
        <f t="shared" si="41"/>
        <v>0</v>
      </c>
      <c r="F224" s="144">
        <f t="shared" si="41"/>
        <v>0</v>
      </c>
      <c r="G224" s="144">
        <f t="shared" si="41"/>
        <v>0</v>
      </c>
      <c r="H224" s="144">
        <f t="shared" si="41"/>
        <v>0</v>
      </c>
      <c r="I224" s="144">
        <f t="shared" si="41"/>
        <v>0</v>
      </c>
      <c r="J224" s="144">
        <f t="shared" si="41"/>
        <v>0</v>
      </c>
      <c r="K224" s="144">
        <f t="shared" si="41"/>
        <v>0</v>
      </c>
      <c r="L224" s="144">
        <f t="shared" si="41"/>
        <v>0</v>
      </c>
      <c r="M224" s="144">
        <f t="shared" si="41"/>
        <v>0</v>
      </c>
      <c r="N224" s="144">
        <f t="shared" si="41"/>
        <v>0</v>
      </c>
      <c r="O224" s="144">
        <f t="shared" si="41"/>
        <v>0</v>
      </c>
      <c r="P224" s="144">
        <f t="shared" si="41"/>
        <v>0</v>
      </c>
      <c r="Q224" s="144">
        <f t="shared" si="41"/>
        <v>0</v>
      </c>
      <c r="R224" s="144">
        <f t="shared" si="41"/>
        <v>0</v>
      </c>
      <c r="S224" s="144">
        <f t="shared" si="41"/>
        <v>0</v>
      </c>
      <c r="T224" s="144">
        <f t="shared" si="41"/>
        <v>0</v>
      </c>
      <c r="U224" s="144">
        <f t="shared" si="41"/>
        <v>0</v>
      </c>
      <c r="V224" s="144">
        <f t="shared" si="41"/>
        <v>0</v>
      </c>
      <c r="W224" s="144">
        <f t="shared" si="41"/>
        <v>0</v>
      </c>
      <c r="X224" s="144">
        <f t="shared" si="41"/>
        <v>0</v>
      </c>
      <c r="Y224" s="144">
        <f t="shared" si="41"/>
        <v>0</v>
      </c>
      <c r="Z224" s="144">
        <f t="shared" si="41"/>
        <v>0</v>
      </c>
      <c r="AA224" s="144">
        <f t="shared" si="41"/>
        <v>0</v>
      </c>
      <c r="AB224" s="144">
        <f t="shared" si="41"/>
        <v>0</v>
      </c>
      <c r="AC224" s="144">
        <f t="shared" si="41"/>
        <v>0</v>
      </c>
      <c r="AD224" s="144">
        <f t="shared" si="41"/>
        <v>0</v>
      </c>
      <c r="AE224" s="144">
        <f t="shared" si="41"/>
        <v>0</v>
      </c>
      <c r="AF224" s="145">
        <f t="shared" si="41"/>
        <v>0</v>
      </c>
      <c r="AG224" s="146">
        <f t="shared" si="41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42">AF226</f>
        <v>0</v>
      </c>
      <c r="C226" s="149">
        <v>0.3</v>
      </c>
      <c r="D226" s="149">
        <f t="shared" ref="D226:P231" si="43">C226</f>
        <v>0.3</v>
      </c>
      <c r="E226" s="149">
        <f t="shared" si="43"/>
        <v>0.3</v>
      </c>
      <c r="F226" s="149">
        <f t="shared" si="43"/>
        <v>0.3</v>
      </c>
      <c r="G226" s="149">
        <f t="shared" si="43"/>
        <v>0.3</v>
      </c>
      <c r="H226" s="149">
        <f t="shared" si="43"/>
        <v>0.3</v>
      </c>
      <c r="I226" s="149">
        <f t="shared" si="43"/>
        <v>0.3</v>
      </c>
      <c r="J226" s="149">
        <f t="shared" si="43"/>
        <v>0.3</v>
      </c>
      <c r="K226" s="149">
        <f t="shared" si="43"/>
        <v>0.3</v>
      </c>
      <c r="L226" s="149">
        <f t="shared" si="43"/>
        <v>0.3</v>
      </c>
      <c r="M226" s="149">
        <f t="shared" si="43"/>
        <v>0.3</v>
      </c>
      <c r="N226" s="149">
        <f t="shared" si="43"/>
        <v>0.3</v>
      </c>
      <c r="O226" s="149">
        <f t="shared" si="43"/>
        <v>0.3</v>
      </c>
      <c r="P226" s="149">
        <f t="shared" si="43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42"/>
        <v>0</v>
      </c>
      <c r="C227" s="136">
        <v>0.4</v>
      </c>
      <c r="D227" s="136">
        <f t="shared" si="43"/>
        <v>0.4</v>
      </c>
      <c r="E227" s="136">
        <f t="shared" si="43"/>
        <v>0.4</v>
      </c>
      <c r="F227" s="136">
        <f t="shared" si="43"/>
        <v>0.4</v>
      </c>
      <c r="G227" s="136">
        <f t="shared" si="43"/>
        <v>0.4</v>
      </c>
      <c r="H227" s="136">
        <f t="shared" si="43"/>
        <v>0.4</v>
      </c>
      <c r="I227" s="136">
        <f t="shared" si="43"/>
        <v>0.4</v>
      </c>
      <c r="J227" s="136">
        <f t="shared" si="43"/>
        <v>0.4</v>
      </c>
      <c r="K227" s="136">
        <f t="shared" si="43"/>
        <v>0.4</v>
      </c>
      <c r="L227" s="136">
        <f t="shared" si="43"/>
        <v>0.4</v>
      </c>
      <c r="M227" s="136">
        <f t="shared" si="43"/>
        <v>0.4</v>
      </c>
      <c r="N227" s="136">
        <f t="shared" si="43"/>
        <v>0.4</v>
      </c>
      <c r="O227" s="136">
        <f t="shared" si="43"/>
        <v>0.4</v>
      </c>
      <c r="P227" s="136">
        <f t="shared" si="43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42"/>
        <v>0</v>
      </c>
      <c r="C228" s="136">
        <v>1.5</v>
      </c>
      <c r="D228" s="136">
        <f t="shared" si="43"/>
        <v>1.5</v>
      </c>
      <c r="E228" s="136">
        <f t="shared" si="43"/>
        <v>1.5</v>
      </c>
      <c r="F228" s="136">
        <f t="shared" si="43"/>
        <v>1.5</v>
      </c>
      <c r="G228" s="136">
        <f t="shared" si="43"/>
        <v>1.5</v>
      </c>
      <c r="H228" s="136">
        <f t="shared" si="43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43"/>
        <v>1.5</v>
      </c>
      <c r="K228" s="136">
        <f t="shared" ca="1" si="43"/>
        <v>1.5</v>
      </c>
      <c r="L228" s="136">
        <f t="shared" ca="1" si="43"/>
        <v>1.5</v>
      </c>
      <c r="M228" s="136">
        <f t="shared" ca="1" si="43"/>
        <v>1.5</v>
      </c>
      <c r="N228" s="136">
        <f t="shared" ca="1" si="43"/>
        <v>1.5</v>
      </c>
      <c r="O228" s="136">
        <f t="shared" ca="1" si="43"/>
        <v>1.5</v>
      </c>
      <c r="P228" s="136">
        <f t="shared" ca="1" si="43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42"/>
        <v>0</v>
      </c>
      <c r="C229" s="136">
        <v>0.3</v>
      </c>
      <c r="D229" s="136">
        <f t="shared" si="43"/>
        <v>0.3</v>
      </c>
      <c r="E229" s="136">
        <f t="shared" si="43"/>
        <v>0.3</v>
      </c>
      <c r="F229" s="136">
        <f t="shared" si="43"/>
        <v>0.3</v>
      </c>
      <c r="G229" s="136">
        <f t="shared" si="43"/>
        <v>0.3</v>
      </c>
      <c r="H229" s="136">
        <f t="shared" si="43"/>
        <v>0.3</v>
      </c>
      <c r="I229" s="136">
        <f t="shared" si="43"/>
        <v>0.3</v>
      </c>
      <c r="J229" s="136">
        <f t="shared" si="43"/>
        <v>0.3</v>
      </c>
      <c r="K229" s="136">
        <f t="shared" si="43"/>
        <v>0.3</v>
      </c>
      <c r="L229" s="136">
        <f t="shared" si="43"/>
        <v>0.3</v>
      </c>
      <c r="M229" s="136">
        <f t="shared" si="43"/>
        <v>0.3</v>
      </c>
      <c r="N229" s="136">
        <f t="shared" si="43"/>
        <v>0.3</v>
      </c>
      <c r="O229" s="136">
        <f t="shared" si="43"/>
        <v>0.3</v>
      </c>
      <c r="P229" s="136">
        <f t="shared" si="43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42"/>
        <v>0</v>
      </c>
      <c r="C230" s="136">
        <v>0.4</v>
      </c>
      <c r="D230" s="136">
        <f t="shared" si="43"/>
        <v>0.4</v>
      </c>
      <c r="E230" s="136">
        <f t="shared" si="43"/>
        <v>0.4</v>
      </c>
      <c r="F230" s="136">
        <f t="shared" si="43"/>
        <v>0.4</v>
      </c>
      <c r="G230" s="136">
        <f t="shared" si="43"/>
        <v>0.4</v>
      </c>
      <c r="H230" s="136">
        <f t="shared" si="43"/>
        <v>0.4</v>
      </c>
      <c r="I230" s="136">
        <f t="shared" si="43"/>
        <v>0.4</v>
      </c>
      <c r="J230" s="136">
        <f t="shared" si="43"/>
        <v>0.4</v>
      </c>
      <c r="K230" s="136">
        <f t="shared" si="43"/>
        <v>0.4</v>
      </c>
      <c r="L230" s="136">
        <f t="shared" si="43"/>
        <v>0.4</v>
      </c>
      <c r="M230" s="136">
        <f t="shared" si="43"/>
        <v>0.4</v>
      </c>
      <c r="N230" s="136">
        <f t="shared" si="43"/>
        <v>0.4</v>
      </c>
      <c r="O230" s="136">
        <f t="shared" si="43"/>
        <v>0.4</v>
      </c>
      <c r="P230" s="136">
        <f t="shared" si="43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42"/>
        <v>0</v>
      </c>
      <c r="C231" s="140">
        <v>0.64</v>
      </c>
      <c r="D231" s="140">
        <f t="shared" si="43"/>
        <v>0.64</v>
      </c>
      <c r="E231" s="140">
        <f t="shared" si="43"/>
        <v>0.64</v>
      </c>
      <c r="F231" s="140">
        <f t="shared" si="43"/>
        <v>0.64</v>
      </c>
      <c r="G231" s="140">
        <f t="shared" si="43"/>
        <v>0.64</v>
      </c>
      <c r="H231" s="140">
        <f t="shared" si="43"/>
        <v>0.64</v>
      </c>
      <c r="I231" s="140">
        <f t="shared" si="43"/>
        <v>0.64</v>
      </c>
      <c r="J231" s="140">
        <f t="shared" si="43"/>
        <v>0.64</v>
      </c>
      <c r="K231" s="140">
        <f t="shared" si="43"/>
        <v>0.64</v>
      </c>
      <c r="L231" s="140">
        <f t="shared" si="43"/>
        <v>0.64</v>
      </c>
      <c r="M231" s="140">
        <f t="shared" si="43"/>
        <v>0.64</v>
      </c>
      <c r="N231" s="140">
        <f t="shared" si="43"/>
        <v>0.64</v>
      </c>
      <c r="O231" s="140">
        <f t="shared" si="43"/>
        <v>0.64</v>
      </c>
      <c r="P231" s="140">
        <f t="shared" si="43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44">SUM(B226:B231)</f>
        <v>0</v>
      </c>
      <c r="C232" s="144">
        <f t="shared" si="44"/>
        <v>3.54</v>
      </c>
      <c r="D232" s="144">
        <f t="shared" si="44"/>
        <v>3.54</v>
      </c>
      <c r="E232" s="144">
        <f t="shared" si="44"/>
        <v>3.54</v>
      </c>
      <c r="F232" s="144">
        <f t="shared" si="44"/>
        <v>3.54</v>
      </c>
      <c r="G232" s="144">
        <f t="shared" si="44"/>
        <v>3.54</v>
      </c>
      <c r="H232" s="144">
        <f t="shared" si="44"/>
        <v>3.54</v>
      </c>
      <c r="I232" s="144">
        <f t="shared" ca="1" si="44"/>
        <v>3.54</v>
      </c>
      <c r="J232" s="144">
        <f t="shared" ca="1" si="44"/>
        <v>3.54</v>
      </c>
      <c r="K232" s="144">
        <f t="shared" ca="1" si="44"/>
        <v>3.54</v>
      </c>
      <c r="L232" s="144">
        <f t="shared" ca="1" si="44"/>
        <v>3.54</v>
      </c>
      <c r="M232" s="144">
        <f t="shared" ca="1" si="44"/>
        <v>3.54</v>
      </c>
      <c r="N232" s="144">
        <f t="shared" ca="1" si="44"/>
        <v>3.54</v>
      </c>
      <c r="O232" s="144">
        <f t="shared" ca="1" si="44"/>
        <v>3.54</v>
      </c>
      <c r="P232" s="144">
        <f t="shared" ca="1" si="44"/>
        <v>3.54</v>
      </c>
      <c r="Q232" s="144">
        <f t="shared" si="44"/>
        <v>0</v>
      </c>
      <c r="R232" s="144">
        <f t="shared" si="44"/>
        <v>0</v>
      </c>
      <c r="S232" s="144">
        <f t="shared" si="44"/>
        <v>0</v>
      </c>
      <c r="T232" s="144">
        <f t="shared" si="44"/>
        <v>0</v>
      </c>
      <c r="U232" s="144">
        <f t="shared" si="44"/>
        <v>0</v>
      </c>
      <c r="V232" s="144">
        <f t="shared" si="44"/>
        <v>0</v>
      </c>
      <c r="W232" s="144">
        <f t="shared" si="44"/>
        <v>0</v>
      </c>
      <c r="X232" s="144">
        <f t="shared" si="44"/>
        <v>0</v>
      </c>
      <c r="Y232" s="144">
        <f t="shared" si="44"/>
        <v>0</v>
      </c>
      <c r="Z232" s="144">
        <f t="shared" si="44"/>
        <v>0</v>
      </c>
      <c r="AA232" s="144">
        <f t="shared" si="44"/>
        <v>0</v>
      </c>
      <c r="AB232" s="144">
        <f t="shared" si="44"/>
        <v>0</v>
      </c>
      <c r="AC232" s="144">
        <f t="shared" si="44"/>
        <v>0</v>
      </c>
      <c r="AD232" s="144">
        <f t="shared" si="44"/>
        <v>0</v>
      </c>
      <c r="AE232" s="144">
        <f t="shared" si="44"/>
        <v>0</v>
      </c>
      <c r="AF232" s="144">
        <f t="shared" si="44"/>
        <v>0</v>
      </c>
      <c r="AG232" s="154">
        <f t="shared" si="44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1405.6399999999999</v>
      </c>
      <c r="C241" s="170">
        <f>INDEX(G9:N9,1,MATCH(MAX(G89:N89),G89:N89,0))</f>
        <v>0.33333333333333331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25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2079/12/25)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2079/12/25)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O246" si="45">B89</f>
        <v>1235.74</v>
      </c>
      <c r="U246" s="180">
        <f t="shared" si="45"/>
        <v>1152.54</v>
      </c>
      <c r="V246" s="180">
        <f t="shared" si="45"/>
        <v>1126.3400000000001</v>
      </c>
      <c r="W246" s="180">
        <f t="shared" si="45"/>
        <v>1110.1399999999999</v>
      </c>
      <c r="X246" s="180">
        <f t="shared" si="45"/>
        <v>1102.54</v>
      </c>
      <c r="Y246" s="180">
        <f t="shared" si="45"/>
        <v>1135.44</v>
      </c>
      <c r="Z246" s="180">
        <f t="shared" si="45"/>
        <v>1155.94</v>
      </c>
      <c r="AA246" s="180">
        <f t="shared" si="45"/>
        <v>1169.44</v>
      </c>
      <c r="AB246" s="180">
        <f t="shared" si="45"/>
        <v>1215.24</v>
      </c>
      <c r="AC246" s="180">
        <f t="shared" si="45"/>
        <v>1308.44</v>
      </c>
      <c r="AD246" s="180">
        <f t="shared" si="45"/>
        <v>1393.9399999999998</v>
      </c>
      <c r="AE246" s="180">
        <f t="shared" si="45"/>
        <v>1405.6399999999999</v>
      </c>
      <c r="AF246" s="180">
        <f t="shared" si="45"/>
        <v>1356.6399999999999</v>
      </c>
      <c r="AG246" s="180">
        <f t="shared" si="45"/>
        <v>1338.4399999999998</v>
      </c>
      <c r="AH246" s="180">
        <f t="shared" si="45"/>
        <v>1312.54</v>
      </c>
      <c r="AI246" s="180">
        <f t="shared" si="45"/>
        <v>1283.6399999999999</v>
      </c>
      <c r="AJ246" s="180">
        <f t="shared" si="45"/>
        <v>1238.3399999999999</v>
      </c>
      <c r="AK246" s="180">
        <f t="shared" si="45"/>
        <v>1260.6399999999999</v>
      </c>
      <c r="AL246" s="180">
        <f t="shared" si="45"/>
        <v>1315.6399999999999</v>
      </c>
      <c r="AM246" s="180">
        <f t="shared" si="45"/>
        <v>1328.74</v>
      </c>
      <c r="AN246" s="180">
        <f t="shared" si="45"/>
        <v>1276.44</v>
      </c>
      <c r="AO246" s="180">
        <f t="shared" si="45"/>
        <v>1281.94</v>
      </c>
      <c r="AP246" s="180">
        <f t="shared" ref="AP246:AX246" si="46">X89</f>
        <v>1441.64</v>
      </c>
      <c r="AQ246" s="180">
        <f t="shared" si="46"/>
        <v>1522.94</v>
      </c>
      <c r="AR246" s="180">
        <f t="shared" si="46"/>
        <v>1593.64</v>
      </c>
      <c r="AS246" s="180">
        <f t="shared" si="46"/>
        <v>1593.64</v>
      </c>
      <c r="AT246" s="180">
        <f t="shared" si="46"/>
        <v>1511.3390000000002</v>
      </c>
      <c r="AU246" s="180">
        <f t="shared" si="46"/>
        <v>1503.6390000000001</v>
      </c>
      <c r="AV246" s="180">
        <f t="shared" si="46"/>
        <v>1441.239</v>
      </c>
      <c r="AW246" s="180">
        <f t="shared" si="46"/>
        <v>1274.239</v>
      </c>
      <c r="AX246" s="180">
        <f t="shared" si="46"/>
        <v>1227.5390000000002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47">C231</f>
        <v>0.64</v>
      </c>
      <c r="C267" s="183">
        <f t="shared" si="47"/>
        <v>0.64</v>
      </c>
      <c r="D267" s="183">
        <f t="shared" si="47"/>
        <v>0.64</v>
      </c>
      <c r="E267" s="183">
        <f t="shared" si="47"/>
        <v>0.64</v>
      </c>
      <c r="F267" s="183">
        <f t="shared" si="47"/>
        <v>0.64</v>
      </c>
      <c r="G267" s="183">
        <f t="shared" si="47"/>
        <v>0.64</v>
      </c>
      <c r="H267" s="183">
        <f t="shared" si="47"/>
        <v>0.64</v>
      </c>
      <c r="I267" s="183">
        <f t="shared" si="47"/>
        <v>0.64</v>
      </c>
      <c r="J267" s="183">
        <f t="shared" si="47"/>
        <v>0.64</v>
      </c>
      <c r="K267" s="183">
        <f t="shared" si="47"/>
        <v>0.64</v>
      </c>
      <c r="L267" s="183">
        <f t="shared" si="47"/>
        <v>0.64</v>
      </c>
      <c r="M267" s="183">
        <f t="shared" si="47"/>
        <v>0.64</v>
      </c>
      <c r="N267" s="183">
        <f t="shared" si="47"/>
        <v>0.64</v>
      </c>
      <c r="O267" s="183">
        <f t="shared" si="47"/>
        <v>0.64</v>
      </c>
      <c r="P267" s="183">
        <f t="shared" si="47"/>
        <v>0</v>
      </c>
      <c r="Q267" s="183">
        <f t="shared" si="47"/>
        <v>0</v>
      </c>
      <c r="R267" s="183">
        <f t="shared" si="47"/>
        <v>0</v>
      </c>
      <c r="S267" s="183">
        <f t="shared" si="47"/>
        <v>0</v>
      </c>
      <c r="T267" s="183">
        <f t="shared" si="47"/>
        <v>0</v>
      </c>
      <c r="U267" s="183">
        <f t="shared" si="47"/>
        <v>0</v>
      </c>
      <c r="V267" s="183">
        <f t="shared" si="47"/>
        <v>0</v>
      </c>
      <c r="W267" s="183">
        <f t="shared" si="47"/>
        <v>0</v>
      </c>
      <c r="X267" s="183">
        <f t="shared" si="47"/>
        <v>0</v>
      </c>
      <c r="Y267" s="183">
        <f t="shared" si="47"/>
        <v>0</v>
      </c>
      <c r="Z267" s="183">
        <f t="shared" si="47"/>
        <v>0</v>
      </c>
      <c r="AA267" s="183">
        <f t="shared" si="47"/>
        <v>0</v>
      </c>
      <c r="AB267" s="183">
        <f t="shared" si="47"/>
        <v>0</v>
      </c>
      <c r="AC267" s="183">
        <f t="shared" si="47"/>
        <v>0</v>
      </c>
      <c r="AD267" s="183">
        <f t="shared" si="47"/>
        <v>0</v>
      </c>
      <c r="AE267" s="183">
        <f t="shared" si="47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48">IF(B235&lt;100,"",B235-520)</f>
        <v/>
      </c>
      <c r="C268" s="184" t="str">
        <f t="shared" si="48"/>
        <v/>
      </c>
      <c r="D268" s="184" t="str">
        <f t="shared" si="48"/>
        <v/>
      </c>
      <c r="E268" s="184" t="str">
        <f t="shared" si="48"/>
        <v/>
      </c>
      <c r="F268" s="184" t="str">
        <f t="shared" si="48"/>
        <v/>
      </c>
      <c r="G268" s="184" t="str">
        <f t="shared" si="48"/>
        <v/>
      </c>
      <c r="H268" s="184" t="str">
        <f t="shared" si="48"/>
        <v/>
      </c>
      <c r="I268" s="184" t="str">
        <f t="shared" si="48"/>
        <v/>
      </c>
      <c r="J268" s="184" t="str">
        <f t="shared" si="48"/>
        <v/>
      </c>
      <c r="K268" s="184" t="str">
        <f t="shared" si="48"/>
        <v/>
      </c>
      <c r="L268" s="184" t="str">
        <f t="shared" si="48"/>
        <v/>
      </c>
      <c r="M268" s="184" t="str">
        <f t="shared" si="48"/>
        <v/>
      </c>
      <c r="N268" s="184" t="str">
        <f t="shared" si="48"/>
        <v/>
      </c>
      <c r="O268" s="184" t="str">
        <f t="shared" si="48"/>
        <v/>
      </c>
      <c r="P268" s="184" t="str">
        <f t="shared" si="48"/>
        <v/>
      </c>
      <c r="Q268" s="184" t="str">
        <f t="shared" si="48"/>
        <v/>
      </c>
      <c r="R268" s="184" t="str">
        <f t="shared" si="48"/>
        <v/>
      </c>
      <c r="S268" s="184" t="str">
        <f t="shared" si="48"/>
        <v/>
      </c>
      <c r="T268" s="184" t="str">
        <f t="shared" si="48"/>
        <v/>
      </c>
      <c r="U268" s="184" t="str">
        <f t="shared" si="48"/>
        <v/>
      </c>
      <c r="V268" s="184" t="str">
        <f t="shared" si="48"/>
        <v/>
      </c>
      <c r="W268" s="184" t="str">
        <f t="shared" si="48"/>
        <v/>
      </c>
      <c r="X268" s="184" t="str">
        <f t="shared" si="48"/>
        <v/>
      </c>
      <c r="Y268" s="184" t="str">
        <f t="shared" si="48"/>
        <v/>
      </c>
      <c r="Z268" s="184" t="str">
        <f t="shared" si="48"/>
        <v/>
      </c>
      <c r="AA268" s="184" t="str">
        <f t="shared" si="48"/>
        <v/>
      </c>
      <c r="AB268" s="184" t="str">
        <f t="shared" si="48"/>
        <v/>
      </c>
      <c r="AC268" s="184" t="str">
        <f t="shared" si="48"/>
        <v/>
      </c>
      <c r="AD268" s="184" t="str">
        <f t="shared" si="48"/>
        <v/>
      </c>
      <c r="AE268" s="184" t="str">
        <f t="shared" si="48"/>
        <v/>
      </c>
      <c r="AF268" s="184" t="str">
        <f t="shared" si="48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49">IF(B236&lt;100,"",B236-620)</f>
        <v/>
      </c>
      <c r="C269" s="184" t="str">
        <f t="shared" si="49"/>
        <v/>
      </c>
      <c r="D269" s="184" t="str">
        <f t="shared" si="49"/>
        <v/>
      </c>
      <c r="E269" s="184" t="str">
        <f t="shared" si="49"/>
        <v/>
      </c>
      <c r="F269" s="184" t="str">
        <f t="shared" si="49"/>
        <v/>
      </c>
      <c r="G269" s="184" t="str">
        <f t="shared" si="49"/>
        <v/>
      </c>
      <c r="H269" s="184" t="str">
        <f t="shared" si="49"/>
        <v/>
      </c>
      <c r="I269" s="184" t="str">
        <f t="shared" si="49"/>
        <v/>
      </c>
      <c r="J269" s="184" t="str">
        <f t="shared" si="49"/>
        <v/>
      </c>
      <c r="K269" s="184" t="str">
        <f t="shared" si="49"/>
        <v/>
      </c>
      <c r="L269" s="184" t="str">
        <f t="shared" si="49"/>
        <v/>
      </c>
      <c r="M269" s="184" t="str">
        <f t="shared" si="49"/>
        <v/>
      </c>
      <c r="N269" s="184" t="str">
        <f t="shared" si="49"/>
        <v/>
      </c>
      <c r="O269" s="184" t="str">
        <f t="shared" si="49"/>
        <v/>
      </c>
      <c r="P269" s="184" t="str">
        <f t="shared" si="49"/>
        <v/>
      </c>
      <c r="Q269" s="184" t="str">
        <f t="shared" si="49"/>
        <v/>
      </c>
      <c r="R269" s="184" t="str">
        <f t="shared" si="49"/>
        <v/>
      </c>
      <c r="S269" s="184" t="str">
        <f t="shared" si="49"/>
        <v/>
      </c>
      <c r="T269" s="184" t="str">
        <f t="shared" si="49"/>
        <v/>
      </c>
      <c r="U269" s="184" t="str">
        <f t="shared" si="49"/>
        <v/>
      </c>
      <c r="V269" s="184" t="str">
        <f t="shared" si="49"/>
        <v/>
      </c>
      <c r="W269" s="184" t="str">
        <f t="shared" si="49"/>
        <v/>
      </c>
      <c r="X269" s="184" t="str">
        <f t="shared" si="49"/>
        <v/>
      </c>
      <c r="Y269" s="184" t="str">
        <f t="shared" si="49"/>
        <v/>
      </c>
      <c r="Z269" s="184" t="str">
        <f t="shared" si="49"/>
        <v/>
      </c>
      <c r="AA269" s="184" t="str">
        <f t="shared" si="49"/>
        <v/>
      </c>
      <c r="AB269" s="184" t="str">
        <f t="shared" si="49"/>
        <v/>
      </c>
      <c r="AC269" s="184" t="str">
        <f t="shared" si="49"/>
        <v/>
      </c>
      <c r="AD269" s="184" t="str">
        <f t="shared" si="49"/>
        <v/>
      </c>
      <c r="AE269" s="184" t="str">
        <f t="shared" si="49"/>
        <v/>
      </c>
      <c r="AF269" s="184" t="str">
        <f t="shared" si="49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50">IF(B237&lt;100,"",B237-330)</f>
        <v/>
      </c>
      <c r="C270" s="184" t="str">
        <f t="shared" si="50"/>
        <v/>
      </c>
      <c r="D270" s="184" t="str">
        <f t="shared" si="50"/>
        <v/>
      </c>
      <c r="E270" s="184" t="str">
        <f t="shared" si="50"/>
        <v/>
      </c>
      <c r="F270" s="184" t="str">
        <f t="shared" si="50"/>
        <v/>
      </c>
      <c r="G270" s="184" t="str">
        <f t="shared" si="50"/>
        <v/>
      </c>
      <c r="H270" s="184" t="str">
        <f t="shared" si="50"/>
        <v/>
      </c>
      <c r="I270" s="184" t="str">
        <f t="shared" si="50"/>
        <v/>
      </c>
      <c r="J270" s="184" t="str">
        <f t="shared" si="50"/>
        <v/>
      </c>
      <c r="K270" s="184" t="str">
        <f t="shared" si="50"/>
        <v/>
      </c>
      <c r="L270" s="184" t="str">
        <f t="shared" si="50"/>
        <v/>
      </c>
      <c r="M270" s="184" t="str">
        <f t="shared" si="50"/>
        <v/>
      </c>
      <c r="N270" s="184" t="str">
        <f t="shared" si="50"/>
        <v/>
      </c>
      <c r="O270" s="184" t="str">
        <f t="shared" si="50"/>
        <v/>
      </c>
      <c r="P270" s="184" t="str">
        <f t="shared" si="50"/>
        <v/>
      </c>
      <c r="Q270" s="184" t="str">
        <f t="shared" si="50"/>
        <v/>
      </c>
      <c r="R270" s="184" t="str">
        <f t="shared" si="50"/>
        <v/>
      </c>
      <c r="S270" s="184" t="str">
        <f t="shared" si="50"/>
        <v/>
      </c>
      <c r="T270" s="184" t="str">
        <f t="shared" si="50"/>
        <v/>
      </c>
      <c r="U270" s="184" t="str">
        <f t="shared" si="50"/>
        <v/>
      </c>
      <c r="V270" s="184" t="str">
        <f t="shared" si="50"/>
        <v/>
      </c>
      <c r="W270" s="184" t="str">
        <f t="shared" si="50"/>
        <v/>
      </c>
      <c r="X270" s="184" t="str">
        <f t="shared" si="50"/>
        <v/>
      </c>
      <c r="Y270" s="184" t="str">
        <f t="shared" si="50"/>
        <v/>
      </c>
      <c r="Z270" s="184" t="str">
        <f t="shared" si="50"/>
        <v/>
      </c>
      <c r="AA270" s="184" t="str">
        <f t="shared" si="50"/>
        <v/>
      </c>
      <c r="AB270" s="184" t="str">
        <f t="shared" si="50"/>
        <v/>
      </c>
      <c r="AC270" s="184" t="str">
        <f t="shared" si="50"/>
        <v/>
      </c>
      <c r="AD270" s="184" t="str">
        <f t="shared" si="50"/>
        <v/>
      </c>
      <c r="AE270" s="184" t="str">
        <f t="shared" si="50"/>
        <v/>
      </c>
      <c r="AF270" s="184" t="str">
        <f t="shared" si="50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51">IF(B238&lt;100,"",B238-1500)</f>
        <v/>
      </c>
      <c r="C271" s="184" t="str">
        <f t="shared" si="51"/>
        <v/>
      </c>
      <c r="D271" s="184" t="str">
        <f t="shared" si="51"/>
        <v/>
      </c>
      <c r="E271" s="184" t="str">
        <f t="shared" si="51"/>
        <v/>
      </c>
      <c r="F271" s="184" t="str">
        <f t="shared" si="51"/>
        <v/>
      </c>
      <c r="G271" s="184" t="str">
        <f t="shared" si="51"/>
        <v/>
      </c>
      <c r="H271" s="184" t="str">
        <f t="shared" si="51"/>
        <v/>
      </c>
      <c r="I271" s="184" t="str">
        <f t="shared" si="51"/>
        <v/>
      </c>
      <c r="J271" s="184" t="str">
        <f t="shared" si="51"/>
        <v/>
      </c>
      <c r="K271" s="184" t="str">
        <f t="shared" si="51"/>
        <v/>
      </c>
      <c r="L271" s="184" t="str">
        <f t="shared" si="51"/>
        <v/>
      </c>
      <c r="M271" s="184" t="str">
        <f t="shared" si="51"/>
        <v/>
      </c>
      <c r="N271" s="184" t="str">
        <f t="shared" si="51"/>
        <v/>
      </c>
      <c r="O271" s="184" t="str">
        <f t="shared" si="51"/>
        <v/>
      </c>
      <c r="P271" s="184" t="str">
        <f t="shared" si="51"/>
        <v/>
      </c>
      <c r="Q271" s="184" t="str">
        <f t="shared" si="51"/>
        <v/>
      </c>
      <c r="R271" s="184" t="str">
        <f t="shared" si="51"/>
        <v/>
      </c>
      <c r="S271" s="184" t="str">
        <f t="shared" si="51"/>
        <v/>
      </c>
      <c r="T271" s="184" t="str">
        <f t="shared" si="51"/>
        <v/>
      </c>
      <c r="U271" s="184" t="str">
        <f t="shared" si="51"/>
        <v/>
      </c>
      <c r="V271" s="184" t="str">
        <f t="shared" si="51"/>
        <v/>
      </c>
      <c r="W271" s="184" t="str">
        <f t="shared" si="51"/>
        <v/>
      </c>
      <c r="X271" s="184" t="str">
        <f t="shared" si="51"/>
        <v/>
      </c>
      <c r="Y271" s="184" t="str">
        <f t="shared" si="51"/>
        <v/>
      </c>
      <c r="Z271" s="184" t="str">
        <f t="shared" si="51"/>
        <v/>
      </c>
      <c r="AA271" s="184" t="str">
        <f t="shared" si="51"/>
        <v/>
      </c>
      <c r="AB271" s="184" t="str">
        <f t="shared" si="51"/>
        <v/>
      </c>
      <c r="AC271" s="184" t="str">
        <f t="shared" si="51"/>
        <v/>
      </c>
      <c r="AD271" s="184" t="str">
        <f t="shared" si="51"/>
        <v/>
      </c>
      <c r="AE271" s="184" t="str">
        <f t="shared" si="51"/>
        <v/>
      </c>
      <c r="AF271" s="184" t="str">
        <f t="shared" si="51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50">
    <mergeCell ref="AA9:AA10"/>
    <mergeCell ref="O9:O10"/>
    <mergeCell ref="U9:U10"/>
    <mergeCell ref="AN82:AN83"/>
    <mergeCell ref="A243:B243"/>
    <mergeCell ref="V9:V10"/>
    <mergeCell ref="W9:W10"/>
    <mergeCell ref="X9:X10"/>
    <mergeCell ref="Y9:Y10"/>
    <mergeCell ref="Z9:Z10"/>
    <mergeCell ref="Q9:Q10"/>
    <mergeCell ref="R9:R10"/>
    <mergeCell ref="S9:S10"/>
    <mergeCell ref="T9:T10"/>
    <mergeCell ref="P9:P10"/>
    <mergeCell ref="AO63:AO64"/>
    <mergeCell ref="AB9:AB10"/>
    <mergeCell ref="AC9:AC10"/>
    <mergeCell ref="AD9:AD10"/>
    <mergeCell ref="AE9:AE10"/>
    <mergeCell ref="AF9:AF10"/>
    <mergeCell ref="AG9:AG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J9:J10"/>
    <mergeCell ref="K9:K10"/>
    <mergeCell ref="L9:L10"/>
    <mergeCell ref="M9:M10"/>
    <mergeCell ref="N9:N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8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3127" priority="484">
      <formula>B$9&gt;=20/24</formula>
    </cfRule>
    <cfRule type="expression" dxfId="3126" priority="485">
      <formula>AND(B$9&gt;=14/24,B$9&lt;20/24)</formula>
    </cfRule>
    <cfRule type="expression" dxfId="3125" priority="486">
      <formula>AND(B$9&gt;=8/24,B$9&lt;14/24)</formula>
    </cfRule>
    <cfRule type="expression" dxfId="3124" priority="487">
      <formula>B$9&lt;8/24</formula>
    </cfRule>
  </conditionalFormatting>
  <conditionalFormatting sqref="AL4:AL6">
    <cfRule type="iconSet" priority="48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3123" priority="48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3122" priority="481">
      <formula>$AH12=0</formula>
    </cfRule>
  </conditionalFormatting>
  <conditionalFormatting sqref="A114">
    <cfRule type="expression" dxfId="3121" priority="480">
      <formula>$AH114=0</formula>
    </cfRule>
  </conditionalFormatting>
  <conditionalFormatting sqref="AL42">
    <cfRule type="iconSet" priority="47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120" priority="478">
      <formula>$AH45=0</formula>
    </cfRule>
  </conditionalFormatting>
  <conditionalFormatting sqref="A98">
    <cfRule type="expression" dxfId="3119" priority="477">
      <formula>$AH98=0</formula>
    </cfRule>
  </conditionalFormatting>
  <conditionalFormatting sqref="A18">
    <cfRule type="expression" dxfId="3118" priority="476">
      <formula>$AH18=0</formula>
    </cfRule>
  </conditionalFormatting>
  <conditionalFormatting sqref="A196:A201">
    <cfRule type="expression" dxfId="3117" priority="475">
      <formula>$AH196=0</formula>
    </cfRule>
  </conditionalFormatting>
  <conditionalFormatting sqref="A190:A195">
    <cfRule type="expression" dxfId="3116" priority="474">
      <formula>$AH190=0</formula>
    </cfRule>
  </conditionalFormatting>
  <conditionalFormatting sqref="A58">
    <cfRule type="expression" dxfId="3115" priority="473">
      <formula>$AH58=0</formula>
    </cfRule>
  </conditionalFormatting>
  <conditionalFormatting sqref="A94">
    <cfRule type="expression" dxfId="3114" priority="472">
      <formula>$AH94=0</formula>
    </cfRule>
  </conditionalFormatting>
  <conditionalFormatting sqref="AF99 E99:Y99">
    <cfRule type="expression" dxfId="3113" priority="468">
      <formula>E$9&gt;=20/24</formula>
    </cfRule>
    <cfRule type="expression" dxfId="3112" priority="469">
      <formula>AND(E$9&gt;=14/24,E$9&lt;20/24)</formula>
    </cfRule>
    <cfRule type="expression" dxfId="3111" priority="470">
      <formula>AND(E$9&gt;=8/24,E$9&lt;14/24)</formula>
    </cfRule>
    <cfRule type="expression" dxfId="3110" priority="471">
      <formula>E$9&lt;8/24</formula>
    </cfRule>
  </conditionalFormatting>
  <conditionalFormatting sqref="AL43">
    <cfRule type="iconSet" priority="46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09" priority="490">
      <formula>C$9&gt;=20/24</formula>
    </cfRule>
    <cfRule type="expression" dxfId="3108" priority="491">
      <formula>AND(C$9&gt;=14/24,C$9&lt;20/24)</formula>
    </cfRule>
    <cfRule type="expression" dxfId="3107" priority="492">
      <formula>AND(C$9&gt;=8/24,C$9&lt;14/24)</formula>
    </cfRule>
    <cfRule type="expression" dxfId="3106" priority="493">
      <formula>C$9&lt;8/24</formula>
    </cfRule>
  </conditionalFormatting>
  <conditionalFormatting sqref="A233">
    <cfRule type="expression" dxfId="3105" priority="494">
      <formula>$AH233=0</formula>
    </cfRule>
  </conditionalFormatting>
  <conditionalFormatting sqref="AG245">
    <cfRule type="expression" dxfId="3104" priority="495">
      <formula>B$9&gt;=20/24</formula>
    </cfRule>
    <cfRule type="expression" dxfId="3103" priority="496">
      <formula>AND(B$9&gt;=14/24,B$9&lt;20/24)</formula>
    </cfRule>
    <cfRule type="expression" dxfId="3102" priority="497">
      <formula>AND(B$9&gt;=8/24,B$9&lt;14/24)</formula>
    </cfRule>
    <cfRule type="expression" dxfId="3101" priority="498">
      <formula>B$9&lt;8/24</formula>
    </cfRule>
  </conditionalFormatting>
  <conditionalFormatting sqref="S8">
    <cfRule type="expression" dxfId="3100" priority="463">
      <formula>U$9&gt;=20/24</formula>
    </cfRule>
    <cfRule type="expression" dxfId="3099" priority="464">
      <formula>AND(U$9&gt;=14/24,U$9&lt;20/24)</formula>
    </cfRule>
    <cfRule type="expression" dxfId="3098" priority="465">
      <formula>AND(U$9&gt;=8/24,U$9&lt;14/24)</formula>
    </cfRule>
    <cfRule type="expression" dxfId="3097" priority="466">
      <formula>U$9&lt;8/24</formula>
    </cfRule>
  </conditionalFormatting>
  <conditionalFormatting sqref="AB8">
    <cfRule type="expression" dxfId="3096" priority="459">
      <formula>AD$9&gt;=20/24</formula>
    </cfRule>
    <cfRule type="expression" dxfId="3095" priority="460">
      <formula>AND(AD$9&gt;=14/24,AD$9&lt;20/24)</formula>
    </cfRule>
    <cfRule type="expression" dxfId="3094" priority="461">
      <formula>AND(AD$9&gt;=8/24,AD$9&lt;14/24)</formula>
    </cfRule>
    <cfRule type="expression" dxfId="3093" priority="462">
      <formula>AD$9&lt;8/24</formula>
    </cfRule>
  </conditionalFormatting>
  <conditionalFormatting sqref="AH245:AX245">
    <cfRule type="expression" dxfId="3092" priority="499">
      <formula>AG$9&gt;=20/24</formula>
    </cfRule>
    <cfRule type="expression" dxfId="3091" priority="500">
      <formula>AND(AG$9&gt;=14/24,AG$9&lt;20/24)</formula>
    </cfRule>
    <cfRule type="expression" dxfId="3090" priority="501">
      <formula>AND(AG$9&gt;=8/24,AG$9&lt;14/24)</formula>
    </cfRule>
    <cfRule type="expression" dxfId="3089" priority="502">
      <formula>AG$9&lt;8/24</formula>
    </cfRule>
  </conditionalFormatting>
  <conditionalFormatting sqref="T245">
    <cfRule type="expression" dxfId="3088" priority="503">
      <formula>AX$9&gt;=20/24</formula>
    </cfRule>
    <cfRule type="expression" dxfId="3087" priority="504">
      <formula>AND(AX$9&gt;=14/24,AX$9&lt;20/24)</formula>
    </cfRule>
    <cfRule type="expression" dxfId="3086" priority="505">
      <formula>AND(AX$9&gt;=8/24,AX$9&lt;14/24)</formula>
    </cfRule>
    <cfRule type="expression" dxfId="3085" priority="506">
      <formula>AX$9&lt;8/24</formula>
    </cfRule>
  </conditionalFormatting>
  <conditionalFormatting sqref="A115:A116">
    <cfRule type="expression" dxfId="3084" priority="458">
      <formula>$AH115=0</formula>
    </cfRule>
  </conditionalFormatting>
  <conditionalFormatting sqref="N54:Q56 O57:Q58 AB54:AF57 E71:AF71">
    <cfRule type="expression" dxfId="3083" priority="454">
      <formula>E$9&gt;=20/24</formula>
    </cfRule>
    <cfRule type="expression" dxfId="3082" priority="455">
      <formula>AND(E$9&gt;=14/24,E$9&lt;20/24)</formula>
    </cfRule>
    <cfRule type="expression" dxfId="3081" priority="456">
      <formula>AND(E$9&gt;=8/24,E$9&lt;14/24)</formula>
    </cfRule>
    <cfRule type="expression" dxfId="3080" priority="457">
      <formula>E$9&lt;8/24</formula>
    </cfRule>
  </conditionalFormatting>
  <conditionalFormatting sqref="N53:Q53 AB53:AF53">
    <cfRule type="expression" dxfId="3079" priority="450">
      <formula>N$9&gt;=20/24</formula>
    </cfRule>
    <cfRule type="expression" dxfId="3078" priority="451">
      <formula>AND(N$9&gt;=14/24,N$9&lt;20/24)</formula>
    </cfRule>
    <cfRule type="expression" dxfId="3077" priority="452">
      <formula>AND(N$9&gt;=8/24,N$9&lt;14/24)</formula>
    </cfRule>
    <cfRule type="expression" dxfId="3076" priority="453">
      <formula>N$9&lt;8/24</formula>
    </cfRule>
  </conditionalFormatting>
  <conditionalFormatting sqref="N53:Q56 O57:Q58 AB53:AF57">
    <cfRule type="expression" dxfId="3075" priority="449">
      <formula>N53&gt;$AG53</formula>
    </cfRule>
  </conditionalFormatting>
  <conditionalFormatting sqref="AF100:AF106 E73:S73 M72:S72 M100:Y106 T72:Y73 Z96:AF96 D86:AF86 Z47:AF47 Z67:AF69 Z72:AF74">
    <cfRule type="expression" dxfId="3074" priority="445">
      <formula>D$9&gt;=20/24</formula>
    </cfRule>
    <cfRule type="expression" dxfId="3073" priority="446">
      <formula>AND(D$9&gt;=14/24,D$9&lt;20/24)</formula>
    </cfRule>
    <cfRule type="expression" dxfId="3072" priority="447">
      <formula>AND(D$9&gt;=8/24,D$9&lt;14/24)</formula>
    </cfRule>
    <cfRule type="expression" dxfId="3071" priority="448">
      <formula>D$9&lt;8/24</formula>
    </cfRule>
  </conditionalFormatting>
  <conditionalFormatting sqref="Z47:AF47 Z67:AF69">
    <cfRule type="expression" dxfId="3070" priority="444">
      <formula>Z47&gt;$AG47</formula>
    </cfRule>
  </conditionalFormatting>
  <conditionalFormatting sqref="R53:AA58 AB58:AF58">
    <cfRule type="expression" dxfId="3069" priority="440">
      <formula>R$9&gt;=20/24</formula>
    </cfRule>
    <cfRule type="expression" dxfId="3068" priority="441">
      <formula>AND(R$9&gt;=14/24,R$9&lt;20/24)</formula>
    </cfRule>
    <cfRule type="expression" dxfId="3067" priority="442">
      <formula>AND(R$9&gt;=8/24,R$9&lt;14/24)</formula>
    </cfRule>
    <cfRule type="expression" dxfId="3066" priority="443">
      <formula>R$9&lt;8/24</formula>
    </cfRule>
  </conditionalFormatting>
  <conditionalFormatting sqref="R53:AA58 AB58:AF58">
    <cfRule type="expression" dxfId="3065" priority="439">
      <formula>R53&gt;$AG53</formula>
    </cfRule>
  </conditionalFormatting>
  <conditionalFormatting sqref="C97:AF97 D88:AF88">
    <cfRule type="expression" dxfId="3064" priority="435">
      <formula>C$9&gt;=20/24</formula>
    </cfRule>
    <cfRule type="expression" dxfId="3063" priority="436">
      <formula>AND(C$9&gt;=14/24,C$9&lt;20/24)</formula>
    </cfRule>
    <cfRule type="expression" dxfId="3062" priority="437">
      <formula>AND(C$9&gt;=8/24,C$9&lt;14/24)</formula>
    </cfRule>
    <cfRule type="expression" dxfId="3061" priority="438">
      <formula>C$9&lt;8/24</formula>
    </cfRule>
  </conditionalFormatting>
  <conditionalFormatting sqref="T47:Y47">
    <cfRule type="expression" dxfId="3060" priority="431">
      <formula>T$9&gt;=20/24</formula>
    </cfRule>
    <cfRule type="expression" dxfId="3059" priority="432">
      <formula>AND(T$9&gt;=14/24,T$9&lt;20/24)</formula>
    </cfRule>
    <cfRule type="expression" dxfId="3058" priority="433">
      <formula>AND(T$9&gt;=8/24,T$9&lt;14/24)</formula>
    </cfRule>
    <cfRule type="expression" dxfId="3057" priority="434">
      <formula>T$9&lt;8/24</formula>
    </cfRule>
  </conditionalFormatting>
  <conditionalFormatting sqref="T47:Y47">
    <cfRule type="expression" dxfId="3056" priority="430">
      <formula>T47&gt;$AG47</formula>
    </cfRule>
  </conditionalFormatting>
  <conditionalFormatting sqref="E54:M55">
    <cfRule type="expression" dxfId="3055" priority="426">
      <formula>E$9&gt;=20/24</formula>
    </cfRule>
    <cfRule type="expression" dxfId="3054" priority="427">
      <formula>AND(E$9&gt;=14/24,E$9&lt;20/24)</formula>
    </cfRule>
    <cfRule type="expression" dxfId="3053" priority="428">
      <formula>AND(E$9&gt;=8/24,E$9&lt;14/24)</formula>
    </cfRule>
    <cfRule type="expression" dxfId="3052" priority="429">
      <formula>E$9&lt;8/24</formula>
    </cfRule>
  </conditionalFormatting>
  <conditionalFormatting sqref="E53:M53">
    <cfRule type="expression" dxfId="3051" priority="422">
      <formula>E$9&gt;=20/24</formula>
    </cfRule>
    <cfRule type="expression" dxfId="3050" priority="423">
      <formula>AND(E$9&gt;=14/24,E$9&lt;20/24)</formula>
    </cfRule>
    <cfRule type="expression" dxfId="3049" priority="424">
      <formula>AND(E$9&gt;=8/24,E$9&lt;14/24)</formula>
    </cfRule>
    <cfRule type="expression" dxfId="3048" priority="425">
      <formula>E$9&lt;8/24</formula>
    </cfRule>
  </conditionalFormatting>
  <conditionalFormatting sqref="E53:M55">
    <cfRule type="expression" dxfId="3047" priority="421">
      <formula>E53&gt;$AG53</formula>
    </cfRule>
  </conditionalFormatting>
  <conditionalFormatting sqref="AG70 AG87 H100:L106 Q67:Y69">
    <cfRule type="expression" dxfId="3046" priority="417">
      <formula>H$9&gt;=20/24</formula>
    </cfRule>
    <cfRule type="expression" dxfId="3045" priority="418">
      <formula>AND(H$9&gt;=14/24,H$9&lt;20/24)</formula>
    </cfRule>
    <cfRule type="expression" dxfId="3044" priority="419">
      <formula>AND(H$9&gt;=8/24,H$9&lt;14/24)</formula>
    </cfRule>
    <cfRule type="expression" dxfId="3043" priority="420">
      <formula>H$9&lt;8/24</formula>
    </cfRule>
  </conditionalFormatting>
  <conditionalFormatting sqref="AG48 AG66 AG70 Q67:Y69">
    <cfRule type="expression" dxfId="3042" priority="416">
      <formula>Q48&gt;$AG48</formula>
    </cfRule>
  </conditionalFormatting>
  <conditionalFormatting sqref="A43">
    <cfRule type="expression" dxfId="3041" priority="410">
      <formula>$AH43=0</formula>
    </cfRule>
  </conditionalFormatting>
  <conditionalFormatting sqref="Z91:AF95">
    <cfRule type="expression" dxfId="3040" priority="406">
      <formula>Z$9&gt;=20/24</formula>
    </cfRule>
    <cfRule type="expression" dxfId="3039" priority="407">
      <formula>AND(Z$9&gt;=14/24,Z$9&lt;20/24)</formula>
    </cfRule>
    <cfRule type="expression" dxfId="3038" priority="408">
      <formula>AND(Z$9&gt;=8/24,Z$9&lt;14/24)</formula>
    </cfRule>
    <cfRule type="expression" dxfId="3037" priority="409">
      <formula>Z$9&lt;8/24</formula>
    </cfRule>
  </conditionalFormatting>
  <conditionalFormatting sqref="AL45 AL41 AL22:AL32 AL38:AL39 AL7:AL15 AL17:AL20 AL34:AL36">
    <cfRule type="iconSet" priority="50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3036" priority="402">
      <formula>E$9&gt;=20/24</formula>
    </cfRule>
    <cfRule type="expression" dxfId="3035" priority="403">
      <formula>AND(E$9&gt;=14/24,E$9&lt;20/24)</formula>
    </cfRule>
    <cfRule type="expression" dxfId="3034" priority="404">
      <formula>AND(E$9&gt;=8/24,E$9&lt;14/24)</formula>
    </cfRule>
    <cfRule type="expression" dxfId="3033" priority="405">
      <formula>E$9&lt;8/24</formula>
    </cfRule>
  </conditionalFormatting>
  <conditionalFormatting sqref="E49:AF51">
    <cfRule type="expression" dxfId="3032" priority="401">
      <formula>E49&gt;$AG49</formula>
    </cfRule>
  </conditionalFormatting>
  <conditionalFormatting sqref="AG52">
    <cfRule type="expression" dxfId="3031" priority="397">
      <formula>AG$9&gt;=20/24</formula>
    </cfRule>
    <cfRule type="expression" dxfId="3030" priority="398">
      <formula>AND(AG$9&gt;=14/24,AG$9&lt;20/24)</formula>
    </cfRule>
    <cfRule type="expression" dxfId="3029" priority="399">
      <formula>AND(AG$9&gt;=8/24,AG$9&lt;14/24)</formula>
    </cfRule>
    <cfRule type="expression" dxfId="3028" priority="400">
      <formula>AG$9&lt;8/24</formula>
    </cfRule>
  </conditionalFormatting>
  <conditionalFormatting sqref="AG52">
    <cfRule type="expression" dxfId="3027" priority="396">
      <formula>AG52&gt;$AG52</formula>
    </cfRule>
  </conditionalFormatting>
  <conditionalFormatting sqref="C107:AF107">
    <cfRule type="expression" dxfId="3026" priority="392">
      <formula>C$9&gt;=20/24</formula>
    </cfRule>
    <cfRule type="expression" dxfId="3025" priority="393">
      <formula>AND(C$9&gt;=14/24,C$9&lt;20/24)</formula>
    </cfRule>
    <cfRule type="expression" dxfId="3024" priority="394">
      <formula>AND(C$9&gt;=8/24,C$9&lt;14/24)</formula>
    </cfRule>
    <cfRule type="expression" dxfId="3023" priority="395">
      <formula>C$9&lt;8/24</formula>
    </cfRule>
  </conditionalFormatting>
  <conditionalFormatting sqref="AL40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3022" priority="390">
      <formula>$AH40=0</formula>
    </cfRule>
  </conditionalFormatting>
  <conditionalFormatting sqref="A90">
    <cfRule type="expression" dxfId="3021" priority="388">
      <formula>$AH90=0</formula>
    </cfRule>
  </conditionalFormatting>
  <conditionalFormatting sqref="A87">
    <cfRule type="expression" dxfId="3020" priority="389">
      <formula>$AH87=0</formula>
    </cfRule>
  </conditionalFormatting>
  <conditionalFormatting sqref="D110:AF110">
    <cfRule type="expression" dxfId="3019" priority="384">
      <formula>D$9&gt;=20/24</formula>
    </cfRule>
    <cfRule type="expression" dxfId="3018" priority="385">
      <formula>AND(D$9&gt;=14/24,D$9&lt;20/24)</formula>
    </cfRule>
    <cfRule type="expression" dxfId="3017" priority="386">
      <formula>AND(D$9&gt;=8/24,D$9&lt;14/24)</formula>
    </cfRule>
    <cfRule type="expression" dxfId="3016" priority="387">
      <formula>D$9&lt;8/24</formula>
    </cfRule>
  </conditionalFormatting>
  <conditionalFormatting sqref="A110">
    <cfRule type="expression" dxfId="3015" priority="383">
      <formula>$AH110=0</formula>
    </cfRule>
  </conditionalFormatting>
  <conditionalFormatting sqref="A21">
    <cfRule type="expression" dxfId="3014" priority="381">
      <formula>$AH21=0</formula>
    </cfRule>
  </conditionalFormatting>
  <conditionalFormatting sqref="AL21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013" priority="379">
      <formula>$AH37=0</formula>
    </cfRule>
  </conditionalFormatting>
  <conditionalFormatting sqref="AL37">
    <cfRule type="iconSet" priority="380">
      <iconSet iconSet="3TrafficLights2" reverse="1">
        <cfvo type="percent" val="0"/>
        <cfvo type="num" val="1"/>
        <cfvo type="num" val="1"/>
      </iconSet>
    </cfRule>
  </conditionalFormatting>
  <conditionalFormatting sqref="Z99:AE99">
    <cfRule type="expression" dxfId="3012" priority="375">
      <formula>Z$9&gt;=20/24</formula>
    </cfRule>
    <cfRule type="expression" dxfId="3011" priority="376">
      <formula>AND(Z$9&gt;=14/24,Z$9&lt;20/24)</formula>
    </cfRule>
    <cfRule type="expression" dxfId="3010" priority="377">
      <formula>AND(Z$9&gt;=8/24,Z$9&lt;14/24)</formula>
    </cfRule>
    <cfRule type="expression" dxfId="3009" priority="378">
      <formula>Z$9&lt;8/24</formula>
    </cfRule>
  </conditionalFormatting>
  <conditionalFormatting sqref="Z100:AE106">
    <cfRule type="expression" dxfId="3008" priority="371">
      <formula>Z$9&gt;=20/24</formula>
    </cfRule>
    <cfRule type="expression" dxfId="3007" priority="372">
      <formula>AND(Z$9&gt;=14/24,Z$9&lt;20/24)</formula>
    </cfRule>
    <cfRule type="expression" dxfId="3006" priority="373">
      <formula>AND(Z$9&gt;=8/24,Z$9&lt;14/24)</formula>
    </cfRule>
    <cfRule type="expression" dxfId="3005" priority="374">
      <formula>Z$9&lt;8/24</formula>
    </cfRule>
  </conditionalFormatting>
  <conditionalFormatting sqref="C109 C111:C116 L18:Y18 Z34:AF43 Z17:AF32">
    <cfRule type="expression" dxfId="3004" priority="367">
      <formula>C$9&gt;=20/24</formula>
    </cfRule>
    <cfRule type="expression" dxfId="3003" priority="368">
      <formula>AND(C$9&gt;=14/24,C$9&lt;20/24)</formula>
    </cfRule>
    <cfRule type="expression" dxfId="3002" priority="369">
      <formula>AND(C$9&gt;=8/24,C$9&lt;14/24)</formula>
    </cfRule>
    <cfRule type="expression" dxfId="3001" priority="370">
      <formula>C$9&lt;8/24</formula>
    </cfRule>
  </conditionalFormatting>
  <conditionalFormatting sqref="C47:S47">
    <cfRule type="expression" dxfId="3000" priority="363">
      <formula>C$9&gt;=20/24</formula>
    </cfRule>
    <cfRule type="expression" dxfId="2999" priority="364">
      <formula>AND(C$9&gt;=14/24,C$9&lt;20/24)</formula>
    </cfRule>
    <cfRule type="expression" dxfId="2998" priority="365">
      <formula>AND(C$9&gt;=8/24,C$9&lt;14/24)</formula>
    </cfRule>
    <cfRule type="expression" dxfId="2997" priority="366">
      <formula>C$9&lt;8/24</formula>
    </cfRule>
  </conditionalFormatting>
  <conditionalFormatting sqref="C47:S47 L18:Y18 Z34:AF43 Z17:AF32">
    <cfRule type="expression" dxfId="2996" priority="362">
      <formula>C17&gt;$AG17</formula>
    </cfRule>
  </conditionalFormatting>
  <conditionalFormatting sqref="C99:D99">
    <cfRule type="expression" dxfId="2995" priority="358">
      <formula>C$9&gt;=20/24</formula>
    </cfRule>
    <cfRule type="expression" dxfId="2994" priority="359">
      <formula>AND(C$9&gt;=14/24,C$9&lt;20/24)</formula>
    </cfRule>
    <cfRule type="expression" dxfId="2993" priority="360">
      <formula>AND(C$9&gt;=8/24,C$9&lt;14/24)</formula>
    </cfRule>
    <cfRule type="expression" dxfId="2992" priority="361">
      <formula>C$9&lt;8/24</formula>
    </cfRule>
  </conditionalFormatting>
  <conditionalFormatting sqref="C86 M67:P69 C96:Y96 E74:Y76 C83:AF85 Z75:AF76">
    <cfRule type="expression" dxfId="2991" priority="354">
      <formula>C$9&gt;=20/24</formula>
    </cfRule>
    <cfRule type="expression" dxfId="2990" priority="355">
      <formula>AND(C$9&gt;=14/24,C$9&lt;20/24)</formula>
    </cfRule>
    <cfRule type="expression" dxfId="2989" priority="356">
      <formula>AND(C$9&gt;=8/24,C$9&lt;14/24)</formula>
    </cfRule>
    <cfRule type="expression" dxfId="2988" priority="357">
      <formula>C$9&lt;8/24</formula>
    </cfRule>
  </conditionalFormatting>
  <conditionalFormatting sqref="M67:P69">
    <cfRule type="expression" dxfId="2987" priority="353">
      <formula>M67&gt;$AG67</formula>
    </cfRule>
  </conditionalFormatting>
  <conditionalFormatting sqref="D54:D55 C71:D71">
    <cfRule type="expression" dxfId="2986" priority="272">
      <formula>C$9&gt;=20/24</formula>
    </cfRule>
    <cfRule type="expression" dxfId="2985" priority="273">
      <formula>AND(C$9&gt;=14/24,C$9&lt;20/24)</formula>
    </cfRule>
    <cfRule type="expression" dxfId="2984" priority="274">
      <formula>AND(C$9&gt;=8/24,C$9&lt;14/24)</formula>
    </cfRule>
    <cfRule type="expression" dxfId="2983" priority="275">
      <formula>C$9&lt;8/24</formula>
    </cfRule>
  </conditionalFormatting>
  <conditionalFormatting sqref="C98:AF98 C87:AF87 C89:AF89 C70:AF70">
    <cfRule type="expression" dxfId="2982" priority="339">
      <formula>C$9&gt;=20/24</formula>
    </cfRule>
    <cfRule type="expression" dxfId="2981" priority="340">
      <formula>AND(C$9&gt;=14/24,C$9&lt;20/24)</formula>
    </cfRule>
    <cfRule type="expression" dxfId="2980" priority="341">
      <formula>AND(C$9&gt;=8/24,C$9&lt;14/24)</formula>
    </cfRule>
    <cfRule type="expression" dxfId="2979" priority="342">
      <formula>C$9&lt;8/24</formula>
    </cfRule>
  </conditionalFormatting>
  <conditionalFormatting sqref="C70:AF70 C65:AF66 C48:AF48">
    <cfRule type="expression" dxfId="2978" priority="338">
      <formula>C48&gt;$AG48</formula>
    </cfRule>
  </conditionalFormatting>
  <conditionalFormatting sqref="C82:AF82">
    <cfRule type="expression" dxfId="2977" priority="334">
      <formula>C$9&gt;=20/24</formula>
    </cfRule>
    <cfRule type="expression" dxfId="2976" priority="335">
      <formula>AND(C$9&gt;=14/24,C$9&lt;20/24)</formula>
    </cfRule>
    <cfRule type="expression" dxfId="2975" priority="336">
      <formula>AND(C$9&gt;=8/24,C$9&lt;14/24)</formula>
    </cfRule>
    <cfRule type="expression" dxfId="2974" priority="337">
      <formula>C$9&lt;8/24</formula>
    </cfRule>
  </conditionalFormatting>
  <conditionalFormatting sqref="C91:Y95">
    <cfRule type="expression" dxfId="2973" priority="330">
      <formula>C$9&gt;=20/24</formula>
    </cfRule>
    <cfRule type="expression" dxfId="2972" priority="331">
      <formula>AND(C$9&gt;=14/24,C$9&lt;20/24)</formula>
    </cfRule>
    <cfRule type="expression" dxfId="2971" priority="332">
      <formula>AND(C$9&gt;=8/24,C$9&lt;14/24)</formula>
    </cfRule>
    <cfRule type="expression" dxfId="2970" priority="333">
      <formula>C$9&lt;8/24</formula>
    </cfRule>
  </conditionalFormatting>
  <conditionalFormatting sqref="C52:AF52">
    <cfRule type="expression" dxfId="2969" priority="326">
      <formula>C$9&gt;=20/24</formula>
    </cfRule>
    <cfRule type="expression" dxfId="2968" priority="327">
      <formula>AND(C$9&gt;=14/24,C$9&lt;20/24)</formula>
    </cfRule>
    <cfRule type="expression" dxfId="2967" priority="328">
      <formula>AND(C$9&gt;=8/24,C$9&lt;14/24)</formula>
    </cfRule>
    <cfRule type="expression" dxfId="2966" priority="329">
      <formula>C$9&lt;8/24</formula>
    </cfRule>
  </conditionalFormatting>
  <conditionalFormatting sqref="C52:AF52">
    <cfRule type="expression" dxfId="2965" priority="325">
      <formula>C52&gt;$AG52</formula>
    </cfRule>
  </conditionalFormatting>
  <conditionalFormatting sqref="C110">
    <cfRule type="expression" dxfId="2964" priority="317">
      <formula>C$9&gt;=20/24</formula>
    </cfRule>
    <cfRule type="expression" dxfId="2963" priority="318">
      <formula>AND(C$9&gt;=14/24,C$9&lt;20/24)</formula>
    </cfRule>
    <cfRule type="expression" dxfId="2962" priority="319">
      <formula>AND(C$9&gt;=8/24,C$9&lt;14/24)</formula>
    </cfRule>
    <cfRule type="expression" dxfId="2961" priority="320">
      <formula>C$9&lt;8/24</formula>
    </cfRule>
  </conditionalFormatting>
  <conditionalFormatting sqref="O59:AF64">
    <cfRule type="expression" dxfId="2960" priority="313">
      <formula>O$9&gt;=20/24</formula>
    </cfRule>
    <cfRule type="expression" dxfId="2959" priority="314">
      <formula>AND(O$9&gt;=14/24,O$9&lt;20/24)</formula>
    </cfRule>
    <cfRule type="expression" dxfId="2958" priority="315">
      <formula>AND(O$9&gt;=8/24,O$9&lt;14/24)</formula>
    </cfRule>
    <cfRule type="expression" dxfId="2957" priority="316">
      <formula>O$9&lt;8/24</formula>
    </cfRule>
  </conditionalFormatting>
  <conditionalFormatting sqref="O59:AF64">
    <cfRule type="expression" dxfId="2956" priority="312">
      <formula>O59&gt;$AG59</formula>
    </cfRule>
  </conditionalFormatting>
  <conditionalFormatting sqref="L13:AF15 Z45:AF45">
    <cfRule type="expression" dxfId="2955" priority="311">
      <formula>L13&gt;$AG13</formula>
    </cfRule>
  </conditionalFormatting>
  <conditionalFormatting sqref="L12:AF12">
    <cfRule type="expression" dxfId="2954" priority="307">
      <formula>L$9&gt;=20/24</formula>
    </cfRule>
    <cfRule type="expression" dxfId="2953" priority="308">
      <formula>AND(L$9&gt;=14/24,L$9&lt;20/24)</formula>
    </cfRule>
    <cfRule type="expression" dxfId="2952" priority="309">
      <formula>AND(L$9&gt;=8/24,L$9&lt;14/24)</formula>
    </cfRule>
    <cfRule type="expression" dxfId="2951" priority="310">
      <formula>L$9&lt;8/24</formula>
    </cfRule>
  </conditionalFormatting>
  <conditionalFormatting sqref="L12:AF12">
    <cfRule type="expression" dxfId="2950" priority="306">
      <formula>L12&gt;$AG12</formula>
    </cfRule>
  </conditionalFormatting>
  <conditionalFormatting sqref="L13:AF15">
    <cfRule type="expression" dxfId="2949" priority="302">
      <formula>L$9&gt;=20/24</formula>
    </cfRule>
    <cfRule type="expression" dxfId="2948" priority="303">
      <formula>AND(L$9&gt;=14/24,L$9&lt;20/24)</formula>
    </cfRule>
    <cfRule type="expression" dxfId="2947" priority="304">
      <formula>AND(L$9&gt;=8/24,L$9&lt;14/24)</formula>
    </cfRule>
    <cfRule type="expression" dxfId="2946" priority="305">
      <formula>L$9&lt;8/24</formula>
    </cfRule>
  </conditionalFormatting>
  <conditionalFormatting sqref="Z45:AF45">
    <cfRule type="expression" dxfId="2945" priority="298">
      <formula>Z$9&gt;=20/24</formula>
    </cfRule>
    <cfRule type="expression" dxfId="2944" priority="299">
      <formula>AND(Z$9&gt;=14/24,Z$9&lt;20/24)</formula>
    </cfRule>
    <cfRule type="expression" dxfId="2943" priority="300">
      <formula>AND(Z$9&gt;=8/24,Z$9&lt;14/24)</formula>
    </cfRule>
    <cfRule type="expression" dxfId="2942" priority="301">
      <formula>Z$9&lt;8/24</formula>
    </cfRule>
  </conditionalFormatting>
  <conditionalFormatting sqref="E77:AF81">
    <cfRule type="expression" dxfId="2941" priority="294">
      <formula>E$9&gt;=20/24</formula>
    </cfRule>
    <cfRule type="expression" dxfId="2940" priority="295">
      <formula>AND(E$9&gt;=14/24,E$9&lt;20/24)</formula>
    </cfRule>
    <cfRule type="expression" dxfId="2939" priority="296">
      <formula>AND(E$9&gt;=8/24,E$9&lt;14/24)</formula>
    </cfRule>
    <cfRule type="expression" dxfId="2938" priority="297">
      <formula>E$9&lt;8/24</formula>
    </cfRule>
  </conditionalFormatting>
  <conditionalFormatting sqref="AL78:AN78 AL84:AN84 AN79:AN80">
    <cfRule type="expression" dxfId="2937" priority="290">
      <formula>AL$9&gt;=20/24</formula>
    </cfRule>
    <cfRule type="expression" dxfId="2936" priority="291">
      <formula>AND(AL$9&gt;=14/24,AL$9&lt;20/24)</formula>
    </cfRule>
    <cfRule type="expression" dxfId="2935" priority="292">
      <formula>AND(AL$9&gt;=8/24,AL$9&lt;14/24)</formula>
    </cfRule>
    <cfRule type="expression" dxfId="2934" priority="293">
      <formula>AL$9&lt;8/24</formula>
    </cfRule>
  </conditionalFormatting>
  <conditionalFormatting sqref="AN81:AN82">
    <cfRule type="expression" dxfId="2933" priority="286">
      <formula>AN$9&gt;=20/24</formula>
    </cfRule>
    <cfRule type="expression" dxfId="2932" priority="287">
      <formula>AND(AN$9&gt;=14/24,AN$9&lt;20/24)</formula>
    </cfRule>
    <cfRule type="expression" dxfId="2931" priority="288">
      <formula>AND(AN$9&gt;=8/24,AN$9&lt;14/24)</formula>
    </cfRule>
    <cfRule type="expression" dxfId="2930" priority="289">
      <formula>AN$9&lt;8/24</formula>
    </cfRule>
  </conditionalFormatting>
  <conditionalFormatting sqref="AL79:AM83">
    <cfRule type="expression" dxfId="2929" priority="508">
      <formula>AJ$9&gt;=20/24</formula>
    </cfRule>
    <cfRule type="expression" dxfId="2928" priority="509">
      <formula>AND(AJ$9&gt;=14/24,AJ$9&lt;20/24)</formula>
    </cfRule>
    <cfRule type="expression" dxfId="2927" priority="510">
      <formula>AND(AJ$9&gt;=8/24,AJ$9&lt;14/24)</formula>
    </cfRule>
    <cfRule type="expression" dxfId="2926" priority="511">
      <formula>AJ$9&lt;8/24</formula>
    </cfRule>
  </conditionalFormatting>
  <conditionalFormatting sqref="A117">
    <cfRule type="expression" dxfId="2925" priority="285">
      <formula>$AH117=0</formula>
    </cfRule>
  </conditionalFormatting>
  <conditionalFormatting sqref="D53">
    <cfRule type="expression" dxfId="2924" priority="268">
      <formula>D$9&gt;=20/24</formula>
    </cfRule>
    <cfRule type="expression" dxfId="2923" priority="269">
      <formula>AND(D$9&gt;=14/24,D$9&lt;20/24)</formula>
    </cfRule>
    <cfRule type="expression" dxfId="2922" priority="270">
      <formula>AND(D$9&gt;=8/24,D$9&lt;14/24)</formula>
    </cfRule>
    <cfRule type="expression" dxfId="2921" priority="271">
      <formula>D$9&lt;8/24</formula>
    </cfRule>
  </conditionalFormatting>
  <conditionalFormatting sqref="D53:D55">
    <cfRule type="expression" dxfId="2920" priority="267">
      <formula>D53&gt;$AG53</formula>
    </cfRule>
  </conditionalFormatting>
  <conditionalFormatting sqref="C73:D74">
    <cfRule type="expression" dxfId="2919" priority="263">
      <formula>C$9&gt;=20/24</formula>
    </cfRule>
    <cfRule type="expression" dxfId="2918" priority="264">
      <formula>AND(C$9&gt;=14/24,C$9&lt;20/24)</formula>
    </cfRule>
    <cfRule type="expression" dxfId="2917" priority="265">
      <formula>AND(C$9&gt;=8/24,C$9&lt;14/24)</formula>
    </cfRule>
    <cfRule type="expression" dxfId="2916" priority="266">
      <formula>C$9&lt;8/24</formula>
    </cfRule>
  </conditionalFormatting>
  <conditionalFormatting sqref="C88">
    <cfRule type="expression" dxfId="2915" priority="258">
      <formula>C$9&gt;=20/24</formula>
    </cfRule>
    <cfRule type="expression" dxfId="2914" priority="259">
      <formula>AND(C$9&gt;=14/24,C$9&lt;20/24)</formula>
    </cfRule>
    <cfRule type="expression" dxfId="2913" priority="260">
      <formula>AND(C$9&gt;=8/24,C$9&lt;14/24)</formula>
    </cfRule>
    <cfRule type="expression" dxfId="2912" priority="261">
      <formula>C$9&lt;8/24</formula>
    </cfRule>
  </conditionalFormatting>
  <conditionalFormatting sqref="C75:D76">
    <cfRule type="expression" dxfId="2911" priority="227">
      <formula>C$9&gt;=20/24</formula>
    </cfRule>
    <cfRule type="expression" dxfId="2910" priority="228">
      <formula>AND(C$9&gt;=14/24,C$9&lt;20/24)</formula>
    </cfRule>
    <cfRule type="expression" dxfId="2909" priority="229">
      <formula>AND(C$9&gt;=8/24,C$9&lt;14/24)</formula>
    </cfRule>
    <cfRule type="expression" dxfId="2908" priority="230">
      <formula>C$9&lt;8/24</formula>
    </cfRule>
  </conditionalFormatting>
  <conditionalFormatting sqref="C77:D81">
    <cfRule type="expression" dxfId="2907" priority="200">
      <formula>C$9&gt;=20/24</formula>
    </cfRule>
    <cfRule type="expression" dxfId="2906" priority="201">
      <formula>AND(C$9&gt;=14/24,C$9&lt;20/24)</formula>
    </cfRule>
    <cfRule type="expression" dxfId="2905" priority="202">
      <formula>AND(C$9&gt;=8/24,C$9&lt;14/24)</formula>
    </cfRule>
    <cfRule type="expression" dxfId="2904" priority="203">
      <formula>C$9&lt;8/24</formula>
    </cfRule>
  </conditionalFormatting>
  <conditionalFormatting sqref="A11">
    <cfRule type="expression" dxfId="2903" priority="199">
      <formula>$AH11=0</formula>
    </cfRule>
  </conditionalFormatting>
  <conditionalFormatting sqref="L11:AF11">
    <cfRule type="expression" dxfId="2902" priority="195">
      <formula>L$9&gt;=20/24</formula>
    </cfRule>
    <cfRule type="expression" dxfId="2901" priority="196">
      <formula>AND(L$9&gt;=14/24,L$9&lt;20/24)</formula>
    </cfRule>
    <cfRule type="expression" dxfId="2900" priority="197">
      <formula>AND(L$9&gt;=8/24,L$9&lt;14/24)</formula>
    </cfRule>
    <cfRule type="expression" dxfId="2899" priority="198">
      <formula>L$9&lt;8/24</formula>
    </cfRule>
  </conditionalFormatting>
  <conditionalFormatting sqref="L11:AF11">
    <cfRule type="expression" dxfId="2898" priority="194">
      <formula>L11&gt;$AG11</formula>
    </cfRule>
  </conditionalFormatting>
  <conditionalFormatting sqref="A16">
    <cfRule type="expression" dxfId="2897" priority="187">
      <formula>$AH16=0</formula>
    </cfRule>
  </conditionalFormatting>
  <conditionalFormatting sqref="AL16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2896" priority="183">
      <formula>Z$9&gt;=20/24</formula>
    </cfRule>
    <cfRule type="expression" dxfId="2895" priority="184">
      <formula>AND(Z$9&gt;=14/24,Z$9&lt;20/24)</formula>
    </cfRule>
    <cfRule type="expression" dxfId="2894" priority="185">
      <formula>AND(Z$9&gt;=8/24,Z$9&lt;14/24)</formula>
    </cfRule>
    <cfRule type="expression" dxfId="2893" priority="186">
      <formula>Z$9&lt;8/24</formula>
    </cfRule>
  </conditionalFormatting>
  <conditionalFormatting sqref="Z16:AF16">
    <cfRule type="expression" dxfId="2892" priority="182">
      <formula>Z16&gt;$AG16</formula>
    </cfRule>
  </conditionalFormatting>
  <conditionalFormatting sqref="A33">
    <cfRule type="expression" dxfId="2891" priority="175">
      <formula>$AH33=0</formula>
    </cfRule>
  </conditionalFormatting>
  <conditionalFormatting sqref="AL3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2890" priority="171">
      <formula>Z$9&gt;=20/24</formula>
    </cfRule>
    <cfRule type="expression" dxfId="2889" priority="172">
      <formula>AND(Z$9&gt;=14/24,Z$9&lt;20/24)</formula>
    </cfRule>
    <cfRule type="expression" dxfId="2888" priority="173">
      <formula>AND(Z$9&gt;=8/24,Z$9&lt;14/24)</formula>
    </cfRule>
    <cfRule type="expression" dxfId="2887" priority="174">
      <formula>Z$9&lt;8/24</formula>
    </cfRule>
  </conditionalFormatting>
  <conditionalFormatting sqref="Z33:AF33">
    <cfRule type="expression" dxfId="2886" priority="170">
      <formula>Z33&gt;$AG33</formula>
    </cfRule>
  </conditionalFormatting>
  <conditionalFormatting sqref="A44">
    <cfRule type="expression" dxfId="2885" priority="163">
      <formula>$AH44=0</formula>
    </cfRule>
  </conditionalFormatting>
  <conditionalFormatting sqref="AL44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2884" priority="162">
      <formula>Z44&gt;$AG44</formula>
    </cfRule>
  </conditionalFormatting>
  <conditionalFormatting sqref="Z44:AF44">
    <cfRule type="expression" dxfId="2883" priority="158">
      <formula>Z$9&gt;=20/24</formula>
    </cfRule>
    <cfRule type="expression" dxfId="2882" priority="159">
      <formula>AND(Z$9&gt;=14/24,Z$9&lt;20/24)</formula>
    </cfRule>
    <cfRule type="expression" dxfId="2881" priority="160">
      <formula>AND(Z$9&gt;=8/24,Z$9&lt;14/24)</formula>
    </cfRule>
    <cfRule type="expression" dxfId="2880" priority="161">
      <formula>Z$9&lt;8/24</formula>
    </cfRule>
  </conditionalFormatting>
  <conditionalFormatting sqref="D117:AF117">
    <cfRule type="expression" dxfId="2879" priority="149">
      <formula>D$9&gt;=20/24</formula>
    </cfRule>
    <cfRule type="expression" dxfId="2878" priority="150">
      <formula>AND(D$9&gt;=14/24,D$9&lt;20/24)</formula>
    </cfRule>
    <cfRule type="expression" dxfId="2877" priority="151">
      <formula>AND(D$9&gt;=8/24,D$9&lt;14/24)</formula>
    </cfRule>
    <cfRule type="expression" dxfId="2876" priority="152">
      <formula>D$9&lt;8/24</formula>
    </cfRule>
  </conditionalFormatting>
  <conditionalFormatting sqref="C117">
    <cfRule type="expression" dxfId="2875" priority="145">
      <formula>C$9&gt;=20/24</formula>
    </cfRule>
    <cfRule type="expression" dxfId="2874" priority="146">
      <formula>AND(C$9&gt;=14/24,C$9&lt;20/24)</formula>
    </cfRule>
    <cfRule type="expression" dxfId="2873" priority="147">
      <formula>AND(C$9&gt;=8/24,C$9&lt;14/24)</formula>
    </cfRule>
    <cfRule type="expression" dxfId="2872" priority="148">
      <formula>C$9&lt;8/24</formula>
    </cfRule>
  </conditionalFormatting>
  <conditionalFormatting sqref="B109 B111:B116">
    <cfRule type="expression" dxfId="2871" priority="137">
      <formula>B$9&gt;=20/24</formula>
    </cfRule>
    <cfRule type="expression" dxfId="2870" priority="138">
      <formula>AND(B$9&gt;=14/24,B$9&lt;20/24)</formula>
    </cfRule>
    <cfRule type="expression" dxfId="2869" priority="139">
      <formula>AND(B$9&gt;=8/24,B$9&lt;14/24)</formula>
    </cfRule>
    <cfRule type="expression" dxfId="2868" priority="140">
      <formula>B$9&lt;8/24</formula>
    </cfRule>
  </conditionalFormatting>
  <conditionalFormatting sqref="B99">
    <cfRule type="expression" dxfId="2867" priority="133">
      <formula>B$9&gt;=20/24</formula>
    </cfRule>
    <cfRule type="expression" dxfId="2866" priority="134">
      <formula>AND(B$9&gt;=14/24,B$9&lt;20/24)</formula>
    </cfRule>
    <cfRule type="expression" dxfId="2865" priority="135">
      <formula>AND(B$9&gt;=8/24,B$9&lt;14/24)</formula>
    </cfRule>
    <cfRule type="expression" dxfId="2864" priority="136">
      <formula>B$9&lt;8/24</formula>
    </cfRule>
  </conditionalFormatting>
  <conditionalFormatting sqref="B71 B54:C57 D56:M57 N57">
    <cfRule type="expression" dxfId="2863" priority="129">
      <formula>B$9&gt;=20/24</formula>
    </cfRule>
    <cfRule type="expression" dxfId="2862" priority="130">
      <formula>AND(B$9&gt;=14/24,B$9&lt;20/24)</formula>
    </cfRule>
    <cfRule type="expression" dxfId="2861" priority="131">
      <formula>AND(B$9&gt;=8/24,B$9&lt;14/24)</formula>
    </cfRule>
    <cfRule type="expression" dxfId="2860" priority="132">
      <formula>B$9&lt;8/24</formula>
    </cfRule>
  </conditionalFormatting>
  <conditionalFormatting sqref="B53:C53">
    <cfRule type="expression" dxfId="2859" priority="125">
      <formula>B$9&gt;=20/24</formula>
    </cfRule>
    <cfRule type="expression" dxfId="2858" priority="126">
      <formula>AND(B$9&gt;=14/24,B$9&lt;20/24)</formula>
    </cfRule>
    <cfRule type="expression" dxfId="2857" priority="127">
      <formula>AND(B$9&gt;=8/24,B$9&lt;14/24)</formula>
    </cfRule>
    <cfRule type="expression" dxfId="2856" priority="128">
      <formula>B$9&lt;8/24</formula>
    </cfRule>
  </conditionalFormatting>
  <conditionalFormatting sqref="B53:C57 D56:M57 N57">
    <cfRule type="expression" dxfId="2855" priority="124">
      <formula>B53&gt;$AG53</formula>
    </cfRule>
  </conditionalFormatting>
  <conditionalFormatting sqref="B96 B47 B86 B72:B74 B100:G106 B67:L69 C72:L72">
    <cfRule type="expression" dxfId="2854" priority="120">
      <formula>B$9&gt;=20/24</formula>
    </cfRule>
    <cfRule type="expression" dxfId="2853" priority="121">
      <formula>AND(B$9&gt;=14/24,B$9&lt;20/24)</formula>
    </cfRule>
    <cfRule type="expression" dxfId="2852" priority="122">
      <formula>AND(B$9&gt;=8/24,B$9&lt;14/24)</formula>
    </cfRule>
    <cfRule type="expression" dxfId="2851" priority="123">
      <formula>B$9&lt;8/24</formula>
    </cfRule>
  </conditionalFormatting>
  <conditionalFormatting sqref="B47 B67:L69">
    <cfRule type="expression" dxfId="2850" priority="119">
      <formula>B47&gt;$AG47</formula>
    </cfRule>
  </conditionalFormatting>
  <conditionalFormatting sqref="B97 B88">
    <cfRule type="expression" dxfId="2849" priority="115">
      <formula>B$9&gt;=20/24</formula>
    </cfRule>
    <cfRule type="expression" dxfId="2848" priority="116">
      <formula>AND(B$9&gt;=14/24,B$9&lt;20/24)</formula>
    </cfRule>
    <cfRule type="expression" dxfId="2847" priority="117">
      <formula>AND(B$9&gt;=8/24,B$9&lt;14/24)</formula>
    </cfRule>
    <cfRule type="expression" dxfId="2846" priority="118">
      <formula>B$9&lt;8/24</formula>
    </cfRule>
  </conditionalFormatting>
  <conditionalFormatting sqref="B58:N58">
    <cfRule type="expression" dxfId="2845" priority="111">
      <formula>B$9&gt;=20/24</formula>
    </cfRule>
    <cfRule type="expression" dxfId="2844" priority="112">
      <formula>AND(B$9&gt;=14/24,B$9&lt;20/24)</formula>
    </cfRule>
    <cfRule type="expression" dxfId="2843" priority="113">
      <formula>AND(B$9&gt;=8/24,B$9&lt;14/24)</formula>
    </cfRule>
    <cfRule type="expression" dxfId="2842" priority="114">
      <formula>B$9&lt;8/24</formula>
    </cfRule>
  </conditionalFormatting>
  <conditionalFormatting sqref="B58:N58">
    <cfRule type="expression" dxfId="2841" priority="110">
      <formula>B58&gt;$AG58</formula>
    </cfRule>
  </conditionalFormatting>
  <conditionalFormatting sqref="B91:B95">
    <cfRule type="expression" dxfId="2840" priority="106">
      <formula>B$9&gt;=20/24</formula>
    </cfRule>
    <cfRule type="expression" dxfId="2839" priority="107">
      <formula>AND(B$9&gt;=14/24,B$9&lt;20/24)</formula>
    </cfRule>
    <cfRule type="expression" dxfId="2838" priority="108">
      <formula>AND(B$9&gt;=8/24,B$9&lt;14/24)</formula>
    </cfRule>
    <cfRule type="expression" dxfId="2837" priority="109">
      <formula>B$9&lt;8/24</formula>
    </cfRule>
  </conditionalFormatting>
  <conditionalFormatting sqref="B49:D51">
    <cfRule type="expression" dxfId="2836" priority="102">
      <formula>B$9&gt;=20/24</formula>
    </cfRule>
    <cfRule type="expression" dxfId="2835" priority="103">
      <formula>AND(B$9&gt;=14/24,B$9&lt;20/24)</formula>
    </cfRule>
    <cfRule type="expression" dxfId="2834" priority="104">
      <formula>AND(B$9&gt;=8/24,B$9&lt;14/24)</formula>
    </cfRule>
    <cfRule type="expression" dxfId="2833" priority="105">
      <formula>B$9&lt;8/24</formula>
    </cfRule>
  </conditionalFormatting>
  <conditionalFormatting sqref="B49:D51">
    <cfRule type="expression" dxfId="2832" priority="101">
      <formula>B49&gt;$AG49</formula>
    </cfRule>
  </conditionalFormatting>
  <conditionalFormatting sqref="B107">
    <cfRule type="expression" dxfId="2831" priority="97">
      <formula>B$9&gt;=20/24</formula>
    </cfRule>
    <cfRule type="expression" dxfId="2830" priority="98">
      <formula>AND(B$9&gt;=14/24,B$9&lt;20/24)</formula>
    </cfRule>
    <cfRule type="expression" dxfId="2829" priority="99">
      <formula>AND(B$9&gt;=8/24,B$9&lt;14/24)</formula>
    </cfRule>
    <cfRule type="expression" dxfId="2828" priority="100">
      <formula>B$9&lt;8/24</formula>
    </cfRule>
  </conditionalFormatting>
  <conditionalFormatting sqref="B110">
    <cfRule type="expression" dxfId="2827" priority="93">
      <formula>B$9&gt;=20/24</formula>
    </cfRule>
    <cfRule type="expression" dxfId="2826" priority="94">
      <formula>AND(B$9&gt;=14/24,B$9&lt;20/24)</formula>
    </cfRule>
    <cfRule type="expression" dxfId="2825" priority="95">
      <formula>AND(B$9&gt;=8/24,B$9&lt;14/24)</formula>
    </cfRule>
    <cfRule type="expression" dxfId="2824" priority="96">
      <formula>B$9&lt;8/24</formula>
    </cfRule>
  </conditionalFormatting>
  <conditionalFormatting sqref="B83:B85 B75:B76">
    <cfRule type="expression" dxfId="2823" priority="89">
      <formula>B$9&gt;=20/24</formula>
    </cfRule>
    <cfRule type="expression" dxfId="2822" priority="90">
      <formula>AND(B$9&gt;=14/24,B$9&lt;20/24)</formula>
    </cfRule>
    <cfRule type="expression" dxfId="2821" priority="91">
      <formula>AND(B$9&gt;=8/24,B$9&lt;14/24)</formula>
    </cfRule>
    <cfRule type="expression" dxfId="2820" priority="92">
      <formula>B$9&lt;8/24</formula>
    </cfRule>
  </conditionalFormatting>
  <conditionalFormatting sqref="B98 B87 B89">
    <cfRule type="expression" dxfId="2819" priority="85">
      <formula>B$9&gt;=20/24</formula>
    </cfRule>
    <cfRule type="expression" dxfId="2818" priority="86">
      <formula>AND(B$9&gt;=14/24,B$9&lt;20/24)</formula>
    </cfRule>
    <cfRule type="expression" dxfId="2817" priority="87">
      <formula>AND(B$9&gt;=8/24,B$9&lt;14/24)</formula>
    </cfRule>
    <cfRule type="expression" dxfId="2816" priority="88">
      <formula>B$9&lt;8/24</formula>
    </cfRule>
  </conditionalFormatting>
  <conditionalFormatting sqref="B65:B66 B48">
    <cfRule type="expression" dxfId="2815" priority="84">
      <formula>B48&gt;$AG48</formula>
    </cfRule>
  </conditionalFormatting>
  <conditionalFormatting sqref="B82">
    <cfRule type="expression" dxfId="2814" priority="80">
      <formula>B$9&gt;=20/24</formula>
    </cfRule>
    <cfRule type="expression" dxfId="2813" priority="81">
      <formula>AND(B$9&gt;=14/24,B$9&lt;20/24)</formula>
    </cfRule>
    <cfRule type="expression" dxfId="2812" priority="82">
      <formula>AND(B$9&gt;=8/24,B$9&lt;14/24)</formula>
    </cfRule>
    <cfRule type="expression" dxfId="2811" priority="83">
      <formula>B$9&lt;8/24</formula>
    </cfRule>
  </conditionalFormatting>
  <conditionalFormatting sqref="B52">
    <cfRule type="expression" dxfId="2810" priority="76">
      <formula>B$9&gt;=20/24</formula>
    </cfRule>
    <cfRule type="expression" dxfId="2809" priority="77">
      <formula>AND(B$9&gt;=14/24,B$9&lt;20/24)</formula>
    </cfRule>
    <cfRule type="expression" dxfId="2808" priority="78">
      <formula>AND(B$9&gt;=8/24,B$9&lt;14/24)</formula>
    </cfRule>
    <cfRule type="expression" dxfId="2807" priority="79">
      <formula>B$9&lt;8/24</formula>
    </cfRule>
  </conditionalFormatting>
  <conditionalFormatting sqref="B52">
    <cfRule type="expression" dxfId="2806" priority="75">
      <formula>B52&gt;$AG52</formula>
    </cfRule>
  </conditionalFormatting>
  <conditionalFormatting sqref="B59:N64">
    <cfRule type="expression" dxfId="2805" priority="67">
      <formula>B$9&gt;=20/24</formula>
    </cfRule>
    <cfRule type="expression" dxfId="2804" priority="68">
      <formula>AND(B$9&gt;=14/24,B$9&lt;20/24)</formula>
    </cfRule>
    <cfRule type="expression" dxfId="2803" priority="69">
      <formula>AND(B$9&gt;=8/24,B$9&lt;14/24)</formula>
    </cfRule>
    <cfRule type="expression" dxfId="2802" priority="70">
      <formula>B$9&lt;8/24</formula>
    </cfRule>
  </conditionalFormatting>
  <conditionalFormatting sqref="B59:N64">
    <cfRule type="expression" dxfId="2801" priority="66">
      <formula>B59&gt;$AG59</formula>
    </cfRule>
  </conditionalFormatting>
  <conditionalFormatting sqref="B13:K15">
    <cfRule type="expression" dxfId="2800" priority="65">
      <formula>B13&gt;$AG13</formula>
    </cfRule>
  </conditionalFormatting>
  <conditionalFormatting sqref="B12:K12">
    <cfRule type="expression" dxfId="2799" priority="61">
      <formula>B$9&gt;=20/24</formula>
    </cfRule>
    <cfRule type="expression" dxfId="2798" priority="62">
      <formula>AND(B$9&gt;=14/24,B$9&lt;20/24)</formula>
    </cfRule>
    <cfRule type="expression" dxfId="2797" priority="63">
      <formula>AND(B$9&gt;=8/24,B$9&lt;14/24)</formula>
    </cfRule>
    <cfRule type="expression" dxfId="2796" priority="64">
      <formula>B$9&lt;8/24</formula>
    </cfRule>
  </conditionalFormatting>
  <conditionalFormatting sqref="B12:K12">
    <cfRule type="expression" dxfId="2795" priority="60">
      <formula>B12&gt;$AG12</formula>
    </cfRule>
  </conditionalFormatting>
  <conditionalFormatting sqref="B13:K15">
    <cfRule type="expression" dxfId="2794" priority="56">
      <formula>B$9&gt;=20/24</formula>
    </cfRule>
    <cfRule type="expression" dxfId="2793" priority="57">
      <formula>AND(B$9&gt;=14/24,B$9&lt;20/24)</formula>
    </cfRule>
    <cfRule type="expression" dxfId="2792" priority="58">
      <formula>AND(B$9&gt;=8/24,B$9&lt;14/24)</formula>
    </cfRule>
    <cfRule type="expression" dxfId="2791" priority="59">
      <formula>B$9&lt;8/24</formula>
    </cfRule>
  </conditionalFormatting>
  <conditionalFormatting sqref="B77:B81">
    <cfRule type="expression" dxfId="2790" priority="52">
      <formula>B$9&gt;=20/24</formula>
    </cfRule>
    <cfRule type="expression" dxfId="2789" priority="53">
      <formula>AND(B$9&gt;=14/24,B$9&lt;20/24)</formula>
    </cfRule>
    <cfRule type="expression" dxfId="2788" priority="54">
      <formula>AND(B$9&gt;=8/24,B$9&lt;14/24)</formula>
    </cfRule>
    <cfRule type="expression" dxfId="2787" priority="55">
      <formula>B$9&lt;8/24</formula>
    </cfRule>
  </conditionalFormatting>
  <conditionalFormatting sqref="B17:K32 L17:Y17 B34:Y43 B45:Y45 L19:Y32">
    <cfRule type="expression" dxfId="2786" priority="48">
      <formula>B$9&gt;=20/24</formula>
    </cfRule>
    <cfRule type="expression" dxfId="2785" priority="49">
      <formula>AND(B$9&gt;=14/24,B$9&lt;20/24)</formula>
    </cfRule>
    <cfRule type="expression" dxfId="2784" priority="50">
      <formula>AND(B$9&gt;=8/24,B$9&lt;14/24)</formula>
    </cfRule>
    <cfRule type="expression" dxfId="2783" priority="51">
      <formula>B$9&lt;8/24</formula>
    </cfRule>
  </conditionalFormatting>
  <conditionalFormatting sqref="B17:K32 L17:Y17 B34:Y43 B45:Y45 L19:Y32">
    <cfRule type="expression" dxfId="2782" priority="47">
      <formula>B17&gt;$AG17</formula>
    </cfRule>
  </conditionalFormatting>
  <conditionalFormatting sqref="B46:AF46">
    <cfRule type="expression" dxfId="2781" priority="43">
      <formula>B$9&gt;=20/24</formula>
    </cfRule>
    <cfRule type="expression" dxfId="2780" priority="44">
      <formula>AND(B$9&gt;=14/24,B$9&lt;20/24)</formula>
    </cfRule>
    <cfRule type="expression" dxfId="2779" priority="45">
      <formula>AND(B$9&gt;=8/24,B$9&lt;14/24)</formula>
    </cfRule>
    <cfRule type="expression" dxfId="2778" priority="46">
      <formula>B$9&lt;8/24</formula>
    </cfRule>
  </conditionalFormatting>
  <conditionalFormatting sqref="B46:AF46">
    <cfRule type="expression" dxfId="2777" priority="42">
      <formula>B46&gt;$AG46</formula>
    </cfRule>
  </conditionalFormatting>
  <conditionalFormatting sqref="B70">
    <cfRule type="expression" dxfId="2776" priority="38">
      <formula>B$9&gt;=20/24</formula>
    </cfRule>
    <cfRule type="expression" dxfId="2775" priority="39">
      <formula>AND(B$9&gt;=14/24,B$9&lt;20/24)</formula>
    </cfRule>
    <cfRule type="expression" dxfId="2774" priority="40">
      <formula>AND(B$9&gt;=8/24,B$9&lt;14/24)</formula>
    </cfRule>
    <cfRule type="expression" dxfId="2773" priority="41">
      <formula>B$9&lt;8/24</formula>
    </cfRule>
  </conditionalFormatting>
  <conditionalFormatting sqref="B70">
    <cfRule type="expression" dxfId="2772" priority="37">
      <formula>B70&gt;$AG70</formula>
    </cfRule>
  </conditionalFormatting>
  <conditionalFormatting sqref="B11:K11">
    <cfRule type="expression" dxfId="2771" priority="33">
      <formula>B$9&gt;=20/24</formula>
    </cfRule>
    <cfRule type="expression" dxfId="2770" priority="34">
      <formula>AND(B$9&gt;=14/24,B$9&lt;20/24)</formula>
    </cfRule>
    <cfRule type="expression" dxfId="2769" priority="35">
      <formula>AND(B$9&gt;=8/24,B$9&lt;14/24)</formula>
    </cfRule>
    <cfRule type="expression" dxfId="2768" priority="36">
      <formula>B$9&lt;8/24</formula>
    </cfRule>
  </conditionalFormatting>
  <conditionalFormatting sqref="B11:K11">
    <cfRule type="expression" dxfId="2767" priority="32">
      <formula>B11&gt;$AG11</formula>
    </cfRule>
  </conditionalFormatting>
  <conditionalFormatting sqref="B16:Y16">
    <cfRule type="expression" dxfId="2766" priority="28">
      <formula>B$9&gt;=20/24</formula>
    </cfRule>
    <cfRule type="expression" dxfId="2765" priority="29">
      <formula>AND(B$9&gt;=14/24,B$9&lt;20/24)</formula>
    </cfRule>
    <cfRule type="expression" dxfId="2764" priority="30">
      <formula>AND(B$9&gt;=8/24,B$9&lt;14/24)</formula>
    </cfRule>
    <cfRule type="expression" dxfId="2763" priority="31">
      <formula>B$9&lt;8/24</formula>
    </cfRule>
  </conditionalFormatting>
  <conditionalFormatting sqref="B16:Y16">
    <cfRule type="expression" dxfId="2762" priority="27">
      <formula>B16&gt;$AG16</formula>
    </cfRule>
  </conditionalFormatting>
  <conditionalFormatting sqref="B33:Y33">
    <cfRule type="expression" dxfId="2761" priority="23">
      <formula>B$9&gt;=20/24</formula>
    </cfRule>
    <cfRule type="expression" dxfId="2760" priority="24">
      <formula>AND(B$9&gt;=14/24,B$9&lt;20/24)</formula>
    </cfRule>
    <cfRule type="expression" dxfId="2759" priority="25">
      <formula>AND(B$9&gt;=8/24,B$9&lt;14/24)</formula>
    </cfRule>
    <cfRule type="expression" dxfId="2758" priority="26">
      <formula>B$9&lt;8/24</formula>
    </cfRule>
  </conditionalFormatting>
  <conditionalFormatting sqref="B33:Y33">
    <cfRule type="expression" dxfId="2757" priority="22">
      <formula>B33&gt;$AG33</formula>
    </cfRule>
  </conditionalFormatting>
  <conditionalFormatting sqref="B44:Y44">
    <cfRule type="expression" dxfId="2756" priority="18">
      <formula>B$9&gt;=20/24</formula>
    </cfRule>
    <cfRule type="expression" dxfId="2755" priority="19">
      <formula>AND(B$9&gt;=14/24,B$9&lt;20/24)</formula>
    </cfRule>
    <cfRule type="expression" dxfId="2754" priority="20">
      <formula>AND(B$9&gt;=8/24,B$9&lt;14/24)</formula>
    </cfRule>
    <cfRule type="expression" dxfId="2753" priority="21">
      <formula>B$9&lt;8/24</formula>
    </cfRule>
  </conditionalFormatting>
  <conditionalFormatting sqref="B44:Y44">
    <cfRule type="expression" dxfId="2752" priority="17">
      <formula>B44&gt;$AG44</formula>
    </cfRule>
  </conditionalFormatting>
  <conditionalFormatting sqref="B117">
    <cfRule type="expression" dxfId="2751" priority="13">
      <formula>B$9&gt;=20/24</formula>
    </cfRule>
    <cfRule type="expression" dxfId="2750" priority="14">
      <formula>AND(B$9&gt;=14/24,B$9&lt;20/24)</formula>
    </cfRule>
    <cfRule type="expression" dxfId="2749" priority="15">
      <formula>AND(B$9&gt;=8/24,B$9&lt;14/24)</formula>
    </cfRule>
    <cfRule type="expression" dxfId="2748" priority="16">
      <formula>B$9&lt;8/24</formula>
    </cfRule>
  </conditionalFormatting>
  <conditionalFormatting sqref="AM59:AO59 AM65:AO65 AO60:AO61">
    <cfRule type="expression" dxfId="2747" priority="5">
      <formula>AM$9&gt;=20/24</formula>
    </cfRule>
    <cfRule type="expression" dxfId="2746" priority="6">
      <formula>AND(AM$9&gt;=14/24,AM$9&lt;20/24)</formula>
    </cfRule>
    <cfRule type="expression" dxfId="2745" priority="7">
      <formula>AND(AM$9&gt;=8/24,AM$9&lt;14/24)</formula>
    </cfRule>
    <cfRule type="expression" dxfId="2744" priority="8">
      <formula>AM$9&lt;8/24</formula>
    </cfRule>
  </conditionalFormatting>
  <conditionalFormatting sqref="AO62:AO63">
    <cfRule type="expression" dxfId="2743" priority="1">
      <formula>AO$9&gt;=20/24</formula>
    </cfRule>
    <cfRule type="expression" dxfId="2742" priority="2">
      <formula>AND(AO$9&gt;=14/24,AO$9&lt;20/24)</formula>
    </cfRule>
    <cfRule type="expression" dxfId="2741" priority="3">
      <formula>AND(AO$9&gt;=8/24,AO$9&lt;14/24)</formula>
    </cfRule>
    <cfRule type="expression" dxfId="2740" priority="4">
      <formula>AO$9&lt;8/24</formula>
    </cfRule>
  </conditionalFormatting>
  <conditionalFormatting sqref="AM60:AN64">
    <cfRule type="expression" dxfId="2739" priority="9">
      <formula>AK$9&gt;=20/24</formula>
    </cfRule>
    <cfRule type="expression" dxfId="2738" priority="10">
      <formula>AND(AK$9&gt;=14/24,AK$9&lt;20/24)</formula>
    </cfRule>
    <cfRule type="expression" dxfId="2737" priority="11">
      <formula>AND(AK$9&gt;=8/24,AK$9&lt;14/24)</formula>
    </cfRule>
    <cfRule type="expression" dxfId="2736" priority="12">
      <formula>AK$9&lt;8/24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1" id="{1ED4B9D0-2E0F-441E-9866-F821318DA25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22" id="{C92889A9-7408-48AD-8C37-30406242819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23" id="{9CFD0D0C-1A8A-4377-9F61-D6793035DD0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24" id="{8E26CCB8-BF96-49B1-B2BB-06EAE0D615D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71" id="{990BE59B-BFE4-4937-AAC5-318485D82F9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2" id="{1B4B87AA-8151-4772-9EB3-19D97FE986A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3" id="{3BE217BF-B380-4E8E-8566-DD04293BD9D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4" id="{8A637915-EA61-4272-B5AB-769DDD6D998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J504"/>
  <sheetViews>
    <sheetView zoomScale="80" zoomScaleNormal="80" workbookViewId="0">
      <pane ySplit="10" topLeftCell="A11" activePane="bottomLeft" state="frozen"/>
      <selection activeCell="Z85" sqref="Z85"/>
      <selection pane="bottomLeft" activeCell="AM21" sqref="AM21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2079/12/26</v>
      </c>
      <c r="C4" s="196"/>
      <c r="D4" s="196"/>
      <c r="E4" s="197" t="str">
        <f ca="1">"2079/"&amp;"12/"&amp;INT(MID(CELL("filename",G6),FIND("]",CELL("filename",G6))+1,200))</f>
        <v>2079/12/26</v>
      </c>
      <c r="F4" s="197"/>
      <c r="G4" s="197"/>
      <c r="H4" s="197" t="str">
        <f ca="1">TEXT(E4,"dddd")</f>
        <v>Tuesday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412.7</v>
      </c>
      <c r="C5" s="33">
        <f t="shared" si="0"/>
        <v>481.7</v>
      </c>
      <c r="D5" s="33">
        <f t="shared" si="0"/>
        <v>450.8</v>
      </c>
      <c r="E5" s="33">
        <f t="shared" si="0"/>
        <v>481.1</v>
      </c>
      <c r="F5" s="33">
        <f t="shared" si="0"/>
        <v>465.90000000000003</v>
      </c>
      <c r="G5" s="33">
        <f t="shared" si="0"/>
        <v>456.1</v>
      </c>
      <c r="H5" s="33">
        <f t="shared" si="0"/>
        <v>449.5</v>
      </c>
      <c r="I5" s="33">
        <f t="shared" si="0"/>
        <v>462.99</v>
      </c>
      <c r="J5" s="33">
        <f t="shared" si="0"/>
        <v>484.8</v>
      </c>
      <c r="K5" s="33">
        <f t="shared" si="0"/>
        <v>470.9</v>
      </c>
      <c r="L5" s="33">
        <f t="shared" si="0"/>
        <v>477.6</v>
      </c>
      <c r="M5" s="33">
        <f t="shared" si="0"/>
        <v>514.6</v>
      </c>
      <c r="N5" s="33">
        <f t="shared" si="0"/>
        <v>530.20000000000005</v>
      </c>
      <c r="O5" s="33">
        <f t="shared" si="0"/>
        <v>558</v>
      </c>
      <c r="P5" s="33">
        <f t="shared" si="0"/>
        <v>563.1</v>
      </c>
      <c r="Q5" s="33">
        <f t="shared" si="0"/>
        <v>544.70000000000005</v>
      </c>
      <c r="R5" s="33">
        <f t="shared" si="0"/>
        <v>536.5</v>
      </c>
      <c r="S5" s="33">
        <f t="shared" si="0"/>
        <v>564.29999999999995</v>
      </c>
      <c r="T5" s="33">
        <f t="shared" si="0"/>
        <v>568.6</v>
      </c>
      <c r="U5" s="33">
        <f t="shared" si="0"/>
        <v>516.79999999999995</v>
      </c>
      <c r="V5" s="33">
        <f t="shared" si="0"/>
        <v>498.20000000000005</v>
      </c>
      <c r="W5" s="33">
        <f t="shared" si="0"/>
        <v>483.00000000000006</v>
      </c>
      <c r="X5" s="33">
        <f t="shared" si="0"/>
        <v>470.50000000000006</v>
      </c>
      <c r="Y5" s="33">
        <f t="shared" si="0"/>
        <v>452.90000000000003</v>
      </c>
      <c r="Z5" s="33">
        <f t="shared" si="0"/>
        <v>428.6</v>
      </c>
      <c r="AA5" s="33">
        <f t="shared" si="0"/>
        <v>467.3</v>
      </c>
      <c r="AB5" s="33">
        <f t="shared" si="0"/>
        <v>470</v>
      </c>
      <c r="AC5" s="33">
        <f t="shared" si="0"/>
        <v>494</v>
      </c>
      <c r="AD5" s="33">
        <f t="shared" si="0"/>
        <v>490</v>
      </c>
      <c r="AE5" s="33">
        <f t="shared" si="0"/>
        <v>506</v>
      </c>
      <c r="AF5" s="33">
        <f>B82</f>
        <v>433.7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1432MW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Load=990</v>
      </c>
      <c r="B7" s="38">
        <f t="shared" ref="B7:AF7" si="1">B89</f>
        <v>1262.6390000000001</v>
      </c>
      <c r="C7" s="38">
        <f t="shared" si="1"/>
        <v>1055.3389999999999</v>
      </c>
      <c r="D7" s="38">
        <f t="shared" si="1"/>
        <v>1050.3389999999999</v>
      </c>
      <c r="E7" s="38">
        <f t="shared" si="1"/>
        <v>1020.6389999999999</v>
      </c>
      <c r="F7" s="38">
        <f t="shared" si="1"/>
        <v>989.53899999999999</v>
      </c>
      <c r="G7" s="38">
        <f t="shared" si="1"/>
        <v>1015.9390000000001</v>
      </c>
      <c r="H7" s="38">
        <f t="shared" si="1"/>
        <v>1075.039</v>
      </c>
      <c r="I7" s="38">
        <f t="shared" si="1"/>
        <v>1119.539</v>
      </c>
      <c r="J7" s="38">
        <f t="shared" si="1"/>
        <v>1186.1289999999999</v>
      </c>
      <c r="K7" s="38">
        <f t="shared" si="1"/>
        <v>1251.9389999999999</v>
      </c>
      <c r="L7" s="38">
        <f t="shared" si="1"/>
        <v>1327.739</v>
      </c>
      <c r="M7" s="38">
        <f t="shared" si="1"/>
        <v>1402.739</v>
      </c>
      <c r="N7" s="38">
        <f>N89</f>
        <v>1431.6390000000001</v>
      </c>
      <c r="O7" s="38">
        <f t="shared" si="1"/>
        <v>1433.6390000000001</v>
      </c>
      <c r="P7" s="38">
        <f t="shared" si="1"/>
        <v>1412.74</v>
      </c>
      <c r="Q7" s="38">
        <f t="shared" si="1"/>
        <v>1476.7400000000002</v>
      </c>
      <c r="R7" s="38">
        <f t="shared" si="1"/>
        <v>1417.7400000000002</v>
      </c>
      <c r="S7" s="38">
        <f t="shared" si="1"/>
        <v>1454.54</v>
      </c>
      <c r="T7" s="38">
        <f t="shared" si="1"/>
        <v>1457.44</v>
      </c>
      <c r="U7" s="38">
        <f t="shared" si="1"/>
        <v>1475.8400000000001</v>
      </c>
      <c r="V7" s="38">
        <f t="shared" si="1"/>
        <v>1355.6399999999999</v>
      </c>
      <c r="W7" s="38">
        <f t="shared" si="1"/>
        <v>1312.8400000000001</v>
      </c>
      <c r="X7" s="38">
        <f t="shared" si="1"/>
        <v>1456.04</v>
      </c>
      <c r="Y7" s="38">
        <f t="shared" si="1"/>
        <v>1543.64</v>
      </c>
      <c r="Z7" s="38">
        <f t="shared" si="1"/>
        <v>1705.89</v>
      </c>
      <c r="AA7" s="38">
        <f t="shared" si="1"/>
        <v>1675.54</v>
      </c>
      <c r="AB7" s="38">
        <f t="shared" si="1"/>
        <v>1554.24</v>
      </c>
      <c r="AC7" s="38">
        <f t="shared" si="1"/>
        <v>1544.54</v>
      </c>
      <c r="AD7" s="38">
        <f t="shared" si="1"/>
        <v>1485.54</v>
      </c>
      <c r="AE7" s="38">
        <f t="shared" si="1"/>
        <v>1369.54</v>
      </c>
      <c r="AF7" s="38">
        <f t="shared" si="1"/>
        <v>1346.54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24.5</v>
      </c>
      <c r="C11" s="50">
        <v>24.5</v>
      </c>
      <c r="D11" s="50">
        <v>24.5</v>
      </c>
      <c r="E11" s="50">
        <v>24.5</v>
      </c>
      <c r="F11" s="50">
        <v>24.5</v>
      </c>
      <c r="G11" s="50">
        <v>24.5</v>
      </c>
      <c r="H11" s="50">
        <v>24.5</v>
      </c>
      <c r="I11" s="50">
        <v>24.5</v>
      </c>
      <c r="J11" s="50">
        <v>25</v>
      </c>
      <c r="K11" s="50">
        <v>25</v>
      </c>
      <c r="L11" s="50">
        <v>25</v>
      </c>
      <c r="M11" s="50">
        <v>25</v>
      </c>
      <c r="N11" s="50">
        <v>25</v>
      </c>
      <c r="O11" s="50">
        <v>25</v>
      </c>
      <c r="P11" s="50">
        <v>26.6</v>
      </c>
      <c r="Q11" s="50">
        <v>26.6</v>
      </c>
      <c r="R11" s="50">
        <v>26.6</v>
      </c>
      <c r="S11" s="50">
        <v>26.6</v>
      </c>
      <c r="T11" s="50">
        <v>16</v>
      </c>
      <c r="U11" s="50">
        <v>27</v>
      </c>
      <c r="V11" s="50">
        <v>27</v>
      </c>
      <c r="W11" s="50">
        <v>27</v>
      </c>
      <c r="X11" s="50">
        <v>27</v>
      </c>
      <c r="Y11" s="50">
        <v>27</v>
      </c>
      <c r="Z11" s="50">
        <v>27</v>
      </c>
      <c r="AA11" s="50">
        <v>27</v>
      </c>
      <c r="AB11" s="50">
        <v>27</v>
      </c>
      <c r="AC11" s="50">
        <v>27</v>
      </c>
      <c r="AD11" s="50">
        <v>27</v>
      </c>
      <c r="AE11" s="50">
        <v>27</v>
      </c>
      <c r="AF11" s="50">
        <v>27</v>
      </c>
      <c r="AG11" s="51">
        <v>86</v>
      </c>
      <c r="AH11" s="52">
        <f t="shared" ref="AH11:AH74" si="2">MAX(B11:AF11)</f>
        <v>27</v>
      </c>
      <c r="AI11" s="53">
        <f t="shared" ref="AI11:AI74" si="3">MIN(B11:AF11)</f>
        <v>16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15</v>
      </c>
      <c r="C12" s="50">
        <v>15</v>
      </c>
      <c r="D12" s="50">
        <v>15</v>
      </c>
      <c r="E12" s="50">
        <v>15</v>
      </c>
      <c r="F12" s="50">
        <v>13.6</v>
      </c>
      <c r="G12" s="50">
        <v>16.100000000000001</v>
      </c>
      <c r="H12" s="50">
        <v>16.100000000000001</v>
      </c>
      <c r="I12" s="50">
        <v>16.100000000000001</v>
      </c>
      <c r="J12" s="50">
        <v>15.9</v>
      </c>
      <c r="K12" s="50">
        <v>15.9</v>
      </c>
      <c r="L12" s="50">
        <v>15.9</v>
      </c>
      <c r="M12" s="50">
        <v>15.9</v>
      </c>
      <c r="N12" s="50">
        <v>15.9</v>
      </c>
      <c r="O12" s="50">
        <v>15.9</v>
      </c>
      <c r="P12" s="50">
        <v>15</v>
      </c>
      <c r="Q12" s="50">
        <v>15</v>
      </c>
      <c r="R12" s="50">
        <v>15</v>
      </c>
      <c r="S12" s="50">
        <v>15</v>
      </c>
      <c r="T12" s="50">
        <v>15</v>
      </c>
      <c r="U12" s="50">
        <v>15</v>
      </c>
      <c r="V12" s="50">
        <v>15</v>
      </c>
      <c r="W12" s="50">
        <v>15</v>
      </c>
      <c r="X12" s="50">
        <v>15</v>
      </c>
      <c r="Y12" s="50">
        <v>15</v>
      </c>
      <c r="Z12" s="50">
        <v>13.6</v>
      </c>
      <c r="AA12" s="50">
        <v>13.6</v>
      </c>
      <c r="AB12" s="50">
        <v>13.6</v>
      </c>
      <c r="AC12" s="50">
        <v>13.6</v>
      </c>
      <c r="AD12" s="50">
        <v>13.6</v>
      </c>
      <c r="AE12" s="50">
        <v>13.6</v>
      </c>
      <c r="AF12" s="50">
        <v>13.6</v>
      </c>
      <c r="AG12" s="51">
        <v>52.4</v>
      </c>
      <c r="AH12" s="52">
        <f t="shared" si="2"/>
        <v>16.100000000000001</v>
      </c>
      <c r="AI12" s="53">
        <f t="shared" si="3"/>
        <v>13.6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28.7</v>
      </c>
      <c r="C13" s="50">
        <v>28.7</v>
      </c>
      <c r="D13" s="50">
        <v>28.7</v>
      </c>
      <c r="E13" s="50">
        <v>28.7</v>
      </c>
      <c r="F13" s="50">
        <v>28.7</v>
      </c>
      <c r="G13" s="50">
        <v>29.2</v>
      </c>
      <c r="H13" s="50">
        <v>29.2</v>
      </c>
      <c r="I13" s="50">
        <v>30.6</v>
      </c>
      <c r="J13" s="50">
        <v>30.7</v>
      </c>
      <c r="K13" s="50">
        <v>30.7</v>
      </c>
      <c r="L13" s="50">
        <v>30.7</v>
      </c>
      <c r="M13" s="50">
        <v>30.7</v>
      </c>
      <c r="N13" s="50">
        <v>30.7</v>
      </c>
      <c r="O13" s="50">
        <v>30.7</v>
      </c>
      <c r="P13" s="50">
        <v>29.4</v>
      </c>
      <c r="Q13" s="50">
        <v>29.4</v>
      </c>
      <c r="R13" s="50">
        <v>29.4</v>
      </c>
      <c r="S13" s="50">
        <v>29.4</v>
      </c>
      <c r="T13" s="50">
        <v>29.4</v>
      </c>
      <c r="U13" s="50">
        <v>29.4</v>
      </c>
      <c r="V13" s="50">
        <v>29.4</v>
      </c>
      <c r="W13" s="50">
        <v>29.4</v>
      </c>
      <c r="X13" s="50">
        <v>29.4</v>
      </c>
      <c r="Y13" s="50">
        <v>29.4</v>
      </c>
      <c r="Z13" s="50">
        <v>29.5</v>
      </c>
      <c r="AA13" s="50">
        <v>29.5</v>
      </c>
      <c r="AB13" s="50">
        <v>29.5</v>
      </c>
      <c r="AC13" s="50">
        <v>29.5</v>
      </c>
      <c r="AD13" s="50">
        <v>29.5</v>
      </c>
      <c r="AE13" s="50">
        <v>29.5</v>
      </c>
      <c r="AF13" s="50">
        <v>29.5</v>
      </c>
      <c r="AG13" s="55">
        <v>50</v>
      </c>
      <c r="AH13" s="52">
        <f t="shared" si="2"/>
        <v>30.7</v>
      </c>
      <c r="AI13" s="53">
        <f t="shared" si="3"/>
        <v>28.7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16.3</v>
      </c>
      <c r="C14" s="50">
        <v>16.3</v>
      </c>
      <c r="D14" s="50">
        <v>16.3</v>
      </c>
      <c r="E14" s="50">
        <v>16.3</v>
      </c>
      <c r="F14" s="50">
        <v>16.3</v>
      </c>
      <c r="G14" s="50">
        <v>16.3</v>
      </c>
      <c r="H14" s="50">
        <v>16.3</v>
      </c>
      <c r="I14" s="50">
        <v>16.100000000000001</v>
      </c>
      <c r="J14" s="50">
        <v>16</v>
      </c>
      <c r="K14" s="50">
        <v>16</v>
      </c>
      <c r="L14" s="50">
        <v>16</v>
      </c>
      <c r="M14" s="50">
        <v>16</v>
      </c>
      <c r="N14" s="50">
        <v>16</v>
      </c>
      <c r="O14" s="50">
        <v>16</v>
      </c>
      <c r="P14" s="50">
        <v>15.5</v>
      </c>
      <c r="Q14" s="50">
        <v>15.5</v>
      </c>
      <c r="R14" s="50">
        <v>15.5</v>
      </c>
      <c r="S14" s="50">
        <v>15.5</v>
      </c>
      <c r="T14" s="50">
        <v>15.5</v>
      </c>
      <c r="U14" s="50">
        <v>15.5</v>
      </c>
      <c r="V14" s="50">
        <v>15.5</v>
      </c>
      <c r="W14" s="50">
        <v>15.5</v>
      </c>
      <c r="X14" s="50">
        <v>15.5</v>
      </c>
      <c r="Y14" s="50">
        <v>15.5</v>
      </c>
      <c r="Z14" s="50">
        <v>15.7</v>
      </c>
      <c r="AA14" s="50">
        <v>15.7</v>
      </c>
      <c r="AB14" s="50">
        <v>15.7</v>
      </c>
      <c r="AC14" s="50">
        <v>15.7</v>
      </c>
      <c r="AD14" s="50">
        <v>15.7</v>
      </c>
      <c r="AE14" s="50">
        <v>15.7</v>
      </c>
      <c r="AF14" s="50">
        <v>15.7</v>
      </c>
      <c r="AG14" s="55">
        <v>45</v>
      </c>
      <c r="AH14" s="52">
        <f t="shared" si="2"/>
        <v>16.3</v>
      </c>
      <c r="AI14" s="53">
        <f t="shared" si="3"/>
        <v>15.5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8.9990000000000006</v>
      </c>
      <c r="C15" s="50">
        <v>8.9990000000000006</v>
      </c>
      <c r="D15" s="50">
        <v>8.9990000000000006</v>
      </c>
      <c r="E15" s="50">
        <v>8.9990000000000006</v>
      </c>
      <c r="F15" s="50">
        <v>8.9990000000000006</v>
      </c>
      <c r="G15" s="50">
        <v>8.9990000000000006</v>
      </c>
      <c r="H15" s="50">
        <v>8.9990000000000006</v>
      </c>
      <c r="I15" s="50">
        <v>8.9990000000000006</v>
      </c>
      <c r="J15" s="50">
        <v>8.9990000000000006</v>
      </c>
      <c r="K15" s="50">
        <v>8.9990000000000006</v>
      </c>
      <c r="L15" s="50">
        <v>8.9990000000000006</v>
      </c>
      <c r="M15" s="50">
        <v>8.9990000000000006</v>
      </c>
      <c r="N15" s="50">
        <v>8.9990000000000006</v>
      </c>
      <c r="O15" s="50">
        <v>8.9990000000000006</v>
      </c>
      <c r="P15" s="50">
        <v>9.5</v>
      </c>
      <c r="Q15" s="50">
        <v>9.5</v>
      </c>
      <c r="R15" s="50">
        <v>9.5</v>
      </c>
      <c r="S15" s="50">
        <v>9.5</v>
      </c>
      <c r="T15" s="50">
        <v>9.5</v>
      </c>
      <c r="U15" s="50">
        <v>9.5</v>
      </c>
      <c r="V15" s="50">
        <v>9.5</v>
      </c>
      <c r="W15" s="50">
        <v>9.5</v>
      </c>
      <c r="X15" s="50">
        <v>9.5</v>
      </c>
      <c r="Y15" s="50">
        <v>9.5</v>
      </c>
      <c r="Z15" s="50">
        <v>10</v>
      </c>
      <c r="AA15" s="50">
        <v>10</v>
      </c>
      <c r="AB15" s="50">
        <v>10</v>
      </c>
      <c r="AC15" s="50">
        <v>10</v>
      </c>
      <c r="AD15" s="50">
        <v>10</v>
      </c>
      <c r="AE15" s="50">
        <v>10</v>
      </c>
      <c r="AF15" s="50">
        <v>10</v>
      </c>
      <c r="AG15" s="55">
        <v>42</v>
      </c>
      <c r="AH15" s="52">
        <f t="shared" si="2"/>
        <v>10</v>
      </c>
      <c r="AI15" s="53">
        <f t="shared" si="3"/>
        <v>8.9990000000000006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8.8000000000000007</v>
      </c>
      <c r="C18" s="50">
        <v>8.8000000000000007</v>
      </c>
      <c r="D18" s="50">
        <v>8.8000000000000007</v>
      </c>
      <c r="E18" s="50">
        <v>8.8000000000000007</v>
      </c>
      <c r="F18" s="50">
        <v>8.8000000000000007</v>
      </c>
      <c r="G18" s="50">
        <v>8.8000000000000007</v>
      </c>
      <c r="H18" s="50">
        <v>8.8000000000000007</v>
      </c>
      <c r="I18" s="50">
        <v>8.8000000000000007</v>
      </c>
      <c r="J18" s="50">
        <v>8.8000000000000007</v>
      </c>
      <c r="K18" s="50">
        <v>8.8000000000000007</v>
      </c>
      <c r="L18" s="50">
        <v>8.8000000000000007</v>
      </c>
      <c r="M18" s="50">
        <v>8.8000000000000007</v>
      </c>
      <c r="N18" s="50">
        <v>8.8000000000000007</v>
      </c>
      <c r="O18" s="50">
        <v>8.8000000000000007</v>
      </c>
      <c r="P18" s="50">
        <v>8.9</v>
      </c>
      <c r="Q18" s="50">
        <v>8.9</v>
      </c>
      <c r="R18" s="50">
        <v>8.9</v>
      </c>
      <c r="S18" s="50">
        <v>8.9</v>
      </c>
      <c r="T18" s="50">
        <v>8.9</v>
      </c>
      <c r="U18" s="50">
        <v>8.9</v>
      </c>
      <c r="V18" s="50">
        <v>8.9</v>
      </c>
      <c r="W18" s="50">
        <v>8.9</v>
      </c>
      <c r="X18" s="50">
        <v>8.9</v>
      </c>
      <c r="Y18" s="50">
        <v>8.9</v>
      </c>
      <c r="Z18" s="50">
        <v>9.6</v>
      </c>
      <c r="AA18" s="50">
        <v>9.6</v>
      </c>
      <c r="AB18" s="50">
        <v>9.6</v>
      </c>
      <c r="AC18" s="50">
        <v>9.6</v>
      </c>
      <c r="AD18" s="50">
        <v>9.6</v>
      </c>
      <c r="AE18" s="50">
        <v>9.6</v>
      </c>
      <c r="AF18" s="50">
        <v>9.6</v>
      </c>
      <c r="AG18" s="56">
        <v>30</v>
      </c>
      <c r="AH18" s="52">
        <f t="shared" si="2"/>
        <v>9.6</v>
      </c>
      <c r="AI18" s="53">
        <f t="shared" si="3"/>
        <v>8.8000000000000007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7.2</v>
      </c>
      <c r="AA19" s="50">
        <v>7.2</v>
      </c>
      <c r="AB19" s="50">
        <v>7.2</v>
      </c>
      <c r="AC19" s="50">
        <v>7.2</v>
      </c>
      <c r="AD19" s="50">
        <v>7.2</v>
      </c>
      <c r="AE19" s="50">
        <v>7.2</v>
      </c>
      <c r="AF19" s="50">
        <v>7.2</v>
      </c>
      <c r="AG19" s="55">
        <v>24.2</v>
      </c>
      <c r="AH19" s="52">
        <f t="shared" si="2"/>
        <v>7.2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9.1999999999999993</v>
      </c>
      <c r="C22" s="50">
        <v>9.1999999999999993</v>
      </c>
      <c r="D22" s="50">
        <v>9.1999999999999993</v>
      </c>
      <c r="E22" s="50">
        <v>9.1999999999999993</v>
      </c>
      <c r="F22" s="50">
        <v>9.1999999999999993</v>
      </c>
      <c r="G22" s="50">
        <v>9.1999999999999993</v>
      </c>
      <c r="H22" s="50">
        <v>9.1999999999999993</v>
      </c>
      <c r="I22" s="50">
        <v>9.1999999999999993</v>
      </c>
      <c r="J22" s="50">
        <v>9.1999999999999993</v>
      </c>
      <c r="K22" s="50">
        <v>9.1999999999999993</v>
      </c>
      <c r="L22" s="50">
        <v>9.1999999999999993</v>
      </c>
      <c r="M22" s="50">
        <v>9.1999999999999993</v>
      </c>
      <c r="N22" s="50">
        <v>9.1999999999999993</v>
      </c>
      <c r="O22" s="50">
        <v>9.1999999999999993</v>
      </c>
      <c r="P22" s="50">
        <v>6.4</v>
      </c>
      <c r="Q22" s="50">
        <v>6.4</v>
      </c>
      <c r="R22" s="50">
        <v>6.4</v>
      </c>
      <c r="S22" s="50">
        <v>6.4</v>
      </c>
      <c r="T22" s="50">
        <v>6.4</v>
      </c>
      <c r="U22" s="50">
        <v>6.4</v>
      </c>
      <c r="V22" s="50">
        <v>6.4</v>
      </c>
      <c r="W22" s="50">
        <v>6.4</v>
      </c>
      <c r="X22" s="50">
        <v>6.4</v>
      </c>
      <c r="Y22" s="50">
        <v>6.4</v>
      </c>
      <c r="Z22" s="50">
        <v>10.1</v>
      </c>
      <c r="AA22" s="50">
        <v>10.1</v>
      </c>
      <c r="AB22" s="50">
        <v>10.1</v>
      </c>
      <c r="AC22" s="50">
        <v>10.1</v>
      </c>
      <c r="AD22" s="50">
        <v>10.1</v>
      </c>
      <c r="AE22" s="50">
        <v>10.1</v>
      </c>
      <c r="AF22" s="50">
        <v>10.1</v>
      </c>
      <c r="AG22" s="55">
        <v>25</v>
      </c>
      <c r="AH22" s="52">
        <f t="shared" si="2"/>
        <v>10.1</v>
      </c>
      <c r="AI22" s="53">
        <f t="shared" si="3"/>
        <v>6.4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6.4</v>
      </c>
      <c r="C26" s="50">
        <v>6.4</v>
      </c>
      <c r="D26" s="50">
        <v>6.4</v>
      </c>
      <c r="E26" s="50">
        <v>6.4</v>
      </c>
      <c r="F26" s="50">
        <v>6.4</v>
      </c>
      <c r="G26" s="50">
        <v>6.4</v>
      </c>
      <c r="H26" s="50">
        <v>6.4</v>
      </c>
      <c r="I26" s="50">
        <v>6.4</v>
      </c>
      <c r="J26" s="50">
        <v>6.4</v>
      </c>
      <c r="K26" s="50">
        <v>6.4</v>
      </c>
      <c r="L26" s="50">
        <v>6.4</v>
      </c>
      <c r="M26" s="50">
        <v>6.4</v>
      </c>
      <c r="N26" s="50">
        <v>6.4</v>
      </c>
      <c r="O26" s="50">
        <v>6.4</v>
      </c>
      <c r="P26" s="50">
        <v>8.1999999999999993</v>
      </c>
      <c r="Q26" s="50">
        <v>8.1999999999999993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5.2</v>
      </c>
      <c r="AA26" s="50">
        <v>5.2</v>
      </c>
      <c r="AB26" s="50">
        <v>5.2</v>
      </c>
      <c r="AC26" s="50">
        <v>5.2</v>
      </c>
      <c r="AD26" s="50">
        <v>5.2</v>
      </c>
      <c r="AE26" s="50">
        <v>5.2</v>
      </c>
      <c r="AF26" s="50">
        <v>5.2</v>
      </c>
      <c r="AG26" s="55">
        <v>23.5</v>
      </c>
      <c r="AH26" s="52">
        <f t="shared" si="2"/>
        <v>8.1999999999999993</v>
      </c>
      <c r="AI26" s="53">
        <f t="shared" si="3"/>
        <v>0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9</v>
      </c>
      <c r="C30" s="50">
        <v>9</v>
      </c>
      <c r="D30" s="50">
        <v>9</v>
      </c>
      <c r="E30" s="50">
        <v>9</v>
      </c>
      <c r="F30" s="50">
        <v>9</v>
      </c>
      <c r="G30" s="50">
        <v>9</v>
      </c>
      <c r="H30" s="50">
        <v>9</v>
      </c>
      <c r="I30" s="50">
        <v>9</v>
      </c>
      <c r="J30" s="50">
        <v>9</v>
      </c>
      <c r="K30" s="50">
        <v>9</v>
      </c>
      <c r="L30" s="50">
        <v>9</v>
      </c>
      <c r="M30" s="50">
        <v>9</v>
      </c>
      <c r="N30" s="50">
        <v>9</v>
      </c>
      <c r="O30" s="50">
        <v>9</v>
      </c>
      <c r="P30" s="50">
        <v>8</v>
      </c>
      <c r="Q30" s="50">
        <v>8</v>
      </c>
      <c r="R30" s="50">
        <v>8</v>
      </c>
      <c r="S30" s="50">
        <v>8</v>
      </c>
      <c r="T30" s="50">
        <v>8</v>
      </c>
      <c r="U30" s="50">
        <v>8</v>
      </c>
      <c r="V30" s="50">
        <v>8</v>
      </c>
      <c r="W30" s="50">
        <v>8</v>
      </c>
      <c r="X30" s="50">
        <v>8</v>
      </c>
      <c r="Y30" s="50">
        <v>8</v>
      </c>
      <c r="Z30" s="50">
        <v>11.2</v>
      </c>
      <c r="AA30" s="50">
        <v>11.2</v>
      </c>
      <c r="AB30" s="50">
        <v>11.2</v>
      </c>
      <c r="AC30" s="50">
        <v>11.2</v>
      </c>
      <c r="AD30" s="50">
        <v>11.2</v>
      </c>
      <c r="AE30" s="50">
        <v>11.2</v>
      </c>
      <c r="AF30" s="50">
        <v>11.2</v>
      </c>
      <c r="AG30" s="55">
        <v>22</v>
      </c>
      <c r="AH30" s="52">
        <f t="shared" si="2"/>
        <v>11.2</v>
      </c>
      <c r="AI30" s="53">
        <f t="shared" si="3"/>
        <v>8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2.2000000000000002</v>
      </c>
      <c r="C36" s="50">
        <v>2.2000000000000002</v>
      </c>
      <c r="D36" s="50">
        <v>2.2000000000000002</v>
      </c>
      <c r="E36" s="50">
        <v>2.2000000000000002</v>
      </c>
      <c r="F36" s="50">
        <v>2.2000000000000002</v>
      </c>
      <c r="G36" s="50">
        <v>2.2000000000000002</v>
      </c>
      <c r="H36" s="50">
        <v>2.2000000000000002</v>
      </c>
      <c r="I36" s="50">
        <v>2.2000000000000002</v>
      </c>
      <c r="J36" s="50">
        <v>2.2000000000000002</v>
      </c>
      <c r="K36" s="50">
        <v>2.2000000000000002</v>
      </c>
      <c r="L36" s="50">
        <v>2.2000000000000002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2.2000000000000002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3.5</v>
      </c>
      <c r="C37" s="50">
        <v>3.5</v>
      </c>
      <c r="D37" s="50">
        <v>3.5</v>
      </c>
      <c r="E37" s="50">
        <v>3.5</v>
      </c>
      <c r="F37" s="50">
        <v>3.5</v>
      </c>
      <c r="G37" s="50">
        <v>3.5</v>
      </c>
      <c r="H37" s="50">
        <v>3.5</v>
      </c>
      <c r="I37" s="50">
        <v>3.5</v>
      </c>
      <c r="J37" s="50">
        <v>3.5</v>
      </c>
      <c r="K37" s="50">
        <v>3.5</v>
      </c>
      <c r="L37" s="50">
        <v>3.5</v>
      </c>
      <c r="M37" s="50">
        <v>3.5</v>
      </c>
      <c r="N37" s="50">
        <v>3.5</v>
      </c>
      <c r="O37" s="50">
        <v>3.5</v>
      </c>
      <c r="P37" s="50">
        <v>3.5</v>
      </c>
      <c r="Q37" s="50">
        <v>3.5</v>
      </c>
      <c r="R37" s="50">
        <v>3.5</v>
      </c>
      <c r="S37" s="50">
        <v>3.5</v>
      </c>
      <c r="T37" s="50">
        <v>3.5</v>
      </c>
      <c r="U37" s="50">
        <v>3.5</v>
      </c>
      <c r="V37" s="50">
        <v>3.5</v>
      </c>
      <c r="W37" s="50">
        <v>3.5</v>
      </c>
      <c r="X37" s="50">
        <v>3.5</v>
      </c>
      <c r="Y37" s="50">
        <v>3.5</v>
      </c>
      <c r="Z37" s="50">
        <v>3.5</v>
      </c>
      <c r="AA37" s="50">
        <v>3.5</v>
      </c>
      <c r="AB37" s="50">
        <v>3.5</v>
      </c>
      <c r="AC37" s="50">
        <v>3.5</v>
      </c>
      <c r="AD37" s="50">
        <v>3.5</v>
      </c>
      <c r="AE37" s="50">
        <v>3.5</v>
      </c>
      <c r="AF37" s="50">
        <v>3.5</v>
      </c>
      <c r="AG37" s="55">
        <v>12</v>
      </c>
      <c r="AH37" s="52">
        <f t="shared" si="2"/>
        <v>3.5</v>
      </c>
      <c r="AI37" s="53">
        <f t="shared" si="3"/>
        <v>3.5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6.7</v>
      </c>
      <c r="C38" s="50">
        <v>6.7</v>
      </c>
      <c r="D38" s="50">
        <v>6.7</v>
      </c>
      <c r="E38" s="50">
        <v>6.7</v>
      </c>
      <c r="F38" s="50">
        <v>6.7</v>
      </c>
      <c r="G38" s="50">
        <v>6.7</v>
      </c>
      <c r="H38" s="50">
        <v>6.7</v>
      </c>
      <c r="I38" s="50">
        <v>6.7</v>
      </c>
      <c r="J38" s="50">
        <v>6.7</v>
      </c>
      <c r="K38" s="50">
        <v>6.7</v>
      </c>
      <c r="L38" s="50">
        <v>6.7</v>
      </c>
      <c r="M38" s="50">
        <v>6.7</v>
      </c>
      <c r="N38" s="50">
        <v>6.7</v>
      </c>
      <c r="O38" s="50">
        <v>6.7</v>
      </c>
      <c r="P38" s="50">
        <v>6.7</v>
      </c>
      <c r="Q38" s="50">
        <v>6.7</v>
      </c>
      <c r="R38" s="50">
        <v>6.7</v>
      </c>
      <c r="S38" s="50">
        <v>6.7</v>
      </c>
      <c r="T38" s="50">
        <v>6.7</v>
      </c>
      <c r="U38" s="50">
        <v>6.7</v>
      </c>
      <c r="V38" s="50">
        <v>6.7</v>
      </c>
      <c r="W38" s="50">
        <v>6.7</v>
      </c>
      <c r="X38" s="50">
        <v>6.7</v>
      </c>
      <c r="Y38" s="50">
        <v>6.7</v>
      </c>
      <c r="Z38" s="50">
        <v>6.7</v>
      </c>
      <c r="AA38" s="50">
        <v>6.7</v>
      </c>
      <c r="AB38" s="50">
        <v>6.7</v>
      </c>
      <c r="AC38" s="50">
        <v>6.7</v>
      </c>
      <c r="AD38" s="50">
        <v>6.7</v>
      </c>
      <c r="AE38" s="50">
        <v>6.7</v>
      </c>
      <c r="AF38" s="50">
        <v>6.7</v>
      </c>
      <c r="AG38" s="55">
        <v>12</v>
      </c>
      <c r="AH38" s="52">
        <f t="shared" si="2"/>
        <v>6.7</v>
      </c>
      <c r="AI38" s="53">
        <f t="shared" si="3"/>
        <v>6.7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4</v>
      </c>
      <c r="N41" s="50">
        <v>4</v>
      </c>
      <c r="O41" s="50">
        <v>3.4</v>
      </c>
      <c r="P41" s="50">
        <v>3.4</v>
      </c>
      <c r="Q41" s="50">
        <v>3.4</v>
      </c>
      <c r="R41" s="50">
        <v>3.4</v>
      </c>
      <c r="S41" s="50">
        <v>3.4</v>
      </c>
      <c r="T41" s="50">
        <v>3.4</v>
      </c>
      <c r="U41" s="50">
        <v>3.4</v>
      </c>
      <c r="V41" s="50">
        <v>3.4</v>
      </c>
      <c r="W41" s="50">
        <v>3.4</v>
      </c>
      <c r="X41" s="50">
        <v>3.4</v>
      </c>
      <c r="Y41" s="50">
        <v>3.4</v>
      </c>
      <c r="Z41" s="50">
        <v>3.4</v>
      </c>
      <c r="AA41" s="50">
        <v>3.4</v>
      </c>
      <c r="AB41" s="50">
        <v>3.4</v>
      </c>
      <c r="AC41" s="50">
        <v>3.4</v>
      </c>
      <c r="AD41" s="50">
        <v>3.4</v>
      </c>
      <c r="AE41" s="50">
        <v>3.4</v>
      </c>
      <c r="AF41" s="50">
        <v>3.4</v>
      </c>
      <c r="AG41" s="56">
        <v>11.88</v>
      </c>
      <c r="AH41" s="52">
        <f t="shared" si="2"/>
        <v>4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0.5</v>
      </c>
      <c r="N45" s="50">
        <v>1</v>
      </c>
      <c r="O45" s="50">
        <v>1</v>
      </c>
      <c r="P45" s="50">
        <v>1</v>
      </c>
      <c r="Q45" s="50">
        <v>1</v>
      </c>
      <c r="R45" s="50">
        <v>1</v>
      </c>
      <c r="S45" s="50">
        <v>1</v>
      </c>
      <c r="T45" s="50">
        <v>1</v>
      </c>
      <c r="U45" s="50">
        <v>1</v>
      </c>
      <c r="V45" s="50">
        <v>1</v>
      </c>
      <c r="W45" s="50">
        <v>1</v>
      </c>
      <c r="X45" s="50">
        <v>1</v>
      </c>
      <c r="Y45" s="50">
        <v>1</v>
      </c>
      <c r="Z45" s="50">
        <v>1</v>
      </c>
      <c r="AA45" s="50">
        <v>1</v>
      </c>
      <c r="AB45" s="50">
        <v>1</v>
      </c>
      <c r="AC45" s="50">
        <v>1</v>
      </c>
      <c r="AD45" s="50">
        <v>1</v>
      </c>
      <c r="AE45" s="50">
        <v>1</v>
      </c>
      <c r="AF45" s="50">
        <v>1</v>
      </c>
      <c r="AG45" s="61">
        <v>10</v>
      </c>
      <c r="AH45" s="52">
        <f t="shared" si="2"/>
        <v>1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160</v>
      </c>
      <c r="C46" s="63">
        <v>160</v>
      </c>
      <c r="D46" s="63">
        <v>160</v>
      </c>
      <c r="E46" s="63">
        <v>160</v>
      </c>
      <c r="F46" s="63">
        <v>160</v>
      </c>
      <c r="G46" s="63">
        <v>160</v>
      </c>
      <c r="H46" s="63">
        <v>160</v>
      </c>
      <c r="I46" s="63">
        <v>160</v>
      </c>
      <c r="J46" s="63">
        <v>160</v>
      </c>
      <c r="K46" s="63">
        <v>160</v>
      </c>
      <c r="L46" s="63">
        <v>160</v>
      </c>
      <c r="M46" s="63">
        <v>160</v>
      </c>
      <c r="N46" s="63">
        <v>160</v>
      </c>
      <c r="O46" s="63">
        <v>160</v>
      </c>
      <c r="P46" s="63">
        <v>160</v>
      </c>
      <c r="Q46" s="63">
        <v>160</v>
      </c>
      <c r="R46" s="63">
        <v>160</v>
      </c>
      <c r="S46" s="63">
        <v>160</v>
      </c>
      <c r="T46" s="63">
        <v>160</v>
      </c>
      <c r="U46" s="63">
        <v>160</v>
      </c>
      <c r="V46" s="63">
        <v>160</v>
      </c>
      <c r="W46" s="63">
        <v>160</v>
      </c>
      <c r="X46" s="63">
        <v>160</v>
      </c>
      <c r="Y46" s="63">
        <v>160</v>
      </c>
      <c r="Z46" s="63">
        <v>160</v>
      </c>
      <c r="AA46" s="63">
        <v>160</v>
      </c>
      <c r="AB46" s="63">
        <v>160</v>
      </c>
      <c r="AC46" s="63">
        <v>160</v>
      </c>
      <c r="AD46" s="63">
        <v>160</v>
      </c>
      <c r="AE46" s="63">
        <v>160</v>
      </c>
      <c r="AF46" s="63">
        <v>160</v>
      </c>
      <c r="AG46" s="61">
        <v>85</v>
      </c>
      <c r="AH46" s="52">
        <f t="shared" si="2"/>
        <v>160</v>
      </c>
      <c r="AI46" s="53">
        <f t="shared" si="3"/>
        <v>160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397.899</v>
      </c>
      <c r="C48" s="67">
        <f t="shared" si="4"/>
        <v>397.899</v>
      </c>
      <c r="D48" s="67">
        <f t="shared" si="4"/>
        <v>397.899</v>
      </c>
      <c r="E48" s="67">
        <f t="shared" si="4"/>
        <v>397.899</v>
      </c>
      <c r="F48" s="67">
        <f t="shared" si="4"/>
        <v>396.49899999999997</v>
      </c>
      <c r="G48" s="67">
        <f t="shared" si="4"/>
        <v>399.49899999999997</v>
      </c>
      <c r="H48" s="67">
        <f t="shared" si="4"/>
        <v>399.49899999999997</v>
      </c>
      <c r="I48" s="67">
        <f t="shared" si="4"/>
        <v>400.69899999999996</v>
      </c>
      <c r="J48" s="67">
        <f t="shared" si="4"/>
        <v>400.49899999999997</v>
      </c>
      <c r="K48" s="67">
        <f t="shared" si="4"/>
        <v>400.49899999999997</v>
      </c>
      <c r="L48" s="67">
        <f t="shared" si="4"/>
        <v>400.49899999999997</v>
      </c>
      <c r="M48" s="67">
        <f t="shared" si="4"/>
        <v>405.69899999999996</v>
      </c>
      <c r="N48" s="67">
        <f t="shared" si="4"/>
        <v>406.19899999999996</v>
      </c>
      <c r="O48" s="67">
        <f t="shared" si="4"/>
        <v>405.59899999999999</v>
      </c>
      <c r="P48" s="67">
        <f t="shared" si="4"/>
        <v>401.5</v>
      </c>
      <c r="Q48" s="67">
        <f t="shared" si="4"/>
        <v>401.5</v>
      </c>
      <c r="R48" s="67">
        <f t="shared" si="4"/>
        <v>393.3</v>
      </c>
      <c r="S48" s="67">
        <f t="shared" si="4"/>
        <v>393.3</v>
      </c>
      <c r="T48" s="67">
        <f t="shared" si="4"/>
        <v>393.3</v>
      </c>
      <c r="U48" s="67">
        <f t="shared" si="4"/>
        <v>393.3</v>
      </c>
      <c r="V48" s="67">
        <f t="shared" si="4"/>
        <v>393.3</v>
      </c>
      <c r="W48" s="67">
        <f t="shared" si="4"/>
        <v>393.3</v>
      </c>
      <c r="X48" s="67">
        <f t="shared" si="4"/>
        <v>393.3</v>
      </c>
      <c r="Y48" s="67">
        <f t="shared" si="4"/>
        <v>393.3</v>
      </c>
      <c r="Z48" s="67">
        <f t="shared" ref="Z48" si="5">SUM(Z12:Z46)</f>
        <v>406.09999999999997</v>
      </c>
      <c r="AA48" s="67">
        <f t="shared" si="4"/>
        <v>406.09999999999997</v>
      </c>
      <c r="AB48" s="67">
        <f t="shared" ref="AB48" si="6">SUM(AB12:AB46)</f>
        <v>406.09999999999997</v>
      </c>
      <c r="AC48" s="67">
        <f t="shared" si="4"/>
        <v>406.09999999999997</v>
      </c>
      <c r="AD48" s="67">
        <f t="shared" si="4"/>
        <v>406.09999999999997</v>
      </c>
      <c r="AE48" s="67">
        <f t="shared" si="4"/>
        <v>406.09999999999997</v>
      </c>
      <c r="AF48" s="67">
        <f t="shared" si="4"/>
        <v>406.09999999999997</v>
      </c>
      <c r="AG48" s="68">
        <f t="shared" si="4"/>
        <v>875.68</v>
      </c>
      <c r="AH48" s="52">
        <f t="shared" si="2"/>
        <v>406.19899999999996</v>
      </c>
      <c r="AI48" s="53">
        <f t="shared" si="3"/>
        <v>393.3</v>
      </c>
      <c r="AK48" s="54"/>
    </row>
    <row r="49" spans="1:41" x14ac:dyDescent="0.25">
      <c r="A49" s="69" t="s">
        <v>53</v>
      </c>
      <c r="B49" s="50">
        <v>130</v>
      </c>
      <c r="C49" s="50">
        <v>40</v>
      </c>
      <c r="D49" s="50">
        <v>0</v>
      </c>
      <c r="E49" s="50">
        <v>0</v>
      </c>
      <c r="F49" s="50">
        <v>0</v>
      </c>
      <c r="G49" s="50">
        <v>0</v>
      </c>
      <c r="H49" s="50">
        <v>30</v>
      </c>
      <c r="I49" s="50">
        <v>30</v>
      </c>
      <c r="J49" s="50">
        <v>60</v>
      </c>
      <c r="K49" s="50">
        <v>80</v>
      </c>
      <c r="L49" s="50">
        <v>100</v>
      </c>
      <c r="M49" s="70">
        <v>100</v>
      </c>
      <c r="N49" s="70">
        <v>100</v>
      </c>
      <c r="O49" s="50">
        <v>90</v>
      </c>
      <c r="P49" s="50">
        <v>50</v>
      </c>
      <c r="Q49" s="50">
        <v>100</v>
      </c>
      <c r="R49" s="50">
        <v>70</v>
      </c>
      <c r="S49" s="50">
        <v>100</v>
      </c>
      <c r="T49" s="50">
        <v>80</v>
      </c>
      <c r="U49" s="50">
        <v>90</v>
      </c>
      <c r="V49" s="50">
        <v>45</v>
      </c>
      <c r="W49" s="50">
        <v>50</v>
      </c>
      <c r="X49" s="50">
        <v>50</v>
      </c>
      <c r="Y49" s="50">
        <v>90</v>
      </c>
      <c r="Z49" s="50">
        <v>200</v>
      </c>
      <c r="AA49" s="50">
        <v>200</v>
      </c>
      <c r="AB49" s="50">
        <v>120</v>
      </c>
      <c r="AC49" s="50">
        <v>100</v>
      </c>
      <c r="AD49" s="50">
        <v>80</v>
      </c>
      <c r="AE49" s="50">
        <v>75</v>
      </c>
      <c r="AF49" s="50">
        <v>75</v>
      </c>
      <c r="AG49" s="56">
        <v>456</v>
      </c>
      <c r="AH49" s="52">
        <f t="shared" si="2"/>
        <v>200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26</v>
      </c>
      <c r="C50" s="72">
        <v>26</v>
      </c>
      <c r="D50" s="72">
        <v>26</v>
      </c>
      <c r="E50" s="72">
        <v>26</v>
      </c>
      <c r="F50" s="72">
        <v>26</v>
      </c>
      <c r="G50" s="72">
        <v>26</v>
      </c>
      <c r="H50" s="72">
        <v>26</v>
      </c>
      <c r="I50" s="72">
        <v>26</v>
      </c>
      <c r="J50" s="72">
        <v>26</v>
      </c>
      <c r="K50" s="72">
        <v>26</v>
      </c>
      <c r="L50" s="72">
        <v>26</v>
      </c>
      <c r="M50" s="72">
        <v>26</v>
      </c>
      <c r="N50" s="72">
        <v>26</v>
      </c>
      <c r="O50" s="72">
        <v>26</v>
      </c>
      <c r="P50" s="72">
        <v>26.6</v>
      </c>
      <c r="Q50" s="72">
        <v>26.6</v>
      </c>
      <c r="R50" s="72">
        <v>26.6</v>
      </c>
      <c r="S50" s="72">
        <v>26</v>
      </c>
      <c r="T50" s="72">
        <v>26</v>
      </c>
      <c r="U50" s="72">
        <v>26</v>
      </c>
      <c r="V50" s="72">
        <v>26</v>
      </c>
      <c r="W50" s="72">
        <v>26</v>
      </c>
      <c r="X50" s="72">
        <v>26</v>
      </c>
      <c r="Y50" s="72">
        <v>26</v>
      </c>
      <c r="Z50" s="72">
        <v>26</v>
      </c>
      <c r="AA50" s="72">
        <v>26</v>
      </c>
      <c r="AB50" s="72">
        <v>26</v>
      </c>
      <c r="AC50" s="72">
        <v>26</v>
      </c>
      <c r="AD50" s="72">
        <v>26</v>
      </c>
      <c r="AE50" s="72">
        <v>26</v>
      </c>
      <c r="AF50" s="72">
        <v>26</v>
      </c>
      <c r="AG50" s="61">
        <v>60</v>
      </c>
      <c r="AH50" s="52">
        <f t="shared" si="2"/>
        <v>26.6</v>
      </c>
      <c r="AI50" s="53">
        <f t="shared" si="3"/>
        <v>26</v>
      </c>
      <c r="AK50" s="54"/>
    </row>
    <row r="51" spans="1:41" ht="15.75" thickBot="1" x14ac:dyDescent="0.3">
      <c r="A51" s="73" t="s">
        <v>55</v>
      </c>
      <c r="B51" s="74">
        <v>9.3000000000000007</v>
      </c>
      <c r="C51" s="74">
        <v>9.3000000000000007</v>
      </c>
      <c r="D51" s="74">
        <v>9.3000000000000007</v>
      </c>
      <c r="E51" s="74">
        <v>10.5</v>
      </c>
      <c r="F51" s="74">
        <v>10.5</v>
      </c>
      <c r="G51" s="74">
        <v>10.6</v>
      </c>
      <c r="H51" s="74">
        <v>10.6</v>
      </c>
      <c r="I51" s="74">
        <v>10.5</v>
      </c>
      <c r="J51" s="74">
        <v>10.6</v>
      </c>
      <c r="K51" s="74">
        <v>10.6</v>
      </c>
      <c r="L51" s="74">
        <v>10.6</v>
      </c>
      <c r="M51" s="74">
        <v>10.6</v>
      </c>
      <c r="N51" s="74">
        <v>10.6</v>
      </c>
      <c r="O51" s="74">
        <v>10.6</v>
      </c>
      <c r="P51" s="74">
        <v>10.6</v>
      </c>
      <c r="Q51" s="74">
        <v>10.6</v>
      </c>
      <c r="R51" s="74">
        <v>10.6</v>
      </c>
      <c r="S51" s="74">
        <v>10.5</v>
      </c>
      <c r="T51" s="74">
        <v>12.8</v>
      </c>
      <c r="U51" s="74">
        <v>12.8</v>
      </c>
      <c r="V51" s="74">
        <v>12.8</v>
      </c>
      <c r="W51" s="74">
        <v>12.8</v>
      </c>
      <c r="X51" s="74">
        <v>9.4</v>
      </c>
      <c r="Y51" s="74">
        <v>11.1</v>
      </c>
      <c r="Z51" s="74">
        <v>11.1</v>
      </c>
      <c r="AA51" s="74">
        <v>11.1</v>
      </c>
      <c r="AB51" s="74">
        <v>11.1</v>
      </c>
      <c r="AC51" s="74">
        <v>11.1</v>
      </c>
      <c r="AD51" s="74">
        <v>11.1</v>
      </c>
      <c r="AE51" s="74">
        <v>11.1</v>
      </c>
      <c r="AF51" s="74">
        <v>11.1</v>
      </c>
      <c r="AG51" s="75">
        <v>22.1</v>
      </c>
      <c r="AH51" s="52">
        <f t="shared" si="2"/>
        <v>12.8</v>
      </c>
      <c r="AI51" s="53">
        <f t="shared" si="3"/>
        <v>9.3000000000000007</v>
      </c>
      <c r="AK51" s="54"/>
    </row>
    <row r="52" spans="1:41" ht="15.75" thickBot="1" x14ac:dyDescent="0.3">
      <c r="A52" s="76" t="s">
        <v>56</v>
      </c>
      <c r="B52" s="67">
        <f t="shared" ref="B52:AG52" si="7">SUM(B49:B51)</f>
        <v>165.3</v>
      </c>
      <c r="C52" s="67">
        <f t="shared" si="7"/>
        <v>75.3</v>
      </c>
      <c r="D52" s="67">
        <f t="shared" si="7"/>
        <v>35.299999999999997</v>
      </c>
      <c r="E52" s="67">
        <f t="shared" si="7"/>
        <v>36.5</v>
      </c>
      <c r="F52" s="67">
        <f t="shared" si="7"/>
        <v>36.5</v>
      </c>
      <c r="G52" s="67">
        <f t="shared" si="7"/>
        <v>36.6</v>
      </c>
      <c r="H52" s="67">
        <f t="shared" si="7"/>
        <v>66.599999999999994</v>
      </c>
      <c r="I52" s="67">
        <f t="shared" si="7"/>
        <v>66.5</v>
      </c>
      <c r="J52" s="67">
        <f t="shared" si="7"/>
        <v>96.6</v>
      </c>
      <c r="K52" s="67">
        <f t="shared" si="7"/>
        <v>116.6</v>
      </c>
      <c r="L52" s="67">
        <f t="shared" si="7"/>
        <v>136.6</v>
      </c>
      <c r="M52" s="67">
        <f t="shared" si="7"/>
        <v>136.6</v>
      </c>
      <c r="N52" s="67">
        <f t="shared" si="7"/>
        <v>136.6</v>
      </c>
      <c r="O52" s="67">
        <f t="shared" si="7"/>
        <v>126.6</v>
      </c>
      <c r="P52" s="67">
        <f t="shared" si="7"/>
        <v>87.199999999999989</v>
      </c>
      <c r="Q52" s="67">
        <f t="shared" si="7"/>
        <v>137.19999999999999</v>
      </c>
      <c r="R52" s="67">
        <f t="shared" si="7"/>
        <v>107.19999999999999</v>
      </c>
      <c r="S52" s="67">
        <f t="shared" si="7"/>
        <v>136.5</v>
      </c>
      <c r="T52" s="67">
        <f t="shared" si="7"/>
        <v>118.8</v>
      </c>
      <c r="U52" s="67">
        <f t="shared" si="7"/>
        <v>128.80000000000001</v>
      </c>
      <c r="V52" s="67">
        <f t="shared" si="7"/>
        <v>83.8</v>
      </c>
      <c r="W52" s="67">
        <f t="shared" si="7"/>
        <v>88.8</v>
      </c>
      <c r="X52" s="67">
        <f t="shared" si="7"/>
        <v>85.4</v>
      </c>
      <c r="Y52" s="67">
        <f t="shared" si="7"/>
        <v>127.1</v>
      </c>
      <c r="Z52" s="67">
        <f t="shared" ref="Z52" si="8">SUM(Z49:Z51)</f>
        <v>237.1</v>
      </c>
      <c r="AA52" s="67">
        <f t="shared" si="7"/>
        <v>237.1</v>
      </c>
      <c r="AB52" s="67">
        <f t="shared" ref="AB52" si="9">SUM(AB49:AB51)</f>
        <v>157.1</v>
      </c>
      <c r="AC52" s="67">
        <f t="shared" si="7"/>
        <v>137.1</v>
      </c>
      <c r="AD52" s="67">
        <f t="shared" si="7"/>
        <v>117.1</v>
      </c>
      <c r="AE52" s="67">
        <f t="shared" si="7"/>
        <v>112.1</v>
      </c>
      <c r="AF52" s="67">
        <f t="shared" si="7"/>
        <v>112.1</v>
      </c>
      <c r="AG52" s="68">
        <f t="shared" si="7"/>
        <v>538.1</v>
      </c>
      <c r="AH52" s="52">
        <f t="shared" si="2"/>
        <v>237.1</v>
      </c>
      <c r="AI52" s="53">
        <f t="shared" si="3"/>
        <v>35.299999999999997</v>
      </c>
      <c r="AK52" s="54"/>
    </row>
    <row r="53" spans="1:41" x14ac:dyDescent="0.25">
      <c r="A53" s="49" t="s">
        <v>57</v>
      </c>
      <c r="B53" s="50">
        <v>94</v>
      </c>
      <c r="C53" s="50">
        <v>94</v>
      </c>
      <c r="D53" s="50">
        <v>60</v>
      </c>
      <c r="E53" s="50">
        <v>60</v>
      </c>
      <c r="F53" s="50">
        <v>0</v>
      </c>
      <c r="G53" s="50">
        <v>0</v>
      </c>
      <c r="H53" s="50">
        <v>0</v>
      </c>
      <c r="I53" s="50">
        <v>40.9</v>
      </c>
      <c r="J53" s="50">
        <v>60.9</v>
      </c>
      <c r="K53" s="50">
        <v>61.6</v>
      </c>
      <c r="L53" s="50">
        <v>61</v>
      </c>
      <c r="M53" s="50">
        <v>61.4</v>
      </c>
      <c r="N53" s="50">
        <v>61.4</v>
      </c>
      <c r="O53" s="50">
        <v>56.8</v>
      </c>
      <c r="P53" s="50">
        <v>71.3</v>
      </c>
      <c r="Q53" s="50">
        <v>91.4</v>
      </c>
      <c r="R53" s="50">
        <v>91.2</v>
      </c>
      <c r="S53" s="50">
        <v>91.6</v>
      </c>
      <c r="T53" s="50">
        <v>97.5</v>
      </c>
      <c r="U53" s="50">
        <v>97.6</v>
      </c>
      <c r="V53" s="50">
        <v>79</v>
      </c>
      <c r="W53" s="50">
        <v>71.400000000000006</v>
      </c>
      <c r="X53" s="50">
        <v>71.400000000000006</v>
      </c>
      <c r="Y53" s="50">
        <v>97.5</v>
      </c>
      <c r="Z53" s="50">
        <v>97.3</v>
      </c>
      <c r="AA53" s="50">
        <v>97.5</v>
      </c>
      <c r="AB53" s="50">
        <v>81.3</v>
      </c>
      <c r="AC53" s="50">
        <v>90</v>
      </c>
      <c r="AD53" s="50">
        <v>92</v>
      </c>
      <c r="AE53" s="50">
        <v>90</v>
      </c>
      <c r="AF53" s="50">
        <v>61</v>
      </c>
      <c r="AG53" s="56">
        <v>144</v>
      </c>
      <c r="AH53" s="52">
        <f t="shared" si="2"/>
        <v>97.6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25.5</v>
      </c>
      <c r="H54" s="72">
        <v>35</v>
      </c>
      <c r="I54" s="72">
        <v>45.6</v>
      </c>
      <c r="J54" s="72">
        <v>44.2</v>
      </c>
      <c r="K54" s="72">
        <v>45.5</v>
      </c>
      <c r="L54" s="72">
        <v>45</v>
      </c>
      <c r="M54" s="72">
        <v>47</v>
      </c>
      <c r="N54" s="72">
        <v>45.1</v>
      </c>
      <c r="O54" s="72">
        <v>44.4</v>
      </c>
      <c r="P54" s="72">
        <v>60.5</v>
      </c>
      <c r="Q54" s="72">
        <v>60</v>
      </c>
      <c r="R54" s="50">
        <v>70.900000000000006</v>
      </c>
      <c r="S54" s="50">
        <v>68.900000000000006</v>
      </c>
      <c r="T54" s="50">
        <v>49.1</v>
      </c>
      <c r="U54" s="50">
        <v>45.4</v>
      </c>
      <c r="V54" s="50">
        <v>34.700000000000003</v>
      </c>
      <c r="W54" s="50">
        <v>34.799999999999997</v>
      </c>
      <c r="X54" s="50">
        <v>20.3</v>
      </c>
      <c r="Y54" s="50">
        <v>20.2</v>
      </c>
      <c r="Z54" s="50">
        <v>34.9</v>
      </c>
      <c r="AA54" s="50">
        <v>34.5</v>
      </c>
      <c r="AB54" s="50">
        <v>21.9</v>
      </c>
      <c r="AC54" s="72">
        <v>21.7</v>
      </c>
      <c r="AD54" s="72">
        <v>21.7</v>
      </c>
      <c r="AE54" s="72">
        <v>21.7</v>
      </c>
      <c r="AF54" s="72">
        <v>21.7</v>
      </c>
      <c r="AG54" s="61">
        <v>70</v>
      </c>
      <c r="AH54" s="52">
        <f t="shared" si="2"/>
        <v>70.900000000000006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0</v>
      </c>
      <c r="C55" s="72">
        <v>0</v>
      </c>
      <c r="D55" s="72">
        <v>0</v>
      </c>
      <c r="E55" s="72">
        <v>0</v>
      </c>
      <c r="F55" s="72">
        <v>0</v>
      </c>
      <c r="G55" s="72">
        <v>16.600000000000001</v>
      </c>
      <c r="H55" s="72">
        <v>46</v>
      </c>
      <c r="I55" s="72">
        <v>32.5</v>
      </c>
      <c r="J55" s="72">
        <v>32.1</v>
      </c>
      <c r="K55" s="72">
        <v>45</v>
      </c>
      <c r="L55" s="72">
        <v>33</v>
      </c>
      <c r="M55" s="72">
        <v>45.3</v>
      </c>
      <c r="N55" s="72">
        <v>45.3</v>
      </c>
      <c r="O55" s="72">
        <v>33.9</v>
      </c>
      <c r="P55" s="72">
        <v>38</v>
      </c>
      <c r="Q55" s="72">
        <v>21.9</v>
      </c>
      <c r="R55" s="50">
        <v>21.9</v>
      </c>
      <c r="S55" s="50">
        <v>39.4</v>
      </c>
      <c r="T55" s="50">
        <v>45.9</v>
      </c>
      <c r="U55" s="50">
        <v>53.6</v>
      </c>
      <c r="V55" s="50">
        <v>53.5</v>
      </c>
      <c r="W55" s="50">
        <v>70.8</v>
      </c>
      <c r="X55" s="50">
        <v>49.9</v>
      </c>
      <c r="Y55" s="50">
        <v>69.599999999999994</v>
      </c>
      <c r="Z55" s="50">
        <v>69.400000000000006</v>
      </c>
      <c r="AA55" s="50">
        <v>69.400000000000006</v>
      </c>
      <c r="AB55" s="50">
        <v>50.9</v>
      </c>
      <c r="AC55" s="72">
        <v>70</v>
      </c>
      <c r="AD55" s="72">
        <v>70</v>
      </c>
      <c r="AE55" s="72">
        <v>70</v>
      </c>
      <c r="AF55" s="72">
        <v>70</v>
      </c>
      <c r="AG55" s="61">
        <v>69</v>
      </c>
      <c r="AH55" s="52">
        <f t="shared" si="2"/>
        <v>70.8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35.299999999999997</v>
      </c>
      <c r="C56" s="72">
        <v>35.299999999999997</v>
      </c>
      <c r="D56" s="72">
        <v>35.299999999999997</v>
      </c>
      <c r="E56" s="72">
        <v>35.299999999999997</v>
      </c>
      <c r="F56" s="72">
        <v>35.299999999999997</v>
      </c>
      <c r="G56" s="63">
        <v>35.6</v>
      </c>
      <c r="H56" s="63">
        <v>35.6</v>
      </c>
      <c r="I56" s="63">
        <v>38</v>
      </c>
      <c r="J56" s="63">
        <v>38</v>
      </c>
      <c r="K56" s="63">
        <v>37</v>
      </c>
      <c r="L56" s="63">
        <v>37</v>
      </c>
      <c r="M56" s="72">
        <v>37</v>
      </c>
      <c r="N56" s="72">
        <v>37</v>
      </c>
      <c r="O56" s="72">
        <v>37</v>
      </c>
      <c r="P56" s="72">
        <v>27.7</v>
      </c>
      <c r="Q56" s="72">
        <v>39.299999999999997</v>
      </c>
      <c r="R56" s="50">
        <v>35.299999999999997</v>
      </c>
      <c r="S56" s="50">
        <v>35.1</v>
      </c>
      <c r="T56" s="50">
        <v>35.299999999999997</v>
      </c>
      <c r="U56" s="50">
        <v>35.299999999999997</v>
      </c>
      <c r="V56" s="50">
        <v>41.8</v>
      </c>
      <c r="W56" s="50">
        <v>41.8</v>
      </c>
      <c r="X56" s="50">
        <v>39.5</v>
      </c>
      <c r="Y56" s="50">
        <v>38.5</v>
      </c>
      <c r="Z56" s="50">
        <v>35.200000000000003</v>
      </c>
      <c r="AA56" s="50">
        <v>35.200000000000003</v>
      </c>
      <c r="AB56" s="50">
        <v>32.5</v>
      </c>
      <c r="AC56" s="50">
        <v>32.5</v>
      </c>
      <c r="AD56" s="50">
        <v>32.5</v>
      </c>
      <c r="AE56" s="50">
        <v>32.5</v>
      </c>
      <c r="AF56" s="50">
        <v>32.5</v>
      </c>
      <c r="AG56" s="61">
        <v>60</v>
      </c>
      <c r="AH56" s="52">
        <f t="shared" si="2"/>
        <v>41.8</v>
      </c>
      <c r="AI56" s="53">
        <f t="shared" si="3"/>
        <v>27.7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63">
        <v>0</v>
      </c>
      <c r="H57" s="63">
        <v>0</v>
      </c>
      <c r="I57" s="63">
        <v>10</v>
      </c>
      <c r="J57" s="63">
        <v>15</v>
      </c>
      <c r="K57" s="63">
        <v>25</v>
      </c>
      <c r="L57" s="63">
        <v>25</v>
      </c>
      <c r="M57" s="72">
        <v>15</v>
      </c>
      <c r="N57" s="72">
        <v>10</v>
      </c>
      <c r="O57" s="72">
        <v>10</v>
      </c>
      <c r="P57" s="72">
        <v>15</v>
      </c>
      <c r="Q57" s="72">
        <v>8.9</v>
      </c>
      <c r="R57" s="50">
        <v>0</v>
      </c>
      <c r="S57" s="50">
        <v>0</v>
      </c>
      <c r="T57" s="50">
        <v>0</v>
      </c>
      <c r="U57" s="50">
        <v>0</v>
      </c>
      <c r="V57" s="50">
        <v>10</v>
      </c>
      <c r="W57" s="50">
        <v>10</v>
      </c>
      <c r="X57" s="50">
        <v>10</v>
      </c>
      <c r="Y57" s="50">
        <v>10</v>
      </c>
      <c r="Z57" s="50">
        <v>30</v>
      </c>
      <c r="AA57" s="50">
        <v>30</v>
      </c>
      <c r="AB57" s="50">
        <v>30</v>
      </c>
      <c r="AC57" s="50">
        <v>30</v>
      </c>
      <c r="AD57" s="50">
        <v>15</v>
      </c>
      <c r="AE57" s="50">
        <v>10</v>
      </c>
      <c r="AF57" s="50">
        <v>0</v>
      </c>
      <c r="AG57" s="61">
        <v>30</v>
      </c>
      <c r="AH57" s="52">
        <f t="shared" si="2"/>
        <v>30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72">
        <v>4</v>
      </c>
      <c r="N58" s="72">
        <v>8</v>
      </c>
      <c r="O58" s="72">
        <v>4</v>
      </c>
      <c r="P58" s="72">
        <v>16.399999999999999</v>
      </c>
      <c r="Q58" s="72">
        <v>17</v>
      </c>
      <c r="R58" s="50">
        <v>16.899999999999999</v>
      </c>
      <c r="S58" s="50">
        <v>16.899999999999999</v>
      </c>
      <c r="T58" s="50">
        <v>16.899999999999999</v>
      </c>
      <c r="U58" s="50">
        <v>16.899999999999999</v>
      </c>
      <c r="V58" s="50">
        <v>16.899999999999999</v>
      </c>
      <c r="W58" s="50">
        <v>1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17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14</v>
      </c>
      <c r="C59" s="72">
        <v>14</v>
      </c>
      <c r="D59" s="72">
        <v>14</v>
      </c>
      <c r="E59" s="72">
        <v>14</v>
      </c>
      <c r="F59" s="72">
        <v>14</v>
      </c>
      <c r="G59" s="72">
        <v>14</v>
      </c>
      <c r="H59" s="72">
        <v>14</v>
      </c>
      <c r="I59" s="72">
        <v>14</v>
      </c>
      <c r="J59" s="72">
        <v>14</v>
      </c>
      <c r="K59" s="72">
        <v>14</v>
      </c>
      <c r="L59" s="72">
        <v>14</v>
      </c>
      <c r="M59" s="72">
        <v>14</v>
      </c>
      <c r="N59" s="72">
        <v>14</v>
      </c>
      <c r="O59" s="72">
        <v>14</v>
      </c>
      <c r="P59" s="72">
        <v>14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14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11.7</v>
      </c>
      <c r="C61" s="72">
        <v>11.7</v>
      </c>
      <c r="D61" s="72">
        <v>11.7</v>
      </c>
      <c r="E61" s="72">
        <v>11.7</v>
      </c>
      <c r="F61" s="72">
        <v>11.7</v>
      </c>
      <c r="G61" s="72">
        <v>7.8</v>
      </c>
      <c r="H61" s="72">
        <v>7.8</v>
      </c>
      <c r="I61" s="72">
        <v>7.4</v>
      </c>
      <c r="J61" s="72">
        <v>7.4</v>
      </c>
      <c r="K61" s="72">
        <v>7.4</v>
      </c>
      <c r="L61" s="72">
        <v>7.4</v>
      </c>
      <c r="M61" s="72">
        <v>7.4</v>
      </c>
      <c r="N61" s="72">
        <v>7.4</v>
      </c>
      <c r="O61" s="72">
        <v>7.4</v>
      </c>
      <c r="P61" s="72">
        <v>11.5</v>
      </c>
      <c r="Q61" s="72">
        <v>11.5</v>
      </c>
      <c r="R61" s="72">
        <v>11.5</v>
      </c>
      <c r="S61" s="72">
        <v>11.5</v>
      </c>
      <c r="T61" s="72">
        <v>11.5</v>
      </c>
      <c r="U61" s="72">
        <v>11.5</v>
      </c>
      <c r="V61" s="72">
        <v>11.5</v>
      </c>
      <c r="W61" s="72">
        <v>11.5</v>
      </c>
      <c r="X61" s="72">
        <v>11.5</v>
      </c>
      <c r="Y61" s="72">
        <v>11.5</v>
      </c>
      <c r="Z61" s="72">
        <v>11.5</v>
      </c>
      <c r="AA61" s="72">
        <v>11.5</v>
      </c>
      <c r="AB61" s="72">
        <v>11.5</v>
      </c>
      <c r="AC61" s="72">
        <v>11.5</v>
      </c>
      <c r="AD61" s="72">
        <v>11.5</v>
      </c>
      <c r="AE61" s="72">
        <v>11.5</v>
      </c>
      <c r="AF61" s="72">
        <v>11.5</v>
      </c>
      <c r="AG61" s="61">
        <v>14.1</v>
      </c>
      <c r="AH61" s="52">
        <f t="shared" si="2"/>
        <v>11.7</v>
      </c>
      <c r="AI61" s="53">
        <f t="shared" si="3"/>
        <v>7.4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4.4000000000000004</v>
      </c>
      <c r="C62" s="72">
        <v>4.4000000000000004</v>
      </c>
      <c r="D62" s="72">
        <v>4.4000000000000004</v>
      </c>
      <c r="E62" s="72">
        <v>4.4000000000000004</v>
      </c>
      <c r="F62" s="72">
        <v>4.4000000000000004</v>
      </c>
      <c r="G62" s="72">
        <v>4.4000000000000004</v>
      </c>
      <c r="H62" s="72">
        <v>4.4000000000000004</v>
      </c>
      <c r="I62" s="72">
        <v>4.4000000000000004</v>
      </c>
      <c r="J62" s="72">
        <v>4.4000000000000004</v>
      </c>
      <c r="K62" s="72">
        <v>4.4000000000000004</v>
      </c>
      <c r="L62" s="72">
        <v>4.4000000000000004</v>
      </c>
      <c r="M62" s="72">
        <v>4.4000000000000004</v>
      </c>
      <c r="N62" s="72">
        <v>4.4000000000000004</v>
      </c>
      <c r="O62" s="72">
        <v>4.4000000000000004</v>
      </c>
      <c r="P62" s="72">
        <v>3.7</v>
      </c>
      <c r="Q62" s="72">
        <v>3.6</v>
      </c>
      <c r="R62" s="72">
        <v>3.6</v>
      </c>
      <c r="S62" s="72">
        <v>3.6</v>
      </c>
      <c r="T62" s="72">
        <v>3.6</v>
      </c>
      <c r="U62" s="72">
        <v>3.6</v>
      </c>
      <c r="V62" s="72">
        <v>3.6</v>
      </c>
      <c r="W62" s="72">
        <v>3.6</v>
      </c>
      <c r="X62" s="72">
        <v>3.6</v>
      </c>
      <c r="Y62" s="72">
        <v>3.6</v>
      </c>
      <c r="Z62" s="72">
        <v>3.6</v>
      </c>
      <c r="AA62" s="72">
        <v>3.6</v>
      </c>
      <c r="AB62" s="72">
        <v>3.6</v>
      </c>
      <c r="AC62" s="72">
        <v>3.6</v>
      </c>
      <c r="AD62" s="72">
        <v>3.6</v>
      </c>
      <c r="AE62" s="72">
        <v>3.6</v>
      </c>
      <c r="AF62" s="72">
        <v>3.6</v>
      </c>
      <c r="AG62" s="61">
        <v>14</v>
      </c>
      <c r="AH62" s="52">
        <f t="shared" si="2"/>
        <v>4.4000000000000004</v>
      </c>
      <c r="AI62" s="53">
        <f t="shared" si="3"/>
        <v>3.6</v>
      </c>
      <c r="AK62" s="54"/>
    </row>
    <row r="63" spans="1:41" x14ac:dyDescent="0.25">
      <c r="A63" s="60" t="s">
        <v>67</v>
      </c>
      <c r="B63" s="72">
        <v>4</v>
      </c>
      <c r="C63" s="72">
        <v>4</v>
      </c>
      <c r="D63" s="72">
        <v>4</v>
      </c>
      <c r="E63" s="72">
        <v>4</v>
      </c>
      <c r="F63" s="72">
        <v>4</v>
      </c>
      <c r="G63" s="72">
        <v>4</v>
      </c>
      <c r="H63" s="72">
        <v>4</v>
      </c>
      <c r="I63" s="72">
        <v>4</v>
      </c>
      <c r="J63" s="72">
        <v>4</v>
      </c>
      <c r="K63" s="72">
        <v>4</v>
      </c>
      <c r="L63" s="72">
        <v>4</v>
      </c>
      <c r="M63" s="72">
        <v>4</v>
      </c>
      <c r="N63" s="72">
        <v>4</v>
      </c>
      <c r="O63" s="72">
        <v>4</v>
      </c>
      <c r="P63" s="72">
        <v>4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4</v>
      </c>
      <c r="AI63" s="53">
        <f t="shared" si="3"/>
        <v>3</v>
      </c>
      <c r="AK63" s="54"/>
    </row>
    <row r="64" spans="1:41" x14ac:dyDescent="0.25">
      <c r="A64" s="60" t="s">
        <v>68</v>
      </c>
      <c r="B64" s="72">
        <v>2.5</v>
      </c>
      <c r="C64" s="72">
        <v>2.5</v>
      </c>
      <c r="D64" s="72">
        <v>2.5</v>
      </c>
      <c r="E64" s="72">
        <v>2.5</v>
      </c>
      <c r="F64" s="72">
        <v>2.5</v>
      </c>
      <c r="G64" s="72">
        <v>2.5</v>
      </c>
      <c r="H64" s="72">
        <v>2.5</v>
      </c>
      <c r="I64" s="72">
        <v>2.5</v>
      </c>
      <c r="J64" s="72">
        <v>2.5</v>
      </c>
      <c r="K64" s="72">
        <v>2.6</v>
      </c>
      <c r="L64" s="72">
        <v>2.6</v>
      </c>
      <c r="M64" s="72">
        <v>2.6</v>
      </c>
      <c r="N64" s="72">
        <v>2.6</v>
      </c>
      <c r="O64" s="72">
        <v>2.6</v>
      </c>
      <c r="P64" s="72">
        <v>2.6</v>
      </c>
      <c r="Q64" s="72">
        <v>2.2999999999999998</v>
      </c>
      <c r="R64" s="72">
        <v>2.2999999999999998</v>
      </c>
      <c r="S64" s="72">
        <v>2.2999999999999998</v>
      </c>
      <c r="T64" s="72">
        <v>2.2999999999999998</v>
      </c>
      <c r="U64" s="72">
        <v>2.2999999999999998</v>
      </c>
      <c r="V64" s="72">
        <v>2.2999999999999998</v>
      </c>
      <c r="W64" s="72">
        <v>2.2999999999999998</v>
      </c>
      <c r="X64" s="72">
        <v>2.2999999999999998</v>
      </c>
      <c r="Y64" s="72">
        <v>2.2999999999999998</v>
      </c>
      <c r="Z64" s="72">
        <v>2.2999999999999998</v>
      </c>
      <c r="AA64" s="72">
        <v>2.2999999999999998</v>
      </c>
      <c r="AB64" s="72">
        <v>2.2999999999999998</v>
      </c>
      <c r="AC64" s="72">
        <v>2.2999999999999998</v>
      </c>
      <c r="AD64" s="72">
        <v>2.2999999999999998</v>
      </c>
      <c r="AE64" s="72">
        <v>2.2999999999999998</v>
      </c>
      <c r="AF64" s="72">
        <v>2.2999999999999998</v>
      </c>
      <c r="AG64" s="61">
        <v>6.2</v>
      </c>
      <c r="AH64" s="52">
        <f t="shared" si="2"/>
        <v>2.6</v>
      </c>
      <c r="AI64" s="53">
        <f t="shared" si="3"/>
        <v>2.2999999999999998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10">SUM(B53:B65)</f>
        <v>169.44</v>
      </c>
      <c r="C66" s="67">
        <f t="shared" si="10"/>
        <v>169.44</v>
      </c>
      <c r="D66" s="67">
        <f t="shared" si="10"/>
        <v>135.44</v>
      </c>
      <c r="E66" s="67">
        <f t="shared" si="10"/>
        <v>135.44</v>
      </c>
      <c r="F66" s="67">
        <f t="shared" si="10"/>
        <v>75.440000000000012</v>
      </c>
      <c r="G66" s="67">
        <f t="shared" si="10"/>
        <v>113.94000000000001</v>
      </c>
      <c r="H66" s="67">
        <f t="shared" si="10"/>
        <v>152.84</v>
      </c>
      <c r="I66" s="67">
        <f t="shared" si="10"/>
        <v>202.84</v>
      </c>
      <c r="J66" s="67">
        <f t="shared" si="10"/>
        <v>226.04</v>
      </c>
      <c r="K66" s="67">
        <f t="shared" si="10"/>
        <v>250.04</v>
      </c>
      <c r="L66" s="67">
        <f t="shared" si="10"/>
        <v>236.94</v>
      </c>
      <c r="M66" s="67">
        <f t="shared" si="10"/>
        <v>245.64</v>
      </c>
      <c r="N66" s="67">
        <f t="shared" si="10"/>
        <v>242.74</v>
      </c>
      <c r="O66" s="67">
        <f t="shared" si="10"/>
        <v>222.04</v>
      </c>
      <c r="P66" s="67">
        <f t="shared" si="10"/>
        <v>268.24000000000007</v>
      </c>
      <c r="Q66" s="67">
        <f t="shared" si="10"/>
        <v>276.44000000000005</v>
      </c>
      <c r="R66" s="67">
        <f t="shared" si="10"/>
        <v>274.1400000000001</v>
      </c>
      <c r="S66" s="67">
        <f t="shared" si="10"/>
        <v>289.84000000000003</v>
      </c>
      <c r="T66" s="67">
        <f t="shared" si="10"/>
        <v>282.6400000000001</v>
      </c>
      <c r="U66" s="67">
        <f t="shared" si="10"/>
        <v>286.74</v>
      </c>
      <c r="V66" s="67">
        <f t="shared" si="10"/>
        <v>273.84000000000003</v>
      </c>
      <c r="W66" s="67">
        <f t="shared" si="10"/>
        <v>267.74000000000007</v>
      </c>
      <c r="X66" s="67">
        <f t="shared" si="10"/>
        <v>229.04</v>
      </c>
      <c r="Y66" s="67">
        <f t="shared" si="10"/>
        <v>273.74000000000007</v>
      </c>
      <c r="Z66" s="67">
        <f t="shared" ref="Z66" si="11">SUM(Z53:Z65)</f>
        <v>305.74000000000007</v>
      </c>
      <c r="AA66" s="67">
        <f t="shared" si="10"/>
        <v>305.54000000000008</v>
      </c>
      <c r="AB66" s="67">
        <f t="shared" ref="AB66" si="12">SUM(AB53:AB65)</f>
        <v>255.54</v>
      </c>
      <c r="AC66" s="67">
        <f t="shared" si="10"/>
        <v>283.14000000000004</v>
      </c>
      <c r="AD66" s="67">
        <f t="shared" si="10"/>
        <v>270.14000000000004</v>
      </c>
      <c r="AE66" s="67">
        <f t="shared" si="10"/>
        <v>263.14</v>
      </c>
      <c r="AF66" s="67">
        <f t="shared" si="10"/>
        <v>224.14</v>
      </c>
      <c r="AG66" s="68">
        <f t="shared" si="10"/>
        <v>489.91</v>
      </c>
      <c r="AH66" s="52">
        <f t="shared" si="2"/>
        <v>305.74000000000007</v>
      </c>
      <c r="AI66" s="53">
        <f t="shared" si="3"/>
        <v>75.440000000000012</v>
      </c>
      <c r="AK66" s="54"/>
    </row>
    <row r="67" spans="1:40" x14ac:dyDescent="0.25">
      <c r="A67" s="49" t="s">
        <v>71</v>
      </c>
      <c r="B67" s="50">
        <v>58</v>
      </c>
      <c r="C67" s="50">
        <v>58</v>
      </c>
      <c r="D67" s="50">
        <v>58</v>
      </c>
      <c r="E67" s="50">
        <v>58</v>
      </c>
      <c r="F67" s="50">
        <v>58</v>
      </c>
      <c r="G67" s="50">
        <v>60</v>
      </c>
      <c r="H67" s="50">
        <v>60</v>
      </c>
      <c r="I67" s="50">
        <v>60</v>
      </c>
      <c r="J67" s="50">
        <v>60</v>
      </c>
      <c r="K67" s="50">
        <v>40</v>
      </c>
      <c r="L67" s="50">
        <v>60</v>
      </c>
      <c r="M67" s="50">
        <v>40</v>
      </c>
      <c r="N67" s="50">
        <v>40</v>
      </c>
      <c r="O67" s="50">
        <v>50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45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72</v>
      </c>
      <c r="B68" s="72">
        <v>28</v>
      </c>
      <c r="C68" s="72">
        <v>28</v>
      </c>
      <c r="D68" s="72">
        <v>28</v>
      </c>
      <c r="E68" s="72">
        <v>28</v>
      </c>
      <c r="F68" s="72">
        <v>28</v>
      </c>
      <c r="G68" s="72">
        <v>28.1</v>
      </c>
      <c r="H68" s="72">
        <v>28.1</v>
      </c>
      <c r="I68" s="72">
        <v>28.1</v>
      </c>
      <c r="J68" s="72">
        <v>28.1</v>
      </c>
      <c r="K68" s="72">
        <v>17.7</v>
      </c>
      <c r="L68" s="72">
        <v>16.7</v>
      </c>
      <c r="M68" s="72">
        <v>16.100000000000001</v>
      </c>
      <c r="N68" s="72">
        <v>15.8</v>
      </c>
      <c r="O68" s="72">
        <v>21.4</v>
      </c>
      <c r="P68" s="72">
        <v>27.7</v>
      </c>
      <c r="Q68" s="50">
        <v>28.2</v>
      </c>
      <c r="R68" s="50">
        <v>28.1</v>
      </c>
      <c r="S68" s="50">
        <v>28.1</v>
      </c>
      <c r="T68" s="72">
        <v>28.1</v>
      </c>
      <c r="U68" s="72">
        <v>28.1</v>
      </c>
      <c r="V68" s="72">
        <v>20.399999999999999</v>
      </c>
      <c r="W68" s="72">
        <v>14.5</v>
      </c>
      <c r="X68" s="72">
        <v>18.5</v>
      </c>
      <c r="Y68" s="72">
        <v>28.5</v>
      </c>
      <c r="Z68" s="72">
        <v>28</v>
      </c>
      <c r="AA68" s="72">
        <v>28</v>
      </c>
      <c r="AB68" s="72">
        <v>28</v>
      </c>
      <c r="AC68" s="72">
        <v>28</v>
      </c>
      <c r="AD68" s="72">
        <v>28</v>
      </c>
      <c r="AE68" s="72">
        <v>28</v>
      </c>
      <c r="AF68" s="72">
        <v>28</v>
      </c>
      <c r="AG68" s="61">
        <v>32</v>
      </c>
      <c r="AH68" s="52">
        <f t="shared" si="2"/>
        <v>28.5</v>
      </c>
      <c r="AI68" s="53">
        <f t="shared" si="3"/>
        <v>14.5</v>
      </c>
      <c r="AK68" s="54"/>
    </row>
    <row r="69" spans="1:40" ht="15.75" thickBot="1" x14ac:dyDescent="0.3">
      <c r="A69" s="78" t="s">
        <v>73</v>
      </c>
      <c r="B69" s="74">
        <v>10.3</v>
      </c>
      <c r="C69" s="74">
        <v>10.3</v>
      </c>
      <c r="D69" s="74">
        <v>10.3</v>
      </c>
      <c r="E69" s="74">
        <v>10.3</v>
      </c>
      <c r="F69" s="74">
        <v>10.3</v>
      </c>
      <c r="G69" s="74">
        <v>10.199999999999999</v>
      </c>
      <c r="H69" s="74">
        <v>10.199999999999999</v>
      </c>
      <c r="I69" s="74">
        <v>10.199999999999999</v>
      </c>
      <c r="J69" s="74">
        <v>10.199999999999999</v>
      </c>
      <c r="K69" s="74">
        <v>6.5</v>
      </c>
      <c r="L69" s="74">
        <v>6.1</v>
      </c>
      <c r="M69" s="74">
        <v>6.1</v>
      </c>
      <c r="N69" s="74">
        <v>5.7</v>
      </c>
      <c r="O69" s="74">
        <v>7.8</v>
      </c>
      <c r="P69" s="74">
        <v>10.1</v>
      </c>
      <c r="Q69" s="50">
        <v>10.3</v>
      </c>
      <c r="R69" s="50">
        <v>10.3</v>
      </c>
      <c r="S69" s="50">
        <v>10.3</v>
      </c>
      <c r="T69" s="74">
        <v>10.3</v>
      </c>
      <c r="U69" s="74">
        <v>10.3</v>
      </c>
      <c r="V69" s="74">
        <v>7.5</v>
      </c>
      <c r="W69" s="74">
        <v>5.3</v>
      </c>
      <c r="X69" s="74">
        <v>6.8</v>
      </c>
      <c r="Y69" s="74">
        <v>10.5</v>
      </c>
      <c r="Z69" s="74">
        <v>10.199999999999999</v>
      </c>
      <c r="AA69" s="74">
        <v>10.199999999999999</v>
      </c>
      <c r="AB69" s="74">
        <v>10.199999999999999</v>
      </c>
      <c r="AC69" s="74">
        <v>10.199999999999999</v>
      </c>
      <c r="AD69" s="74">
        <v>10.199999999999999</v>
      </c>
      <c r="AE69" s="74">
        <v>10.199999999999999</v>
      </c>
      <c r="AF69" s="74">
        <v>10.199999999999999</v>
      </c>
      <c r="AG69" s="75">
        <v>14</v>
      </c>
      <c r="AH69" s="52">
        <f t="shared" si="2"/>
        <v>10.5</v>
      </c>
      <c r="AI69" s="53">
        <f t="shared" si="3"/>
        <v>5.3</v>
      </c>
      <c r="AK69" s="54"/>
    </row>
    <row r="70" spans="1:40" ht="15.75" thickBot="1" x14ac:dyDescent="0.3">
      <c r="A70" s="81" t="s">
        <v>74</v>
      </c>
      <c r="B70" s="67">
        <f t="shared" ref="B70" si="13">B67+B68+B69</f>
        <v>96.3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82.8</v>
      </c>
      <c r="M70" s="67">
        <f t="shared" ref="M70:AF70" si="14">M67+M68+M69</f>
        <v>62.2</v>
      </c>
      <c r="N70" s="67">
        <f t="shared" si="14"/>
        <v>61.5</v>
      </c>
      <c r="O70" s="67">
        <f t="shared" si="14"/>
        <v>79.2</v>
      </c>
      <c r="P70" s="67">
        <f t="shared" si="14"/>
        <v>97.8</v>
      </c>
      <c r="Q70" s="67">
        <f t="shared" si="14"/>
        <v>98.5</v>
      </c>
      <c r="R70" s="67">
        <f t="shared" si="14"/>
        <v>98.399999999999991</v>
      </c>
      <c r="S70" s="67">
        <f t="shared" si="14"/>
        <v>98.399999999999991</v>
      </c>
      <c r="T70" s="67">
        <f t="shared" si="14"/>
        <v>98.399999999999991</v>
      </c>
      <c r="U70" s="67">
        <f t="shared" si="14"/>
        <v>98.399999999999991</v>
      </c>
      <c r="V70" s="67">
        <f t="shared" si="14"/>
        <v>87.9</v>
      </c>
      <c r="W70" s="67">
        <f t="shared" si="14"/>
        <v>64.8</v>
      </c>
      <c r="X70" s="67">
        <f t="shared" si="14"/>
        <v>85.3</v>
      </c>
      <c r="Y70" s="67">
        <f t="shared" si="14"/>
        <v>99</v>
      </c>
      <c r="Z70" s="67">
        <f t="shared" ref="Z70" si="15">SUM(Z67:Z69)</f>
        <v>98.2</v>
      </c>
      <c r="AA70" s="67">
        <f t="shared" si="14"/>
        <v>98.2</v>
      </c>
      <c r="AB70" s="67">
        <f t="shared" ref="AB70" si="16">AB67+AB68+AB69</f>
        <v>98.2</v>
      </c>
      <c r="AC70" s="67">
        <f t="shared" si="14"/>
        <v>98.2</v>
      </c>
      <c r="AD70" s="67">
        <f t="shared" si="14"/>
        <v>98.2</v>
      </c>
      <c r="AE70" s="67">
        <f t="shared" si="14"/>
        <v>98.2</v>
      </c>
      <c r="AF70" s="67">
        <f t="shared" si="14"/>
        <v>98.2</v>
      </c>
      <c r="AG70" s="68">
        <f>SUM(AG67:AG69)</f>
        <v>106</v>
      </c>
      <c r="AH70" s="52">
        <f t="shared" si="2"/>
        <v>99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60</v>
      </c>
      <c r="C71" s="50">
        <v>50</v>
      </c>
      <c r="D71" s="50">
        <v>65</v>
      </c>
      <c r="E71" s="50">
        <v>55.9</v>
      </c>
      <c r="F71" s="50">
        <v>60.6</v>
      </c>
      <c r="G71" s="50">
        <v>58</v>
      </c>
      <c r="H71" s="50">
        <v>62</v>
      </c>
      <c r="I71" s="50">
        <v>65</v>
      </c>
      <c r="J71" s="50">
        <v>62.99</v>
      </c>
      <c r="K71" s="50">
        <v>62</v>
      </c>
      <c r="L71" s="50">
        <v>46</v>
      </c>
      <c r="M71" s="50">
        <v>48.8</v>
      </c>
      <c r="N71" s="50">
        <v>58.9</v>
      </c>
      <c r="O71" s="50">
        <v>64</v>
      </c>
      <c r="P71" s="50">
        <v>66.3</v>
      </c>
      <c r="Q71" s="50">
        <v>55.6</v>
      </c>
      <c r="R71" s="50">
        <v>59.3</v>
      </c>
      <c r="S71" s="50">
        <v>61.1</v>
      </c>
      <c r="T71" s="50">
        <v>67.7</v>
      </c>
      <c r="U71" s="50">
        <v>72.099999999999994</v>
      </c>
      <c r="V71" s="50">
        <v>57.9</v>
      </c>
      <c r="W71" s="50">
        <v>54.9</v>
      </c>
      <c r="X71" s="50">
        <v>44.3</v>
      </c>
      <c r="Y71" s="50">
        <v>42.1</v>
      </c>
      <c r="Z71" s="50">
        <v>65</v>
      </c>
      <c r="AA71" s="50">
        <v>63.3</v>
      </c>
      <c r="AB71" s="50">
        <v>63.3</v>
      </c>
      <c r="AC71" s="50">
        <v>61</v>
      </c>
      <c r="AD71" s="50">
        <v>68</v>
      </c>
      <c r="AE71" s="50">
        <v>69</v>
      </c>
      <c r="AF71" s="50">
        <v>70</v>
      </c>
      <c r="AG71" s="56"/>
      <c r="AH71" s="52">
        <f t="shared" si="2"/>
        <v>72.099999999999994</v>
      </c>
      <c r="AI71" s="53">
        <f t="shared" si="3"/>
        <v>42.1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300</v>
      </c>
      <c r="C73" s="72">
        <v>289</v>
      </c>
      <c r="D73" s="72">
        <v>343</v>
      </c>
      <c r="E73" s="72">
        <v>321</v>
      </c>
      <c r="F73" s="72">
        <v>345</v>
      </c>
      <c r="G73" s="72">
        <v>336</v>
      </c>
      <c r="H73" s="72">
        <v>321</v>
      </c>
      <c r="I73" s="72">
        <v>312</v>
      </c>
      <c r="J73" s="72">
        <v>326</v>
      </c>
      <c r="K73" s="72">
        <v>319</v>
      </c>
      <c r="L73" s="72">
        <v>351</v>
      </c>
      <c r="M73" s="72">
        <v>355</v>
      </c>
      <c r="N73" s="72">
        <v>369.8</v>
      </c>
      <c r="O73" s="72">
        <v>380</v>
      </c>
      <c r="P73" s="72">
        <v>398.2</v>
      </c>
      <c r="Q73" s="72">
        <v>417.9</v>
      </c>
      <c r="R73" s="72">
        <v>402.8</v>
      </c>
      <c r="S73" s="72">
        <v>391.4</v>
      </c>
      <c r="T73" s="72">
        <v>410</v>
      </c>
      <c r="U73" s="72">
        <v>416.4</v>
      </c>
      <c r="V73" s="72">
        <v>374.6</v>
      </c>
      <c r="W73" s="72">
        <v>359.6</v>
      </c>
      <c r="X73" s="72">
        <v>355</v>
      </c>
      <c r="Y73" s="72">
        <v>345</v>
      </c>
      <c r="Z73" s="72">
        <v>305</v>
      </c>
      <c r="AA73" s="72">
        <v>282</v>
      </c>
      <c r="AB73" s="72">
        <v>320</v>
      </c>
      <c r="AC73" s="72">
        <v>323</v>
      </c>
      <c r="AD73" s="72">
        <v>340</v>
      </c>
      <c r="AE73" s="72">
        <v>338</v>
      </c>
      <c r="AF73" s="72">
        <v>350</v>
      </c>
      <c r="AG73" s="82"/>
      <c r="AH73" s="52">
        <f t="shared" si="2"/>
        <v>417.9</v>
      </c>
      <c r="AI73" s="53">
        <f t="shared" si="3"/>
        <v>282</v>
      </c>
      <c r="AK73" s="54"/>
    </row>
    <row r="74" spans="1:40" x14ac:dyDescent="0.25">
      <c r="A74" s="60" t="s">
        <v>78</v>
      </c>
      <c r="B74" s="72">
        <v>53.7</v>
      </c>
      <c r="C74" s="72">
        <v>53.7</v>
      </c>
      <c r="D74" s="72">
        <v>53.7</v>
      </c>
      <c r="E74" s="72">
        <v>50.8</v>
      </c>
      <c r="F74" s="83">
        <v>52.8</v>
      </c>
      <c r="G74" s="83">
        <v>52.3</v>
      </c>
      <c r="H74" s="83">
        <v>54.5</v>
      </c>
      <c r="I74" s="83">
        <v>53.2</v>
      </c>
      <c r="J74" s="83">
        <v>53.2</v>
      </c>
      <c r="K74" s="83">
        <v>52.2</v>
      </c>
      <c r="L74" s="83">
        <v>49</v>
      </c>
      <c r="M74" s="83">
        <v>48</v>
      </c>
      <c r="N74" s="83">
        <v>55.2</v>
      </c>
      <c r="O74" s="83">
        <v>54.8</v>
      </c>
      <c r="P74" s="83">
        <v>60.1</v>
      </c>
      <c r="Q74" s="83">
        <v>58</v>
      </c>
      <c r="R74" s="83">
        <v>57</v>
      </c>
      <c r="S74" s="83">
        <v>56</v>
      </c>
      <c r="T74" s="83">
        <v>57.6</v>
      </c>
      <c r="U74" s="83">
        <v>54.5</v>
      </c>
      <c r="V74" s="83">
        <v>56.3</v>
      </c>
      <c r="W74" s="83">
        <v>57.6</v>
      </c>
      <c r="X74" s="83">
        <v>57.6</v>
      </c>
      <c r="Y74" s="72">
        <v>57.6</v>
      </c>
      <c r="Z74" s="72">
        <v>58.3</v>
      </c>
      <c r="AA74" s="72">
        <v>58.7</v>
      </c>
      <c r="AB74" s="72">
        <v>58.7</v>
      </c>
      <c r="AC74" s="72">
        <v>62</v>
      </c>
      <c r="AD74" s="72">
        <v>62</v>
      </c>
      <c r="AE74" s="72">
        <v>58</v>
      </c>
      <c r="AF74" s="72">
        <v>57</v>
      </c>
      <c r="AG74" s="82"/>
      <c r="AH74" s="52">
        <f t="shared" si="2"/>
        <v>62</v>
      </c>
      <c r="AI74" s="53">
        <f t="shared" si="3"/>
        <v>48</v>
      </c>
      <c r="AK74" s="54"/>
    </row>
    <row r="75" spans="1:40" x14ac:dyDescent="0.25">
      <c r="A75" s="60" t="s">
        <v>79</v>
      </c>
      <c r="B75" s="50">
        <v>20</v>
      </c>
      <c r="C75" s="50">
        <v>20</v>
      </c>
      <c r="D75" s="50">
        <v>20</v>
      </c>
      <c r="E75" s="50">
        <v>23.1</v>
      </c>
      <c r="F75" s="50">
        <v>22.7</v>
      </c>
      <c r="G75" s="50">
        <v>19.600000000000001</v>
      </c>
      <c r="H75" s="50">
        <v>18.600000000000001</v>
      </c>
      <c r="I75" s="50">
        <v>19.3</v>
      </c>
      <c r="J75" s="50">
        <v>20.8</v>
      </c>
      <c r="K75" s="50">
        <v>51.6</v>
      </c>
      <c r="L75" s="50">
        <v>24.9</v>
      </c>
      <c r="M75" s="50">
        <v>25.8</v>
      </c>
      <c r="N75" s="50">
        <v>30.7</v>
      </c>
      <c r="O75" s="50">
        <v>31.4</v>
      </c>
      <c r="P75" s="50">
        <v>33.4</v>
      </c>
      <c r="Q75" s="50">
        <v>31.6</v>
      </c>
      <c r="R75" s="50">
        <v>25.6</v>
      </c>
      <c r="S75" s="50">
        <v>28</v>
      </c>
      <c r="T75" s="50">
        <v>29</v>
      </c>
      <c r="U75" s="50">
        <v>25.6</v>
      </c>
      <c r="V75" s="50">
        <v>28</v>
      </c>
      <c r="W75" s="50">
        <v>26.1</v>
      </c>
      <c r="X75" s="50">
        <v>26.1</v>
      </c>
      <c r="Y75" s="50">
        <v>25.8</v>
      </c>
      <c r="Z75" s="50">
        <v>24.6</v>
      </c>
      <c r="AA75" s="50">
        <v>24.6</v>
      </c>
      <c r="AB75" s="50">
        <v>25.3</v>
      </c>
      <c r="AC75" s="50">
        <v>24</v>
      </c>
      <c r="AD75" s="50">
        <v>24</v>
      </c>
      <c r="AE75" s="50">
        <v>25</v>
      </c>
      <c r="AF75" s="50">
        <v>29</v>
      </c>
      <c r="AG75" s="82"/>
      <c r="AH75" s="52">
        <f t="shared" ref="AH75:AH117" si="17">MAX(B75:AF75)</f>
        <v>51.6</v>
      </c>
      <c r="AI75" s="53">
        <f t="shared" ref="AI75:AI117" si="18">MIN(B75:AF75)</f>
        <v>18.600000000000001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>
        <v>0</v>
      </c>
      <c r="T76" s="84">
        <v>0</v>
      </c>
      <c r="U76" s="84">
        <v>0</v>
      </c>
      <c r="V76" s="84">
        <v>0</v>
      </c>
      <c r="W76" s="84">
        <v>0</v>
      </c>
      <c r="X76" s="84">
        <v>0</v>
      </c>
      <c r="Y76" s="84">
        <v>0</v>
      </c>
      <c r="Z76" s="84">
        <v>0</v>
      </c>
      <c r="AA76" s="84">
        <v>0</v>
      </c>
      <c r="AB76" s="84">
        <v>0</v>
      </c>
      <c r="AC76" s="84">
        <v>0</v>
      </c>
      <c r="AD76" s="84">
        <v>0</v>
      </c>
      <c r="AE76" s="84">
        <v>0</v>
      </c>
      <c r="AF76" s="84">
        <v>0</v>
      </c>
      <c r="AG76" s="82"/>
      <c r="AH76" s="52">
        <f t="shared" si="17"/>
        <v>0</v>
      </c>
      <c r="AI76" s="53">
        <f t="shared" si="18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7"/>
        <v>0</v>
      </c>
      <c r="AI77" s="53">
        <f t="shared" si="18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7"/>
        <v>0</v>
      </c>
      <c r="AI78" s="53">
        <f t="shared" si="18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7"/>
        <v>0</v>
      </c>
      <c r="AI79" s="53">
        <f t="shared" si="18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7"/>
        <v>0</v>
      </c>
      <c r="AI80" s="53">
        <f t="shared" si="18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7"/>
        <v>0</v>
      </c>
      <c r="AI81" s="53">
        <f t="shared" si="18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9">SUMIF(B71:B81,"&gt;0")</f>
        <v>433.7</v>
      </c>
      <c r="C82" s="67">
        <f t="shared" si="19"/>
        <v>412.7</v>
      </c>
      <c r="D82" s="67">
        <f t="shared" si="19"/>
        <v>481.7</v>
      </c>
      <c r="E82" s="67">
        <f t="shared" si="19"/>
        <v>450.8</v>
      </c>
      <c r="F82" s="67">
        <f t="shared" si="19"/>
        <v>481.1</v>
      </c>
      <c r="G82" s="67">
        <f t="shared" si="19"/>
        <v>465.90000000000003</v>
      </c>
      <c r="H82" s="67">
        <f t="shared" si="19"/>
        <v>456.1</v>
      </c>
      <c r="I82" s="67">
        <f t="shared" si="19"/>
        <v>449.5</v>
      </c>
      <c r="J82" s="67">
        <f t="shared" si="19"/>
        <v>462.99</v>
      </c>
      <c r="K82" s="67">
        <f t="shared" si="19"/>
        <v>484.8</v>
      </c>
      <c r="L82" s="67">
        <f t="shared" si="19"/>
        <v>470.9</v>
      </c>
      <c r="M82" s="67">
        <f t="shared" si="19"/>
        <v>477.6</v>
      </c>
      <c r="N82" s="67">
        <f t="shared" si="19"/>
        <v>514.6</v>
      </c>
      <c r="O82" s="67">
        <f t="shared" si="19"/>
        <v>530.20000000000005</v>
      </c>
      <c r="P82" s="67">
        <f t="shared" si="19"/>
        <v>558</v>
      </c>
      <c r="Q82" s="67">
        <f t="shared" si="19"/>
        <v>563.1</v>
      </c>
      <c r="R82" s="67">
        <f t="shared" si="19"/>
        <v>544.70000000000005</v>
      </c>
      <c r="S82" s="67">
        <f t="shared" si="19"/>
        <v>536.5</v>
      </c>
      <c r="T82" s="67">
        <f t="shared" si="19"/>
        <v>564.29999999999995</v>
      </c>
      <c r="U82" s="67">
        <f t="shared" si="19"/>
        <v>568.6</v>
      </c>
      <c r="V82" s="67">
        <f t="shared" si="19"/>
        <v>516.79999999999995</v>
      </c>
      <c r="W82" s="67">
        <f t="shared" si="19"/>
        <v>498.20000000000005</v>
      </c>
      <c r="X82" s="67">
        <f t="shared" si="19"/>
        <v>483.00000000000006</v>
      </c>
      <c r="Y82" s="67">
        <f t="shared" si="19"/>
        <v>470.50000000000006</v>
      </c>
      <c r="Z82" s="67">
        <f t="shared" si="19"/>
        <v>452.90000000000003</v>
      </c>
      <c r="AA82" s="67">
        <f t="shared" si="19"/>
        <v>428.6</v>
      </c>
      <c r="AB82" s="67">
        <f t="shared" ref="AB82" si="20">SUMIF(AB71:AB81,"&gt;0")</f>
        <v>467.3</v>
      </c>
      <c r="AC82" s="67">
        <f t="shared" si="19"/>
        <v>470</v>
      </c>
      <c r="AD82" s="67">
        <f t="shared" si="19"/>
        <v>494</v>
      </c>
      <c r="AE82" s="67">
        <f t="shared" si="19"/>
        <v>490</v>
      </c>
      <c r="AF82" s="67">
        <f t="shared" si="19"/>
        <v>506</v>
      </c>
      <c r="AG82" s="95">
        <f>SUM(AG71:AG81)</f>
        <v>0</v>
      </c>
      <c r="AH82" s="52">
        <f t="shared" si="17"/>
        <v>568.6</v>
      </c>
      <c r="AI82" s="53">
        <f t="shared" si="18"/>
        <v>412.7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7"/>
        <v>0</v>
      </c>
      <c r="AI83" s="53">
        <f t="shared" si="18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5.85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7"/>
        <v>5.85</v>
      </c>
      <c r="AI84" s="53">
        <f t="shared" si="18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7"/>
        <v>0</v>
      </c>
      <c r="AI85" s="53">
        <f t="shared" si="18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>
        <f>SUM(Z83:Z85)</f>
        <v>5.85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7"/>
        <v>5.85</v>
      </c>
      <c r="AI86" s="53">
        <f t="shared" si="18"/>
        <v>5.85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21">B48+B52+B70+B66+B82+B86</f>
        <v>1262.6390000000001</v>
      </c>
      <c r="C87" s="102">
        <f t="shared" si="21"/>
        <v>1055.3389999999999</v>
      </c>
      <c r="D87" s="102">
        <f t="shared" si="21"/>
        <v>1050.3389999999999</v>
      </c>
      <c r="E87" s="102">
        <f t="shared" si="21"/>
        <v>1020.6389999999999</v>
      </c>
      <c r="F87" s="102">
        <f t="shared" si="21"/>
        <v>989.53899999999999</v>
      </c>
      <c r="G87" s="102">
        <f t="shared" si="21"/>
        <v>1015.9390000000001</v>
      </c>
      <c r="H87" s="102">
        <f t="shared" si="21"/>
        <v>1075.039</v>
      </c>
      <c r="I87" s="102">
        <f t="shared" si="21"/>
        <v>1119.539</v>
      </c>
      <c r="J87" s="102">
        <f t="shared" si="21"/>
        <v>1186.1289999999999</v>
      </c>
      <c r="K87" s="102">
        <f t="shared" si="21"/>
        <v>1251.9389999999999</v>
      </c>
      <c r="L87" s="102">
        <f t="shared" si="21"/>
        <v>1327.739</v>
      </c>
      <c r="M87" s="102">
        <f t="shared" si="21"/>
        <v>1327.739</v>
      </c>
      <c r="N87" s="102">
        <f t="shared" si="21"/>
        <v>1361.6390000000001</v>
      </c>
      <c r="O87" s="102">
        <f t="shared" si="21"/>
        <v>1363.6390000000001</v>
      </c>
      <c r="P87" s="102">
        <f t="shared" si="21"/>
        <v>1412.74</v>
      </c>
      <c r="Q87" s="102">
        <f t="shared" si="21"/>
        <v>1476.7400000000002</v>
      </c>
      <c r="R87" s="102">
        <f t="shared" si="21"/>
        <v>1417.7400000000002</v>
      </c>
      <c r="S87" s="102">
        <f t="shared" si="21"/>
        <v>1454.54</v>
      </c>
      <c r="T87" s="102">
        <f t="shared" si="21"/>
        <v>1457.44</v>
      </c>
      <c r="U87" s="102">
        <f t="shared" si="21"/>
        <v>1475.8400000000001</v>
      </c>
      <c r="V87" s="102">
        <f t="shared" si="21"/>
        <v>1355.6399999999999</v>
      </c>
      <c r="W87" s="102">
        <f t="shared" si="21"/>
        <v>1312.8400000000001</v>
      </c>
      <c r="X87" s="102">
        <f t="shared" si="21"/>
        <v>1276.04</v>
      </c>
      <c r="Y87" s="102">
        <f t="shared" si="21"/>
        <v>1363.64</v>
      </c>
      <c r="Z87" s="102">
        <f t="shared" ref="Z87" si="22">SUM(Z48,Z52,Z66,Z70,Z82,Z86)</f>
        <v>1505.89</v>
      </c>
      <c r="AA87" s="102">
        <f t="shared" si="21"/>
        <v>1475.54</v>
      </c>
      <c r="AB87" s="102">
        <f t="shared" ref="AB87" si="23">AB48+AB52+AB70+AB66+AB82+AB86</f>
        <v>1384.24</v>
      </c>
      <c r="AC87" s="102">
        <f t="shared" si="21"/>
        <v>1394.54</v>
      </c>
      <c r="AD87" s="102">
        <f t="shared" si="21"/>
        <v>1385.54</v>
      </c>
      <c r="AE87" s="102">
        <f t="shared" si="21"/>
        <v>1369.54</v>
      </c>
      <c r="AF87" s="102">
        <f t="shared" si="21"/>
        <v>1346.54</v>
      </c>
      <c r="AG87" s="68">
        <f t="shared" si="21"/>
        <v>2065.09</v>
      </c>
      <c r="AH87" s="52">
        <f>MAX(B87:AF87)</f>
        <v>1505.89</v>
      </c>
      <c r="AI87" s="53">
        <f>MIN(B87:AF87)</f>
        <v>989.53899999999999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>
        <v>75</v>
      </c>
      <c r="N88" s="104">
        <v>70</v>
      </c>
      <c r="O88" s="104">
        <v>70</v>
      </c>
      <c r="P88" s="104"/>
      <c r="Q88" s="104"/>
      <c r="R88" s="104"/>
      <c r="S88" s="104"/>
      <c r="T88" s="104"/>
      <c r="U88" s="104"/>
      <c r="V88" s="104"/>
      <c r="W88" s="104"/>
      <c r="X88" s="104">
        <v>180</v>
      </c>
      <c r="Y88" s="104">
        <v>180</v>
      </c>
      <c r="Z88" s="104">
        <v>200</v>
      </c>
      <c r="AA88" s="104">
        <v>200</v>
      </c>
      <c r="AB88" s="104">
        <v>170</v>
      </c>
      <c r="AC88" s="104">
        <v>150</v>
      </c>
      <c r="AD88" s="104">
        <v>100</v>
      </c>
      <c r="AE88" s="104">
        <v>0</v>
      </c>
      <c r="AF88" s="104">
        <v>0</v>
      </c>
      <c r="AG88" s="95"/>
      <c r="AH88" s="52">
        <f t="shared" si="17"/>
        <v>200</v>
      </c>
      <c r="AI88" s="53">
        <f t="shared" si="18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24">B87+B88</f>
        <v>1262.6390000000001</v>
      </c>
      <c r="C89" s="102">
        <f t="shared" si="24"/>
        <v>1055.3389999999999</v>
      </c>
      <c r="D89" s="102">
        <f t="shared" si="24"/>
        <v>1050.3389999999999</v>
      </c>
      <c r="E89" s="102">
        <f t="shared" si="24"/>
        <v>1020.6389999999999</v>
      </c>
      <c r="F89" s="102">
        <f t="shared" si="24"/>
        <v>989.53899999999999</v>
      </c>
      <c r="G89" s="102">
        <f t="shared" si="24"/>
        <v>1015.9390000000001</v>
      </c>
      <c r="H89" s="102">
        <f t="shared" si="24"/>
        <v>1075.039</v>
      </c>
      <c r="I89" s="102">
        <f t="shared" si="24"/>
        <v>1119.539</v>
      </c>
      <c r="J89" s="102">
        <f t="shared" si="24"/>
        <v>1186.1289999999999</v>
      </c>
      <c r="K89" s="102">
        <f t="shared" si="24"/>
        <v>1251.9389999999999</v>
      </c>
      <c r="L89" s="102">
        <f t="shared" si="24"/>
        <v>1327.739</v>
      </c>
      <c r="M89" s="102">
        <f t="shared" si="24"/>
        <v>1402.739</v>
      </c>
      <c r="N89" s="102">
        <f t="shared" si="24"/>
        <v>1431.6390000000001</v>
      </c>
      <c r="O89" s="102">
        <f t="shared" si="24"/>
        <v>1433.6390000000001</v>
      </c>
      <c r="P89" s="102">
        <f t="shared" si="24"/>
        <v>1412.74</v>
      </c>
      <c r="Q89" s="102">
        <f t="shared" si="24"/>
        <v>1476.7400000000002</v>
      </c>
      <c r="R89" s="102">
        <f t="shared" si="24"/>
        <v>1417.7400000000002</v>
      </c>
      <c r="S89" s="102">
        <f t="shared" si="24"/>
        <v>1454.54</v>
      </c>
      <c r="T89" s="102">
        <f t="shared" si="24"/>
        <v>1457.44</v>
      </c>
      <c r="U89" s="102">
        <f t="shared" si="24"/>
        <v>1475.8400000000001</v>
      </c>
      <c r="V89" s="102">
        <f t="shared" si="24"/>
        <v>1355.6399999999999</v>
      </c>
      <c r="W89" s="102">
        <f t="shared" si="24"/>
        <v>1312.8400000000001</v>
      </c>
      <c r="X89" s="102">
        <f t="shared" si="24"/>
        <v>1456.04</v>
      </c>
      <c r="Y89" s="102">
        <f t="shared" si="24"/>
        <v>1543.64</v>
      </c>
      <c r="Z89" s="102">
        <f t="shared" ref="Z89" si="25">SUM(Z87+Z88)</f>
        <v>1705.89</v>
      </c>
      <c r="AA89" s="102">
        <f t="shared" si="24"/>
        <v>1675.54</v>
      </c>
      <c r="AB89" s="102">
        <f t="shared" si="24"/>
        <v>1554.24</v>
      </c>
      <c r="AC89" s="102">
        <f t="shared" si="24"/>
        <v>1544.54</v>
      </c>
      <c r="AD89" s="102">
        <f t="shared" si="24"/>
        <v>1485.54</v>
      </c>
      <c r="AE89" s="102">
        <f t="shared" si="24"/>
        <v>1369.54</v>
      </c>
      <c r="AF89" s="102">
        <f t="shared" si="24"/>
        <v>1346.54</v>
      </c>
      <c r="AG89" s="95">
        <f>AG86+AG82+AG70+AG66+AG48+AG88</f>
        <v>1526.99</v>
      </c>
      <c r="AH89" s="52">
        <f t="shared" si="17"/>
        <v>1705.89</v>
      </c>
      <c r="AI89" s="53">
        <f t="shared" si="18"/>
        <v>989.53899999999999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26">B89-B97</f>
        <v>1262.6390000000001</v>
      </c>
      <c r="C90" s="102">
        <f t="shared" si="26"/>
        <v>1055.3389999999999</v>
      </c>
      <c r="D90" s="102">
        <f t="shared" si="26"/>
        <v>1050.3389999999999</v>
      </c>
      <c r="E90" s="102">
        <f t="shared" si="26"/>
        <v>1020.6389999999999</v>
      </c>
      <c r="F90" s="102">
        <f t="shared" si="26"/>
        <v>989.53899999999999</v>
      </c>
      <c r="G90" s="102">
        <f t="shared" si="26"/>
        <v>1015.9390000000001</v>
      </c>
      <c r="H90" s="102">
        <f t="shared" si="26"/>
        <v>1075.039</v>
      </c>
      <c r="I90" s="102">
        <f t="shared" si="26"/>
        <v>1119.539</v>
      </c>
      <c r="J90" s="102">
        <f t="shared" si="26"/>
        <v>1186.1289999999999</v>
      </c>
      <c r="K90" s="102">
        <f t="shared" si="26"/>
        <v>1251.9389999999999</v>
      </c>
      <c r="L90" s="102">
        <f t="shared" si="26"/>
        <v>1327.739</v>
      </c>
      <c r="M90" s="102">
        <f t="shared" si="26"/>
        <v>1402.739</v>
      </c>
      <c r="N90" s="102">
        <f t="shared" si="26"/>
        <v>1431.6390000000001</v>
      </c>
      <c r="O90" s="102">
        <f t="shared" si="26"/>
        <v>1433.6390000000001</v>
      </c>
      <c r="P90" s="102">
        <f t="shared" si="26"/>
        <v>1412.74</v>
      </c>
      <c r="Q90" s="102">
        <f t="shared" si="26"/>
        <v>1476.7400000000002</v>
      </c>
      <c r="R90" s="102">
        <f t="shared" si="26"/>
        <v>1417.7400000000002</v>
      </c>
      <c r="S90" s="102">
        <f t="shared" si="26"/>
        <v>1454.54</v>
      </c>
      <c r="T90" s="102">
        <f t="shared" si="26"/>
        <v>1457.44</v>
      </c>
      <c r="U90" s="102">
        <f t="shared" si="26"/>
        <v>1475.8400000000001</v>
      </c>
      <c r="V90" s="102">
        <f t="shared" si="26"/>
        <v>1355.6399999999999</v>
      </c>
      <c r="W90" s="102">
        <f t="shared" si="26"/>
        <v>1312.8400000000001</v>
      </c>
      <c r="X90" s="102">
        <f t="shared" si="26"/>
        <v>1456.04</v>
      </c>
      <c r="Y90" s="102">
        <f t="shared" si="26"/>
        <v>1543.64</v>
      </c>
      <c r="Z90" s="102">
        <f t="shared" si="26"/>
        <v>1705.89</v>
      </c>
      <c r="AA90" s="102">
        <f t="shared" si="26"/>
        <v>1675.54</v>
      </c>
      <c r="AB90" s="102">
        <f t="shared" si="26"/>
        <v>1554.24</v>
      </c>
      <c r="AC90" s="102">
        <f t="shared" si="26"/>
        <v>1544.54</v>
      </c>
      <c r="AD90" s="102">
        <f t="shared" si="26"/>
        <v>1485.54</v>
      </c>
      <c r="AE90" s="102">
        <f t="shared" si="26"/>
        <v>1369.54</v>
      </c>
      <c r="AF90" s="102">
        <f t="shared" si="26"/>
        <v>1346.54</v>
      </c>
      <c r="AG90" s="95"/>
      <c r="AH90" s="52">
        <f t="shared" si="17"/>
        <v>1705.89</v>
      </c>
      <c r="AI90" s="53">
        <f t="shared" si="18"/>
        <v>989.53899999999999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f>IF(Z74&lt;0,-Z74,0)</f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7"/>
        <v>0</v>
      </c>
      <c r="AI91" s="53">
        <f t="shared" si="18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f>IF(Z72&lt;0,-Z72,0)</f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7"/>
        <v>0</v>
      </c>
      <c r="AI92" s="53">
        <f t="shared" si="18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f>IF(Z75&lt;0,-Z75,0)</f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7"/>
        <v>0</v>
      </c>
      <c r="AI93" s="53">
        <f t="shared" si="18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f>IF(Z73&lt;0,-Z73,0)</f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7"/>
        <v>0</v>
      </c>
      <c r="AI94" s="53">
        <f t="shared" si="18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f>IF(Z77&lt;0,-Z77,0)</f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7"/>
        <v>0</v>
      </c>
      <c r="AI95" s="53">
        <f t="shared" si="18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7"/>
        <v>0</v>
      </c>
      <c r="AI96" s="53">
        <f t="shared" si="18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f>SUM(Z91:Z96)</f>
        <v>0</v>
      </c>
      <c r="AA97" s="67"/>
      <c r="AB97" s="67"/>
      <c r="AC97" s="67"/>
      <c r="AD97" s="67"/>
      <c r="AE97" s="67"/>
      <c r="AF97" s="67"/>
      <c r="AG97" s="95"/>
      <c r="AH97" s="52">
        <f t="shared" si="17"/>
        <v>0</v>
      </c>
      <c r="AI97" s="53">
        <f t="shared" si="18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27">B82-B97</f>
        <v>433.7</v>
      </c>
      <c r="C98" s="67">
        <f t="shared" si="27"/>
        <v>412.7</v>
      </c>
      <c r="D98" s="67">
        <f t="shared" si="27"/>
        <v>481.7</v>
      </c>
      <c r="E98" s="67">
        <f t="shared" si="27"/>
        <v>450.8</v>
      </c>
      <c r="F98" s="67">
        <f t="shared" si="27"/>
        <v>481.1</v>
      </c>
      <c r="G98" s="67">
        <f t="shared" si="27"/>
        <v>465.90000000000003</v>
      </c>
      <c r="H98" s="67">
        <f t="shared" si="27"/>
        <v>456.1</v>
      </c>
      <c r="I98" s="67">
        <f t="shared" si="27"/>
        <v>449.5</v>
      </c>
      <c r="J98" s="67">
        <f t="shared" si="27"/>
        <v>462.99</v>
      </c>
      <c r="K98" s="67">
        <f t="shared" si="27"/>
        <v>484.8</v>
      </c>
      <c r="L98" s="67">
        <f t="shared" si="27"/>
        <v>470.9</v>
      </c>
      <c r="M98" s="67">
        <f t="shared" si="27"/>
        <v>477.6</v>
      </c>
      <c r="N98" s="67">
        <f t="shared" si="27"/>
        <v>514.6</v>
      </c>
      <c r="O98" s="67">
        <f t="shared" si="27"/>
        <v>530.20000000000005</v>
      </c>
      <c r="P98" s="67">
        <f t="shared" si="27"/>
        <v>558</v>
      </c>
      <c r="Q98" s="67">
        <f t="shared" si="27"/>
        <v>563.1</v>
      </c>
      <c r="R98" s="67">
        <f t="shared" si="27"/>
        <v>544.70000000000005</v>
      </c>
      <c r="S98" s="67">
        <f t="shared" si="27"/>
        <v>536.5</v>
      </c>
      <c r="T98" s="67">
        <f t="shared" si="27"/>
        <v>564.29999999999995</v>
      </c>
      <c r="U98" s="67">
        <f t="shared" si="27"/>
        <v>568.6</v>
      </c>
      <c r="V98" s="67">
        <f t="shared" si="27"/>
        <v>516.79999999999995</v>
      </c>
      <c r="W98" s="67">
        <f t="shared" si="27"/>
        <v>498.20000000000005</v>
      </c>
      <c r="X98" s="67">
        <f t="shared" si="27"/>
        <v>483.00000000000006</v>
      </c>
      <c r="Y98" s="67">
        <f t="shared" si="27"/>
        <v>470.50000000000006</v>
      </c>
      <c r="Z98" s="67">
        <f t="shared" si="27"/>
        <v>452.90000000000003</v>
      </c>
      <c r="AA98" s="67">
        <f t="shared" si="27"/>
        <v>428.6</v>
      </c>
      <c r="AB98" s="67">
        <f t="shared" si="27"/>
        <v>467.3</v>
      </c>
      <c r="AC98" s="67">
        <f t="shared" si="27"/>
        <v>470</v>
      </c>
      <c r="AD98" s="67">
        <f t="shared" si="27"/>
        <v>494</v>
      </c>
      <c r="AE98" s="67">
        <f t="shared" si="27"/>
        <v>490</v>
      </c>
      <c r="AF98" s="67">
        <f t="shared" si="27"/>
        <v>506</v>
      </c>
      <c r="AG98" s="95"/>
      <c r="AH98" s="52">
        <f t="shared" si="17"/>
        <v>568.6</v>
      </c>
      <c r="AI98" s="53">
        <f t="shared" si="18"/>
        <v>412.7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50.003999999999998</v>
      </c>
      <c r="C99" s="108">
        <v>49.844000000000001</v>
      </c>
      <c r="D99" s="108">
        <v>49.947000000000003</v>
      </c>
      <c r="E99" s="108">
        <v>49.69</v>
      </c>
      <c r="F99" s="108">
        <v>49.69</v>
      </c>
      <c r="G99" s="108">
        <v>49.984999999999999</v>
      </c>
      <c r="H99" s="108">
        <v>49.908999999999999</v>
      </c>
      <c r="I99" s="108">
        <v>49.963000000000001</v>
      </c>
      <c r="J99" s="108">
        <v>50.084000000000003</v>
      </c>
      <c r="K99" s="108">
        <v>50.061</v>
      </c>
      <c r="L99" s="108">
        <v>50.119</v>
      </c>
      <c r="M99" s="108">
        <v>50.058</v>
      </c>
      <c r="N99" s="108">
        <v>50.101999999999997</v>
      </c>
      <c r="O99" s="108">
        <v>50.11</v>
      </c>
      <c r="P99" s="108">
        <v>49.99</v>
      </c>
      <c r="Q99" s="108">
        <v>50.075000000000003</v>
      </c>
      <c r="R99" s="108">
        <v>49.915999999999997</v>
      </c>
      <c r="S99" s="108">
        <v>49.99</v>
      </c>
      <c r="T99" s="108">
        <v>50.005000000000003</v>
      </c>
      <c r="U99" s="108">
        <v>49.984999999999999</v>
      </c>
      <c r="V99" s="108">
        <v>50.055999999999997</v>
      </c>
      <c r="W99" s="108">
        <v>50.093000000000004</v>
      </c>
      <c r="X99" s="108">
        <v>50.026000000000003</v>
      </c>
      <c r="Y99" s="108">
        <v>49.920999999999999</v>
      </c>
      <c r="Z99" s="108">
        <v>50.082999999999998</v>
      </c>
      <c r="AA99" s="108">
        <v>50.031999999999996</v>
      </c>
      <c r="AB99" s="108">
        <v>50.7</v>
      </c>
      <c r="AC99" s="108">
        <v>49.86</v>
      </c>
      <c r="AD99" s="108">
        <v>50</v>
      </c>
      <c r="AE99" s="108">
        <v>49.9</v>
      </c>
      <c r="AF99" s="108">
        <v>50.05</v>
      </c>
      <c r="AG99" s="109"/>
      <c r="AH99" s="52">
        <f t="shared" si="17"/>
        <v>50.7</v>
      </c>
      <c r="AI99" s="53">
        <f t="shared" si="18"/>
        <v>49.69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129.30000000000001</v>
      </c>
      <c r="C100" s="72">
        <v>128.30000000000001</v>
      </c>
      <c r="D100" s="72">
        <v>128.19999999999999</v>
      </c>
      <c r="E100" s="72">
        <v>128.80000000000001</v>
      </c>
      <c r="F100" s="72">
        <v>128.80000000000001</v>
      </c>
      <c r="G100" s="72">
        <v>128.5</v>
      </c>
      <c r="H100" s="72">
        <v>127.7</v>
      </c>
      <c r="I100" s="72">
        <v>128.30000000000001</v>
      </c>
      <c r="J100" s="72">
        <v>127.3</v>
      </c>
      <c r="K100" s="72">
        <v>128.30000000000001</v>
      </c>
      <c r="L100" s="72">
        <v>126.8</v>
      </c>
      <c r="M100" s="72">
        <v>126</v>
      </c>
      <c r="N100" s="72">
        <v>125.6</v>
      </c>
      <c r="O100" s="72">
        <v>126.2</v>
      </c>
      <c r="P100" s="72">
        <v>125.2</v>
      </c>
      <c r="Q100" s="72">
        <v>125.1</v>
      </c>
      <c r="R100" s="72">
        <v>127.3</v>
      </c>
      <c r="S100" s="72">
        <v>125.7</v>
      </c>
      <c r="T100" s="72">
        <v>125.6</v>
      </c>
      <c r="U100" s="72">
        <v>125.3</v>
      </c>
      <c r="V100" s="72">
        <v>125.4</v>
      </c>
      <c r="W100" s="72">
        <v>126.9</v>
      </c>
      <c r="X100" s="72">
        <v>127.2</v>
      </c>
      <c r="Y100" s="72">
        <v>127</v>
      </c>
      <c r="Z100" s="72">
        <v>127.7</v>
      </c>
      <c r="AA100" s="72">
        <v>127.9</v>
      </c>
      <c r="AB100" s="72">
        <v>129.69999999999999</v>
      </c>
      <c r="AC100" s="72">
        <v>130</v>
      </c>
      <c r="AD100" s="72">
        <v>130</v>
      </c>
      <c r="AE100" s="72">
        <v>129</v>
      </c>
      <c r="AF100" s="72">
        <v>129</v>
      </c>
      <c r="AG100" s="111"/>
      <c r="AH100" s="52">
        <f t="shared" si="17"/>
        <v>130</v>
      </c>
      <c r="AI100" s="53">
        <f t="shared" si="18"/>
        <v>125.1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133.30000000000001</v>
      </c>
      <c r="C101" s="72">
        <v>132.69999999999999</v>
      </c>
      <c r="D101" s="72">
        <v>132.5</v>
      </c>
      <c r="E101" s="72">
        <v>132.80000000000001</v>
      </c>
      <c r="F101" s="72">
        <v>132.80000000000001</v>
      </c>
      <c r="G101" s="72">
        <v>132.5</v>
      </c>
      <c r="H101" s="72">
        <v>131.4</v>
      </c>
      <c r="I101" s="72">
        <v>131.19999999999999</v>
      </c>
      <c r="J101" s="72">
        <v>130.4</v>
      </c>
      <c r="K101" s="72">
        <v>130.5</v>
      </c>
      <c r="L101" s="72">
        <v>129.19999999999999</v>
      </c>
      <c r="M101" s="72">
        <v>128.5</v>
      </c>
      <c r="N101" s="72">
        <v>128</v>
      </c>
      <c r="O101" s="72">
        <v>128.6</v>
      </c>
      <c r="P101" s="72">
        <v>128.30000000000001</v>
      </c>
      <c r="Q101" s="72">
        <v>128.9</v>
      </c>
      <c r="R101" s="72">
        <v>130.1</v>
      </c>
      <c r="S101" s="72">
        <v>129.1</v>
      </c>
      <c r="T101" s="72">
        <v>129.1</v>
      </c>
      <c r="U101" s="72">
        <v>129.1</v>
      </c>
      <c r="V101" s="72">
        <v>128.30000000000001</v>
      </c>
      <c r="W101" s="72">
        <v>129.19999999999999</v>
      </c>
      <c r="X101" s="72">
        <v>129.5</v>
      </c>
      <c r="Y101" s="72">
        <v>128.9</v>
      </c>
      <c r="Z101" s="72">
        <v>130</v>
      </c>
      <c r="AA101" s="72">
        <v>130.5</v>
      </c>
      <c r="AB101" s="72">
        <v>132.1</v>
      </c>
      <c r="AC101" s="72">
        <v>132</v>
      </c>
      <c r="AD101" s="72">
        <v>132</v>
      </c>
      <c r="AE101" s="72">
        <v>132.6</v>
      </c>
      <c r="AF101" s="72">
        <v>132.6</v>
      </c>
      <c r="AG101" s="111"/>
      <c r="AH101" s="52">
        <f t="shared" si="17"/>
        <v>133.30000000000001</v>
      </c>
      <c r="AI101" s="53">
        <f t="shared" si="18"/>
        <v>128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131.69999999999999</v>
      </c>
      <c r="C102" s="72">
        <v>132.6</v>
      </c>
      <c r="D102" s="72">
        <v>132.30000000000001</v>
      </c>
      <c r="E102" s="72">
        <v>131.80000000000001</v>
      </c>
      <c r="F102" s="72">
        <v>131.80000000000001</v>
      </c>
      <c r="G102" s="72">
        <v>130</v>
      </c>
      <c r="H102" s="72">
        <v>128.69999999999999</v>
      </c>
      <c r="I102" s="72">
        <v>129.80000000000001</v>
      </c>
      <c r="J102" s="72">
        <v>127.9</v>
      </c>
      <c r="K102" s="72">
        <v>128</v>
      </c>
      <c r="L102" s="72">
        <v>125.9</v>
      </c>
      <c r="M102" s="72">
        <v>128.19999999999999</v>
      </c>
      <c r="N102" s="72">
        <v>128</v>
      </c>
      <c r="O102" s="72">
        <v>126.3</v>
      </c>
      <c r="P102" s="72">
        <v>125.5</v>
      </c>
      <c r="Q102" s="72">
        <v>127.8</v>
      </c>
      <c r="R102" s="72">
        <v>128.5</v>
      </c>
      <c r="S102" s="72">
        <v>121.7</v>
      </c>
      <c r="T102" s="72">
        <v>117.5</v>
      </c>
      <c r="U102" s="72">
        <v>122</v>
      </c>
      <c r="V102" s="72">
        <v>129.6</v>
      </c>
      <c r="W102" s="72">
        <v>132.80000000000001</v>
      </c>
      <c r="X102" s="72">
        <v>130</v>
      </c>
      <c r="Y102" s="72">
        <v>125.7</v>
      </c>
      <c r="Z102" s="72">
        <v>127.9</v>
      </c>
      <c r="AA102" s="72">
        <v>131</v>
      </c>
      <c r="AB102" s="72">
        <v>127.1</v>
      </c>
      <c r="AC102" s="72">
        <v>129</v>
      </c>
      <c r="AD102" s="72">
        <v>129</v>
      </c>
      <c r="AE102" s="72">
        <v>130</v>
      </c>
      <c r="AF102" s="72">
        <v>130</v>
      </c>
      <c r="AG102" s="111"/>
      <c r="AH102" s="52">
        <f t="shared" si="17"/>
        <v>132.80000000000001</v>
      </c>
      <c r="AI102" s="53">
        <f t="shared" si="18"/>
        <v>117.5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7"/>
        <v>0</v>
      </c>
      <c r="AI103" s="53">
        <f t="shared" si="18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136.30000000000001</v>
      </c>
      <c r="C104" s="113">
        <v>132.4</v>
      </c>
      <c r="D104" s="113">
        <v>132.19999999999999</v>
      </c>
      <c r="E104" s="113">
        <v>131.80000000000001</v>
      </c>
      <c r="F104" s="113">
        <v>131.80000000000001</v>
      </c>
      <c r="G104" s="113">
        <v>133.6</v>
      </c>
      <c r="H104" s="113">
        <v>130</v>
      </c>
      <c r="I104" s="113">
        <v>131.69999999999999</v>
      </c>
      <c r="J104" s="113">
        <v>131.4</v>
      </c>
      <c r="K104" s="113">
        <v>132.30000000000001</v>
      </c>
      <c r="L104" s="113">
        <v>132.80000000000001</v>
      </c>
      <c r="M104" s="113">
        <v>130.6</v>
      </c>
      <c r="N104" s="113">
        <v>130</v>
      </c>
      <c r="O104" s="113">
        <v>133.30000000000001</v>
      </c>
      <c r="P104" s="113">
        <v>133.19999999999999</v>
      </c>
      <c r="Q104" s="113">
        <v>132.4</v>
      </c>
      <c r="R104" s="113">
        <v>132.69999999999999</v>
      </c>
      <c r="S104" s="113">
        <v>133.30000000000001</v>
      </c>
      <c r="T104" s="113">
        <v>129.19999999999999</v>
      </c>
      <c r="U104" s="113">
        <v>134.6</v>
      </c>
      <c r="V104" s="113">
        <v>131.1</v>
      </c>
      <c r="W104" s="113">
        <v>132</v>
      </c>
      <c r="X104" s="113">
        <v>131.6</v>
      </c>
      <c r="Y104" s="113">
        <v>129.9</v>
      </c>
      <c r="Z104" s="113">
        <v>134.69999999999999</v>
      </c>
      <c r="AA104" s="113">
        <v>133.6</v>
      </c>
      <c r="AB104" s="113">
        <v>135.80000000000001</v>
      </c>
      <c r="AC104" s="113">
        <v>136</v>
      </c>
      <c r="AD104" s="113">
        <v>136</v>
      </c>
      <c r="AE104" s="113">
        <v>136</v>
      </c>
      <c r="AF104" s="113">
        <v>136</v>
      </c>
      <c r="AG104" s="114"/>
      <c r="AH104" s="52">
        <f t="shared" si="17"/>
        <v>136.30000000000001</v>
      </c>
      <c r="AI104" s="53">
        <f t="shared" si="18"/>
        <v>129.19999999999999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126.6</v>
      </c>
      <c r="C105" s="72">
        <v>130.30000000000001</v>
      </c>
      <c r="D105" s="72">
        <v>126.7</v>
      </c>
      <c r="E105" s="72">
        <v>128.30000000000001</v>
      </c>
      <c r="F105" s="72">
        <v>128.30000000000001</v>
      </c>
      <c r="G105" s="72">
        <v>126.2</v>
      </c>
      <c r="H105" s="72">
        <v>127.8</v>
      </c>
      <c r="I105" s="72">
        <v>126.9</v>
      </c>
      <c r="J105" s="72">
        <v>129.6</v>
      </c>
      <c r="K105" s="72">
        <v>132.80000000000001</v>
      </c>
      <c r="L105" s="72">
        <v>130.30000000000001</v>
      </c>
      <c r="M105" s="72">
        <v>128.19999999999999</v>
      </c>
      <c r="N105" s="72">
        <v>131.69999999999999</v>
      </c>
      <c r="O105" s="72">
        <v>129.4</v>
      </c>
      <c r="P105" s="72">
        <v>126.2</v>
      </c>
      <c r="Q105" s="72">
        <v>129.1</v>
      </c>
      <c r="R105" s="72">
        <v>130.19999999999999</v>
      </c>
      <c r="S105" s="72">
        <v>133.1</v>
      </c>
      <c r="T105" s="72">
        <v>132.6</v>
      </c>
      <c r="U105" s="72">
        <v>134.6</v>
      </c>
      <c r="V105" s="72">
        <v>128.69999999999999</v>
      </c>
      <c r="W105" s="72">
        <v>130.80000000000001</v>
      </c>
      <c r="X105" s="72">
        <v>133</v>
      </c>
      <c r="Y105" s="72">
        <v>126.1</v>
      </c>
      <c r="Z105" s="72">
        <v>125.6</v>
      </c>
      <c r="AA105" s="72">
        <v>128.5</v>
      </c>
      <c r="AB105" s="72">
        <v>134.69999999999999</v>
      </c>
      <c r="AC105" s="72">
        <v>135</v>
      </c>
      <c r="AD105" s="72">
        <v>135</v>
      </c>
      <c r="AE105" s="72">
        <v>134</v>
      </c>
      <c r="AF105" s="72">
        <v>134</v>
      </c>
      <c r="AG105" s="111"/>
      <c r="AH105" s="52">
        <f t="shared" si="17"/>
        <v>135</v>
      </c>
      <c r="AI105" s="53">
        <f t="shared" si="18"/>
        <v>125.6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66.8</v>
      </c>
      <c r="C106" s="99">
        <v>66.5</v>
      </c>
      <c r="D106" s="99">
        <v>66.5</v>
      </c>
      <c r="E106" s="99">
        <v>66.599999999999994</v>
      </c>
      <c r="F106" s="99">
        <v>66.599999999999994</v>
      </c>
      <c r="G106" s="99">
        <v>66.400000000000006</v>
      </c>
      <c r="H106" s="99">
        <v>66</v>
      </c>
      <c r="I106" s="99">
        <v>65.5</v>
      </c>
      <c r="J106" s="99">
        <v>65.400000000000006</v>
      </c>
      <c r="K106" s="99">
        <v>65.5</v>
      </c>
      <c r="L106" s="99">
        <v>64.900000000000006</v>
      </c>
      <c r="M106" s="99">
        <v>64.400000000000006</v>
      </c>
      <c r="N106" s="99">
        <v>64.099999999999994</v>
      </c>
      <c r="O106" s="99">
        <v>64.599999999999994</v>
      </c>
      <c r="P106" s="99">
        <v>64.2</v>
      </c>
      <c r="Q106" s="99">
        <v>64.5</v>
      </c>
      <c r="R106" s="99">
        <v>65</v>
      </c>
      <c r="S106" s="99">
        <v>64.5</v>
      </c>
      <c r="T106" s="99">
        <v>64.5</v>
      </c>
      <c r="U106" s="99">
        <v>64.8</v>
      </c>
      <c r="V106" s="99">
        <v>64.099999999999994</v>
      </c>
      <c r="W106" s="99">
        <v>64.900000000000006</v>
      </c>
      <c r="X106" s="99">
        <v>64.7</v>
      </c>
      <c r="Y106" s="99">
        <v>64.5</v>
      </c>
      <c r="Z106" s="99">
        <v>64.900000000000006</v>
      </c>
      <c r="AA106" s="99" t="s">
        <v>262</v>
      </c>
      <c r="AB106" s="99">
        <v>66.3</v>
      </c>
      <c r="AC106" s="99">
        <v>66.2</v>
      </c>
      <c r="AD106" s="99">
        <v>66.2</v>
      </c>
      <c r="AE106" s="99">
        <v>66.7</v>
      </c>
      <c r="AF106" s="99">
        <v>66.7</v>
      </c>
      <c r="AG106" s="115"/>
      <c r="AH106" s="52">
        <f t="shared" si="17"/>
        <v>66.8</v>
      </c>
      <c r="AI106" s="53">
        <f t="shared" si="18"/>
        <v>64.099999999999994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 t="str">
        <f>IF(Z90=MAX($B$91:$G$91),"PN","")</f>
        <v/>
      </c>
      <c r="AA107" s="99"/>
      <c r="AB107" s="99"/>
      <c r="AC107" s="99"/>
      <c r="AD107" s="99"/>
      <c r="AE107" s="99"/>
      <c r="AF107" s="99"/>
      <c r="AG107" s="115"/>
      <c r="AH107" s="52">
        <f t="shared" si="17"/>
        <v>0</v>
      </c>
      <c r="AI107" s="53">
        <f t="shared" si="18"/>
        <v>0</v>
      </c>
    </row>
    <row r="108" spans="1:88" ht="15.75" thickBot="1" x14ac:dyDescent="0.3">
      <c r="A108" s="117" t="s">
        <v>112</v>
      </c>
      <c r="B108" s="118">
        <f t="shared" ref="B108:AF108" si="28">SUM(B18,B24,B27:B28,B56,B58:B59,B61,B63,B109:B113,B135,B141,B147,B156,B158,B170,B177,B180:B181,B188,B190,B192,B196:B198,B200:B202,B207,B213:B214,B216:B218,B226,B231)</f>
        <v>119.80000000000001</v>
      </c>
      <c r="C108" s="118">
        <f t="shared" si="28"/>
        <v>113.44</v>
      </c>
      <c r="D108" s="118">
        <f t="shared" si="28"/>
        <v>111.24</v>
      </c>
      <c r="E108" s="118">
        <f t="shared" si="28"/>
        <v>69.239999999999995</v>
      </c>
      <c r="F108" s="118">
        <f t="shared" si="28"/>
        <v>75.240000000000009</v>
      </c>
      <c r="G108" s="118">
        <f t="shared" si="28"/>
        <v>91.240000000000009</v>
      </c>
      <c r="H108" s="118">
        <f t="shared" si="28"/>
        <v>118.71000000000002</v>
      </c>
      <c r="I108" s="118">
        <f t="shared" si="28"/>
        <v>161.04</v>
      </c>
      <c r="J108" s="118">
        <f t="shared" si="28"/>
        <v>191.24</v>
      </c>
      <c r="K108" s="118">
        <f t="shared" si="28"/>
        <v>229.74</v>
      </c>
      <c r="L108" s="118">
        <f t="shared" si="28"/>
        <v>253.14</v>
      </c>
      <c r="M108" s="118">
        <f t="shared" si="28"/>
        <v>267.84000000000003</v>
      </c>
      <c r="N108" s="118">
        <f t="shared" si="28"/>
        <v>266.64</v>
      </c>
      <c r="O108" s="118">
        <f t="shared" si="28"/>
        <v>236.34</v>
      </c>
      <c r="P108" s="118">
        <v>42</v>
      </c>
      <c r="Q108" s="118">
        <f t="shared" si="28"/>
        <v>224.2</v>
      </c>
      <c r="R108" s="118">
        <f>SUM(R18,R24,R27:R28,R56,R58:R59,R61,R63,R109:R113,R135,R141,R147,R156,R158,R170,R177,R180:R181,R188,R190,R192,R196:R198,R200:R202,R207,R213:R214,R216:R218,R226,R231)</f>
        <v>225.2</v>
      </c>
      <c r="S108" s="118">
        <f t="shared" si="28"/>
        <v>267.70000000000005</v>
      </c>
      <c r="T108" s="118">
        <f t="shared" si="28"/>
        <v>279.10000000000002</v>
      </c>
      <c r="U108" s="118">
        <f t="shared" si="28"/>
        <v>279.79999999999995</v>
      </c>
      <c r="V108" s="118">
        <f t="shared" si="28"/>
        <v>278.10000000000002</v>
      </c>
      <c r="W108" s="118">
        <f t="shared" si="28"/>
        <v>265.60000000000002</v>
      </c>
      <c r="X108" s="118">
        <f t="shared" si="28"/>
        <v>278.39999999999998</v>
      </c>
      <c r="Y108" s="118">
        <f t="shared" si="28"/>
        <v>296.60000000000002</v>
      </c>
      <c r="Z108" s="118">
        <f t="shared" ref="Z108" si="29">SUM(Z154,Z109:Z113,Z13,Z22,Z28,Z36,Z38,Z56,Z58:Z59,Z61,Z63)</f>
        <v>381.5</v>
      </c>
      <c r="AA108" s="118">
        <f t="shared" si="28"/>
        <v>346</v>
      </c>
      <c r="AB108" s="118">
        <f t="shared" si="28"/>
        <v>239.99999999999997</v>
      </c>
      <c r="AC108" s="118">
        <f t="shared" si="28"/>
        <v>253.6</v>
      </c>
      <c r="AD108" s="118">
        <f t="shared" si="28"/>
        <v>253.6</v>
      </c>
      <c r="AE108" s="118">
        <f t="shared" si="28"/>
        <v>168.6</v>
      </c>
      <c r="AF108" s="118">
        <f t="shared" si="28"/>
        <v>147.6</v>
      </c>
      <c r="AG108" s="119"/>
      <c r="AH108" s="52">
        <f t="shared" si="17"/>
        <v>381.5</v>
      </c>
      <c r="AI108" s="53">
        <f t="shared" si="18"/>
        <v>42</v>
      </c>
    </row>
    <row r="109" spans="1:88" x14ac:dyDescent="0.25">
      <c r="A109" s="107" t="s">
        <v>113</v>
      </c>
      <c r="B109" s="120">
        <v>-11.3</v>
      </c>
      <c r="C109" s="120">
        <v>-8.9</v>
      </c>
      <c r="D109" s="120">
        <v>-11.8</v>
      </c>
      <c r="E109" s="120">
        <v>-13.7</v>
      </c>
      <c r="F109" s="120">
        <v>-23.9</v>
      </c>
      <c r="G109" s="120">
        <v>-13.2</v>
      </c>
      <c r="H109" s="120">
        <v>-5.6</v>
      </c>
      <c r="I109" s="120">
        <v>-1.7</v>
      </c>
      <c r="J109" s="120">
        <v>4.4000000000000004</v>
      </c>
      <c r="K109" s="120">
        <v>9.8000000000000007</v>
      </c>
      <c r="L109" s="120">
        <v>5.8</v>
      </c>
      <c r="M109" s="120">
        <v>9.1999999999999993</v>
      </c>
      <c r="N109" s="120">
        <v>8.6999999999999993</v>
      </c>
      <c r="O109" s="120">
        <v>2.1</v>
      </c>
      <c r="P109" s="120">
        <v>5.7</v>
      </c>
      <c r="Q109" s="120">
        <v>3.7</v>
      </c>
      <c r="R109" s="120">
        <v>9.6</v>
      </c>
      <c r="S109" s="120">
        <v>6.7</v>
      </c>
      <c r="T109" s="120">
        <v>13.2</v>
      </c>
      <c r="U109" s="120">
        <v>13.8</v>
      </c>
      <c r="V109" s="120">
        <v>5.2</v>
      </c>
      <c r="W109" s="120">
        <v>7.3</v>
      </c>
      <c r="X109" s="120">
        <v>1.7</v>
      </c>
      <c r="Y109" s="120">
        <v>8.9</v>
      </c>
      <c r="Z109" s="120">
        <v>18.8</v>
      </c>
      <c r="AA109" s="120">
        <v>20</v>
      </c>
      <c r="AB109" s="120">
        <v>14.6</v>
      </c>
      <c r="AC109" s="120">
        <v>24</v>
      </c>
      <c r="AD109" s="120">
        <v>24</v>
      </c>
      <c r="AE109" s="120">
        <v>6</v>
      </c>
      <c r="AF109" s="120">
        <v>0</v>
      </c>
      <c r="AG109" s="121">
        <v>75</v>
      </c>
      <c r="AH109" s="52">
        <f t="shared" si="17"/>
        <v>24</v>
      </c>
      <c r="AI109" s="53">
        <f t="shared" si="18"/>
        <v>-23.9</v>
      </c>
    </row>
    <row r="110" spans="1:88" x14ac:dyDescent="0.25">
      <c r="A110" s="110" t="s">
        <v>114</v>
      </c>
      <c r="B110" s="186">
        <v>-15.8</v>
      </c>
      <c r="C110" s="186">
        <v>-12.6</v>
      </c>
      <c r="D110" s="186">
        <v>-14.7</v>
      </c>
      <c r="E110" s="186">
        <v>-18.8</v>
      </c>
      <c r="F110" s="186">
        <v>-33.9</v>
      </c>
      <c r="G110" s="186">
        <v>-19.2</v>
      </c>
      <c r="H110" s="186">
        <v>-10.6</v>
      </c>
      <c r="I110" s="186">
        <v>-5.2</v>
      </c>
      <c r="J110" s="186">
        <v>1.6</v>
      </c>
      <c r="K110" s="186">
        <v>10.4</v>
      </c>
      <c r="L110" s="186">
        <v>3.6</v>
      </c>
      <c r="M110" s="186">
        <v>7.2</v>
      </c>
      <c r="N110" s="186">
        <v>7.4</v>
      </c>
      <c r="O110" s="186">
        <v>0.9</v>
      </c>
      <c r="P110" s="186">
        <v>6.8</v>
      </c>
      <c r="Q110" s="186">
        <v>2.7</v>
      </c>
      <c r="R110" s="186">
        <v>11.5</v>
      </c>
      <c r="S110" s="186">
        <v>7.3</v>
      </c>
      <c r="T110" s="186">
        <v>16.399999999999999</v>
      </c>
      <c r="U110" s="186">
        <v>15</v>
      </c>
      <c r="V110" s="186">
        <v>1.2</v>
      </c>
      <c r="W110" s="186">
        <v>6.2</v>
      </c>
      <c r="X110" s="186">
        <v>-2.6</v>
      </c>
      <c r="Y110" s="186">
        <v>8.5</v>
      </c>
      <c r="Z110" s="187">
        <v>19.3</v>
      </c>
      <c r="AA110" s="186">
        <v>20.8</v>
      </c>
      <c r="AB110" s="186">
        <v>15.1</v>
      </c>
      <c r="AC110" s="186">
        <v>21</v>
      </c>
      <c r="AD110" s="187">
        <v>21</v>
      </c>
      <c r="AE110" s="186">
        <v>6</v>
      </c>
      <c r="AF110" s="187">
        <v>-2</v>
      </c>
      <c r="AG110" s="121">
        <v>240</v>
      </c>
      <c r="AH110" s="52">
        <f t="shared" si="17"/>
        <v>21</v>
      </c>
      <c r="AI110" s="53">
        <f t="shared" si="18"/>
        <v>-33.9</v>
      </c>
    </row>
    <row r="111" spans="1:88" x14ac:dyDescent="0.25">
      <c r="A111" s="110" t="s">
        <v>115</v>
      </c>
      <c r="B111" s="186">
        <v>-37</v>
      </c>
      <c r="C111" s="186">
        <v>-42</v>
      </c>
      <c r="D111" s="186">
        <v>-42</v>
      </c>
      <c r="E111" s="186">
        <v>-76.3</v>
      </c>
      <c r="F111" s="186">
        <v>-61</v>
      </c>
      <c r="G111" s="186">
        <v>-69.599999999999994</v>
      </c>
      <c r="H111" s="186">
        <v>-61.23</v>
      </c>
      <c r="I111" s="186">
        <v>-41.2</v>
      </c>
      <c r="J111" s="186">
        <v>-34.200000000000003</v>
      </c>
      <c r="K111" s="186">
        <v>-5.3</v>
      </c>
      <c r="L111" s="186">
        <v>6</v>
      </c>
      <c r="M111" s="186">
        <v>8</v>
      </c>
      <c r="N111" s="186">
        <v>7.1</v>
      </c>
      <c r="O111" s="186">
        <v>-5</v>
      </c>
      <c r="P111" s="186">
        <f>8.8+1.2</f>
        <v>10</v>
      </c>
      <c r="Q111" s="186">
        <v>-40.5</v>
      </c>
      <c r="R111" s="186">
        <v>-42</v>
      </c>
      <c r="S111" s="186">
        <v>-1</v>
      </c>
      <c r="T111" s="186">
        <v>-2.9</v>
      </c>
      <c r="U111" s="186">
        <v>-0.5</v>
      </c>
      <c r="V111" s="186">
        <v>13.9</v>
      </c>
      <c r="W111" s="186">
        <v>13.4</v>
      </c>
      <c r="X111" s="186">
        <v>39</v>
      </c>
      <c r="Y111" s="186">
        <v>36</v>
      </c>
      <c r="Z111" s="187">
        <v>56.2</v>
      </c>
      <c r="AA111" s="186">
        <v>56.2</v>
      </c>
      <c r="AB111" s="186">
        <f>-15.6+16.7</f>
        <v>1.0999999999999996</v>
      </c>
      <c r="AC111" s="186">
        <v>14</v>
      </c>
      <c r="AD111" s="187">
        <v>14</v>
      </c>
      <c r="AE111" s="186">
        <v>-30</v>
      </c>
      <c r="AF111" s="187">
        <v>-35</v>
      </c>
      <c r="AG111" s="121">
        <v>240</v>
      </c>
      <c r="AH111" s="52">
        <f t="shared" si="17"/>
        <v>56.2</v>
      </c>
      <c r="AI111" s="53">
        <f t="shared" si="18"/>
        <v>-76.3</v>
      </c>
    </row>
    <row r="112" spans="1:88" x14ac:dyDescent="0.25">
      <c r="A112" s="110" t="s">
        <v>116</v>
      </c>
      <c r="B112" s="186">
        <v>30.4</v>
      </c>
      <c r="C112" s="186">
        <v>32.4</v>
      </c>
      <c r="D112" s="186">
        <v>32.299999999999997</v>
      </c>
      <c r="E112" s="186">
        <v>29.8</v>
      </c>
      <c r="F112" s="186">
        <v>33.9</v>
      </c>
      <c r="G112" s="186">
        <v>32.200000000000003</v>
      </c>
      <c r="H112" s="186">
        <v>35.1</v>
      </c>
      <c r="I112" s="186">
        <v>38.9</v>
      </c>
      <c r="J112" s="186">
        <v>43.2</v>
      </c>
      <c r="K112" s="186">
        <v>33.200000000000003</v>
      </c>
      <c r="L112" s="186">
        <v>37.6</v>
      </c>
      <c r="M112" s="186">
        <v>38.5</v>
      </c>
      <c r="N112" s="186">
        <v>36.1</v>
      </c>
      <c r="O112" s="186">
        <v>42.2</v>
      </c>
      <c r="P112" s="186">
        <v>43.7</v>
      </c>
      <c r="Q112" s="186">
        <v>40.299999999999997</v>
      </c>
      <c r="R112" s="186">
        <v>39.6</v>
      </c>
      <c r="S112" s="186">
        <v>39.200000000000003</v>
      </c>
      <c r="T112" s="186">
        <v>37.4</v>
      </c>
      <c r="U112" s="186">
        <v>40.200000000000003</v>
      </c>
      <c r="V112" s="186">
        <v>32.6</v>
      </c>
      <c r="W112" s="186">
        <v>48.1</v>
      </c>
      <c r="X112" s="186">
        <v>50</v>
      </c>
      <c r="Y112" s="186">
        <v>51</v>
      </c>
      <c r="Z112" s="187">
        <v>54.7</v>
      </c>
      <c r="AA112" s="186">
        <v>53</v>
      </c>
      <c r="AB112" s="186">
        <v>51.2</v>
      </c>
      <c r="AC112" s="186">
        <v>45</v>
      </c>
      <c r="AD112" s="187">
        <v>45</v>
      </c>
      <c r="AE112" s="186">
        <v>35</v>
      </c>
      <c r="AF112" s="187">
        <v>33</v>
      </c>
      <c r="AG112" s="121">
        <v>60</v>
      </c>
      <c r="AH112" s="52">
        <f t="shared" si="17"/>
        <v>54.7</v>
      </c>
      <c r="AI112" s="53">
        <f t="shared" si="18"/>
        <v>29.8</v>
      </c>
    </row>
    <row r="113" spans="1:37" x14ac:dyDescent="0.25">
      <c r="A113" s="123" t="s">
        <v>117</v>
      </c>
      <c r="B113" s="124">
        <v>64.7</v>
      </c>
      <c r="C113" s="124">
        <v>54.8</v>
      </c>
      <c r="D113" s="124">
        <v>57.7</v>
      </c>
      <c r="E113" s="124">
        <v>58.5</v>
      </c>
      <c r="F113" s="124">
        <v>70.400000000000006</v>
      </c>
      <c r="G113" s="124">
        <v>74.900000000000006</v>
      </c>
      <c r="H113" s="124">
        <v>74.900000000000006</v>
      </c>
      <c r="I113" s="124">
        <v>82.1</v>
      </c>
      <c r="J113" s="124">
        <v>88.1</v>
      </c>
      <c r="K113" s="124">
        <v>94.5</v>
      </c>
      <c r="L113" s="124">
        <v>113</v>
      </c>
      <c r="M113" s="124">
        <v>113.8</v>
      </c>
      <c r="N113" s="124">
        <v>112.2</v>
      </c>
      <c r="O113" s="124">
        <v>105</v>
      </c>
      <c r="P113" s="124">
        <v>99.7</v>
      </c>
      <c r="Q113" s="124">
        <v>109.3</v>
      </c>
      <c r="R113" s="124">
        <v>101.9</v>
      </c>
      <c r="S113" s="124">
        <v>111.1</v>
      </c>
      <c r="T113" s="124">
        <v>110.4</v>
      </c>
      <c r="U113" s="124">
        <v>106.7</v>
      </c>
      <c r="V113" s="124">
        <v>114.1</v>
      </c>
      <c r="W113" s="124">
        <v>95.4</v>
      </c>
      <c r="X113" s="124">
        <v>98.4</v>
      </c>
      <c r="Y113" s="124">
        <v>101.3</v>
      </c>
      <c r="Z113" s="124">
        <v>112.6</v>
      </c>
      <c r="AA113" s="124">
        <v>106.7</v>
      </c>
      <c r="AB113" s="124">
        <v>71.400000000000006</v>
      </c>
      <c r="AC113" s="124">
        <v>63</v>
      </c>
      <c r="AD113" s="124">
        <v>63</v>
      </c>
      <c r="AE113" s="124">
        <v>65</v>
      </c>
      <c r="AF113" s="124">
        <v>65</v>
      </c>
      <c r="AG113" s="125">
        <v>120</v>
      </c>
      <c r="AH113" s="52">
        <f t="shared" si="17"/>
        <v>114.1</v>
      </c>
      <c r="AI113" s="53">
        <f t="shared" si="18"/>
        <v>54.8</v>
      </c>
    </row>
    <row r="114" spans="1:37" x14ac:dyDescent="0.25">
      <c r="A114" s="123" t="s">
        <v>118</v>
      </c>
      <c r="B114" s="124">
        <v>76.8</v>
      </c>
      <c r="C114" s="124">
        <v>68.8</v>
      </c>
      <c r="D114" s="124">
        <v>74.900000000000006</v>
      </c>
      <c r="E114" s="124">
        <v>74.400000000000006</v>
      </c>
      <c r="F114" s="124">
        <v>80.900000000000006</v>
      </c>
      <c r="G114" s="124">
        <v>85.5</v>
      </c>
      <c r="H114" s="124">
        <v>75.599999999999994</v>
      </c>
      <c r="I114" s="124">
        <v>77.8</v>
      </c>
      <c r="J114" s="124">
        <v>76.099999999999994</v>
      </c>
      <c r="K114" s="124">
        <v>77.2</v>
      </c>
      <c r="L114" s="124">
        <v>94.6</v>
      </c>
      <c r="M114" s="124">
        <v>94.5</v>
      </c>
      <c r="N114" s="124">
        <v>89.1</v>
      </c>
      <c r="O114" s="124">
        <v>89.5</v>
      </c>
      <c r="P114" s="124">
        <v>90.8</v>
      </c>
      <c r="Q114" s="124">
        <v>104.1</v>
      </c>
      <c r="R114" s="124">
        <v>99</v>
      </c>
      <c r="S114" s="124">
        <v>104.2</v>
      </c>
      <c r="T114" s="124">
        <v>108.5</v>
      </c>
      <c r="U114" s="124">
        <v>98.4</v>
      </c>
      <c r="V114" s="124">
        <v>104</v>
      </c>
      <c r="W114" s="124">
        <v>85.1</v>
      </c>
      <c r="X114" s="124">
        <v>81.900000000000006</v>
      </c>
      <c r="Y114" s="124">
        <v>82.3</v>
      </c>
      <c r="Z114" s="124">
        <v>95.8</v>
      </c>
      <c r="AA114" s="124">
        <v>90.4</v>
      </c>
      <c r="AB114" s="124">
        <v>79.900000000000006</v>
      </c>
      <c r="AC114" s="124">
        <v>60</v>
      </c>
      <c r="AD114" s="124">
        <v>60</v>
      </c>
      <c r="AE114" s="124">
        <v>70</v>
      </c>
      <c r="AF114" s="124">
        <v>70</v>
      </c>
      <c r="AG114" s="125"/>
      <c r="AH114" s="52">
        <f t="shared" si="17"/>
        <v>108.5</v>
      </c>
      <c r="AI114" s="53">
        <f t="shared" si="18"/>
        <v>60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>
        <v>53.9</v>
      </c>
      <c r="G115" s="124"/>
      <c r="H115" s="124"/>
      <c r="I115" s="124"/>
      <c r="J115" s="124"/>
      <c r="K115" s="124"/>
      <c r="L115" s="124">
        <v>36.5</v>
      </c>
      <c r="M115" s="124"/>
      <c r="N115" s="124">
        <v>34.5</v>
      </c>
      <c r="O115" s="124">
        <v>53.8</v>
      </c>
      <c r="P115" s="124"/>
      <c r="Q115" s="124">
        <v>37.700000000000003</v>
      </c>
      <c r="R115" s="124"/>
      <c r="S115" s="124"/>
      <c r="T115" s="124"/>
      <c r="U115" s="124"/>
      <c r="V115" s="124"/>
      <c r="W115" s="124">
        <v>36.799999999999997</v>
      </c>
      <c r="X115" s="124"/>
      <c r="Y115" s="124"/>
      <c r="Z115" s="124">
        <v>27.7</v>
      </c>
      <c r="AA115" s="124">
        <v>28.3</v>
      </c>
      <c r="AB115" s="124"/>
      <c r="AC115" s="124">
        <v>26</v>
      </c>
      <c r="AD115" s="124">
        <v>26</v>
      </c>
      <c r="AE115" s="124">
        <v>36</v>
      </c>
      <c r="AF115" s="124">
        <v>36</v>
      </c>
      <c r="AG115" s="126"/>
      <c r="AH115" s="52">
        <f t="shared" si="17"/>
        <v>53.9</v>
      </c>
      <c r="AI115" s="53">
        <f t="shared" si="18"/>
        <v>26</v>
      </c>
    </row>
    <row r="116" spans="1:37" x14ac:dyDescent="0.25">
      <c r="A116" s="127" t="s">
        <v>120</v>
      </c>
      <c r="B116" s="113">
        <v>-20.399999999999999</v>
      </c>
      <c r="C116" s="113">
        <v>-17.600000000000001</v>
      </c>
      <c r="D116" s="113">
        <v>-16.7</v>
      </c>
      <c r="E116" s="113">
        <v>-15.8</v>
      </c>
      <c r="F116" s="113">
        <v>-14.5</v>
      </c>
      <c r="G116" s="113">
        <v>-15.3</v>
      </c>
      <c r="H116" s="113">
        <v>-20.3</v>
      </c>
      <c r="I116" s="113">
        <v>-29.5</v>
      </c>
      <c r="J116" s="113">
        <v>-34.5</v>
      </c>
      <c r="K116" s="113">
        <v>-19</v>
      </c>
      <c r="L116" s="113">
        <v>-22</v>
      </c>
      <c r="M116" s="113">
        <v>-23.8</v>
      </c>
      <c r="N116" s="113">
        <v>-20.2</v>
      </c>
      <c r="O116" s="113">
        <v>-23.2</v>
      </c>
      <c r="P116" s="113">
        <v>-22</v>
      </c>
      <c r="Q116" s="113">
        <v>-20</v>
      </c>
      <c r="R116" s="113">
        <v>-21.1</v>
      </c>
      <c r="S116" s="113">
        <v>-47</v>
      </c>
      <c r="T116" s="113">
        <v>-51.1</v>
      </c>
      <c r="U116" s="113">
        <v>-55.4</v>
      </c>
      <c r="V116" s="113">
        <v>-42.3</v>
      </c>
      <c r="W116" s="113">
        <v>-46</v>
      </c>
      <c r="X116" s="113">
        <v>-47</v>
      </c>
      <c r="Y116" s="113">
        <v>-54.4</v>
      </c>
      <c r="Z116" s="113">
        <v>-61</v>
      </c>
      <c r="AA116" s="113">
        <v>-56.4</v>
      </c>
      <c r="AB116" s="113">
        <v>-47.5</v>
      </c>
      <c r="AC116" s="113">
        <v>-41</v>
      </c>
      <c r="AD116" s="113">
        <v>-41</v>
      </c>
      <c r="AE116" s="113">
        <v>-28</v>
      </c>
      <c r="AF116" s="113">
        <v>-28</v>
      </c>
      <c r="AG116" s="126"/>
      <c r="AH116" s="52">
        <f t="shared" si="17"/>
        <v>-14.5</v>
      </c>
      <c r="AI116" s="53">
        <f t="shared" si="18"/>
        <v>-61</v>
      </c>
    </row>
    <row r="117" spans="1:37" ht="15.75" thickBot="1" x14ac:dyDescent="0.3">
      <c r="A117" s="127" t="s">
        <v>121</v>
      </c>
      <c r="B117" s="113">
        <v>79.3</v>
      </c>
      <c r="C117" s="113">
        <v>74.400000000000006</v>
      </c>
      <c r="D117" s="113">
        <v>74.5</v>
      </c>
      <c r="E117" s="113">
        <v>6.1</v>
      </c>
      <c r="F117" s="113">
        <v>66.400000000000006</v>
      </c>
      <c r="G117" s="113">
        <v>67.099999999999994</v>
      </c>
      <c r="H117" s="113">
        <v>71.099999999999994</v>
      </c>
      <c r="I117" s="113">
        <v>75.400000000000006</v>
      </c>
      <c r="J117" s="113">
        <v>88.8</v>
      </c>
      <c r="K117" s="113">
        <v>84.5</v>
      </c>
      <c r="L117" s="113">
        <v>93</v>
      </c>
      <c r="M117" s="113">
        <v>94</v>
      </c>
      <c r="N117" s="113">
        <v>103.4</v>
      </c>
      <c r="O117" s="113">
        <v>106.8</v>
      </c>
      <c r="P117" s="113">
        <v>104</v>
      </c>
      <c r="Q117" s="113">
        <v>110.6</v>
      </c>
      <c r="R117" s="113">
        <v>115.5</v>
      </c>
      <c r="S117" s="113">
        <v>111</v>
      </c>
      <c r="T117" s="113">
        <v>114</v>
      </c>
      <c r="U117" s="113">
        <v>110</v>
      </c>
      <c r="V117" s="113">
        <v>84.6</v>
      </c>
      <c r="W117" s="113">
        <v>81.2</v>
      </c>
      <c r="X117" s="113">
        <v>84.3</v>
      </c>
      <c r="Y117" s="113">
        <v>99.8</v>
      </c>
      <c r="Z117" s="113">
        <v>107.4</v>
      </c>
      <c r="AA117" s="113">
        <v>101.7</v>
      </c>
      <c r="AB117" s="113">
        <v>109.1</v>
      </c>
      <c r="AC117" s="113">
        <v>111</v>
      </c>
      <c r="AD117" s="113">
        <v>111</v>
      </c>
      <c r="AE117" s="113">
        <v>71</v>
      </c>
      <c r="AF117" s="113">
        <v>71</v>
      </c>
      <c r="AG117" s="126"/>
      <c r="AH117" s="52">
        <f t="shared" si="17"/>
        <v>115.5</v>
      </c>
      <c r="AI117" s="53">
        <f t="shared" si="18"/>
        <v>6.1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30">SUM(B119:B223)</f>
        <v>0</v>
      </c>
      <c r="C224" s="144">
        <f t="shared" si="30"/>
        <v>0</v>
      </c>
      <c r="D224" s="144">
        <f t="shared" si="30"/>
        <v>0</v>
      </c>
      <c r="E224" s="144">
        <f t="shared" si="30"/>
        <v>0</v>
      </c>
      <c r="F224" s="144">
        <f t="shared" si="30"/>
        <v>0</v>
      </c>
      <c r="G224" s="144">
        <f t="shared" si="30"/>
        <v>0</v>
      </c>
      <c r="H224" s="144">
        <f t="shared" si="30"/>
        <v>0</v>
      </c>
      <c r="I224" s="144">
        <f t="shared" si="30"/>
        <v>0</v>
      </c>
      <c r="J224" s="144">
        <f t="shared" si="30"/>
        <v>0</v>
      </c>
      <c r="K224" s="144">
        <f t="shared" si="30"/>
        <v>0</v>
      </c>
      <c r="L224" s="144">
        <f t="shared" si="30"/>
        <v>0</v>
      </c>
      <c r="M224" s="144">
        <f t="shared" si="30"/>
        <v>0</v>
      </c>
      <c r="N224" s="144">
        <f t="shared" si="30"/>
        <v>0</v>
      </c>
      <c r="O224" s="144">
        <f t="shared" si="30"/>
        <v>0</v>
      </c>
      <c r="P224" s="144">
        <f t="shared" si="30"/>
        <v>0</v>
      </c>
      <c r="Q224" s="144">
        <f t="shared" si="30"/>
        <v>0</v>
      </c>
      <c r="R224" s="144">
        <f t="shared" si="30"/>
        <v>0</v>
      </c>
      <c r="S224" s="144">
        <f t="shared" si="30"/>
        <v>0</v>
      </c>
      <c r="T224" s="144">
        <f t="shared" si="30"/>
        <v>0</v>
      </c>
      <c r="U224" s="144">
        <f t="shared" si="30"/>
        <v>0</v>
      </c>
      <c r="V224" s="144">
        <f t="shared" si="30"/>
        <v>0</v>
      </c>
      <c r="W224" s="144">
        <f t="shared" si="30"/>
        <v>0</v>
      </c>
      <c r="X224" s="144">
        <f t="shared" si="30"/>
        <v>0</v>
      </c>
      <c r="Y224" s="144">
        <f t="shared" si="30"/>
        <v>0</v>
      </c>
      <c r="Z224" s="144">
        <f t="shared" si="30"/>
        <v>0</v>
      </c>
      <c r="AA224" s="144">
        <f t="shared" si="30"/>
        <v>0</v>
      </c>
      <c r="AB224" s="144">
        <f t="shared" si="30"/>
        <v>0</v>
      </c>
      <c r="AC224" s="144">
        <f t="shared" si="30"/>
        <v>0</v>
      </c>
      <c r="AD224" s="144">
        <f t="shared" si="30"/>
        <v>0</v>
      </c>
      <c r="AE224" s="144">
        <f t="shared" si="30"/>
        <v>0</v>
      </c>
      <c r="AF224" s="145">
        <f t="shared" si="30"/>
        <v>0</v>
      </c>
      <c r="AG224" s="146">
        <f t="shared" si="30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31">AF226</f>
        <v>0</v>
      </c>
      <c r="C226" s="149">
        <v>0.3</v>
      </c>
      <c r="D226" s="149">
        <f t="shared" ref="D226:P231" si="32">C226</f>
        <v>0.3</v>
      </c>
      <c r="E226" s="149">
        <f t="shared" si="32"/>
        <v>0.3</v>
      </c>
      <c r="F226" s="149">
        <f t="shared" si="32"/>
        <v>0.3</v>
      </c>
      <c r="G226" s="149">
        <f t="shared" si="32"/>
        <v>0.3</v>
      </c>
      <c r="H226" s="149">
        <f t="shared" si="32"/>
        <v>0.3</v>
      </c>
      <c r="I226" s="149">
        <f t="shared" si="32"/>
        <v>0.3</v>
      </c>
      <c r="J226" s="149">
        <f t="shared" si="32"/>
        <v>0.3</v>
      </c>
      <c r="K226" s="149">
        <f t="shared" si="32"/>
        <v>0.3</v>
      </c>
      <c r="L226" s="149">
        <f t="shared" si="32"/>
        <v>0.3</v>
      </c>
      <c r="M226" s="149">
        <f t="shared" si="32"/>
        <v>0.3</v>
      </c>
      <c r="N226" s="149">
        <f t="shared" si="32"/>
        <v>0.3</v>
      </c>
      <c r="O226" s="149">
        <f t="shared" si="32"/>
        <v>0.3</v>
      </c>
      <c r="P226" s="149">
        <f t="shared" si="32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31"/>
        <v>0</v>
      </c>
      <c r="C227" s="136">
        <v>0.4</v>
      </c>
      <c r="D227" s="136">
        <f t="shared" si="32"/>
        <v>0.4</v>
      </c>
      <c r="E227" s="136">
        <f t="shared" si="32"/>
        <v>0.4</v>
      </c>
      <c r="F227" s="136">
        <f t="shared" si="32"/>
        <v>0.4</v>
      </c>
      <c r="G227" s="136">
        <f t="shared" si="32"/>
        <v>0.4</v>
      </c>
      <c r="H227" s="136">
        <f t="shared" si="32"/>
        <v>0.4</v>
      </c>
      <c r="I227" s="136">
        <f t="shared" si="32"/>
        <v>0.4</v>
      </c>
      <c r="J227" s="136">
        <f t="shared" si="32"/>
        <v>0.4</v>
      </c>
      <c r="K227" s="136">
        <f t="shared" si="32"/>
        <v>0.4</v>
      </c>
      <c r="L227" s="136">
        <f t="shared" si="32"/>
        <v>0.4</v>
      </c>
      <c r="M227" s="136">
        <f t="shared" si="32"/>
        <v>0.4</v>
      </c>
      <c r="N227" s="136">
        <f t="shared" si="32"/>
        <v>0.4</v>
      </c>
      <c r="O227" s="136">
        <f t="shared" si="32"/>
        <v>0.4</v>
      </c>
      <c r="P227" s="136">
        <f t="shared" si="32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31"/>
        <v>0</v>
      </c>
      <c r="C228" s="136">
        <v>1.5</v>
      </c>
      <c r="D228" s="136">
        <f t="shared" si="32"/>
        <v>1.5</v>
      </c>
      <c r="E228" s="136">
        <f t="shared" si="32"/>
        <v>1.5</v>
      </c>
      <c r="F228" s="136">
        <f t="shared" si="32"/>
        <v>1.5</v>
      </c>
      <c r="G228" s="136">
        <f t="shared" si="32"/>
        <v>1.5</v>
      </c>
      <c r="H228" s="136">
        <f t="shared" si="32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2"/>
        <v>1.5</v>
      </c>
      <c r="K228" s="136">
        <f t="shared" ca="1" si="32"/>
        <v>1.5</v>
      </c>
      <c r="L228" s="136">
        <f t="shared" ca="1" si="32"/>
        <v>1.5</v>
      </c>
      <c r="M228" s="136">
        <f t="shared" ca="1" si="32"/>
        <v>1.5</v>
      </c>
      <c r="N228" s="136">
        <f t="shared" ca="1" si="32"/>
        <v>1.5</v>
      </c>
      <c r="O228" s="136">
        <f t="shared" ca="1" si="32"/>
        <v>1.5</v>
      </c>
      <c r="P228" s="136">
        <f t="shared" ca="1" si="32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31"/>
        <v>0</v>
      </c>
      <c r="C229" s="136">
        <v>0.3</v>
      </c>
      <c r="D229" s="136">
        <f t="shared" si="32"/>
        <v>0.3</v>
      </c>
      <c r="E229" s="136">
        <f t="shared" si="32"/>
        <v>0.3</v>
      </c>
      <c r="F229" s="136">
        <f t="shared" si="32"/>
        <v>0.3</v>
      </c>
      <c r="G229" s="136">
        <f t="shared" si="32"/>
        <v>0.3</v>
      </c>
      <c r="H229" s="136">
        <f t="shared" si="32"/>
        <v>0.3</v>
      </c>
      <c r="I229" s="136">
        <f t="shared" si="32"/>
        <v>0.3</v>
      </c>
      <c r="J229" s="136">
        <f t="shared" si="32"/>
        <v>0.3</v>
      </c>
      <c r="K229" s="136">
        <f t="shared" si="32"/>
        <v>0.3</v>
      </c>
      <c r="L229" s="136">
        <f t="shared" si="32"/>
        <v>0.3</v>
      </c>
      <c r="M229" s="136">
        <f t="shared" si="32"/>
        <v>0.3</v>
      </c>
      <c r="N229" s="136">
        <f t="shared" si="32"/>
        <v>0.3</v>
      </c>
      <c r="O229" s="136">
        <f t="shared" si="32"/>
        <v>0.3</v>
      </c>
      <c r="P229" s="136">
        <f t="shared" si="32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31"/>
        <v>0</v>
      </c>
      <c r="C230" s="136">
        <v>0.4</v>
      </c>
      <c r="D230" s="136">
        <f t="shared" si="32"/>
        <v>0.4</v>
      </c>
      <c r="E230" s="136">
        <f t="shared" si="32"/>
        <v>0.4</v>
      </c>
      <c r="F230" s="136">
        <f t="shared" si="32"/>
        <v>0.4</v>
      </c>
      <c r="G230" s="136">
        <f t="shared" si="32"/>
        <v>0.4</v>
      </c>
      <c r="H230" s="136">
        <f t="shared" si="32"/>
        <v>0.4</v>
      </c>
      <c r="I230" s="136">
        <f t="shared" si="32"/>
        <v>0.4</v>
      </c>
      <c r="J230" s="136">
        <f t="shared" si="32"/>
        <v>0.4</v>
      </c>
      <c r="K230" s="136">
        <f t="shared" si="32"/>
        <v>0.4</v>
      </c>
      <c r="L230" s="136">
        <f t="shared" si="32"/>
        <v>0.4</v>
      </c>
      <c r="M230" s="136">
        <f t="shared" si="32"/>
        <v>0.4</v>
      </c>
      <c r="N230" s="136">
        <f t="shared" si="32"/>
        <v>0.4</v>
      </c>
      <c r="O230" s="136">
        <f t="shared" si="32"/>
        <v>0.4</v>
      </c>
      <c r="P230" s="136">
        <f t="shared" si="32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31"/>
        <v>0</v>
      </c>
      <c r="C231" s="140">
        <v>0.64</v>
      </c>
      <c r="D231" s="140">
        <f t="shared" si="32"/>
        <v>0.64</v>
      </c>
      <c r="E231" s="140">
        <f t="shared" si="32"/>
        <v>0.64</v>
      </c>
      <c r="F231" s="140">
        <f t="shared" si="32"/>
        <v>0.64</v>
      </c>
      <c r="G231" s="140">
        <f t="shared" si="32"/>
        <v>0.64</v>
      </c>
      <c r="H231" s="140">
        <f t="shared" si="32"/>
        <v>0.64</v>
      </c>
      <c r="I231" s="140">
        <f t="shared" si="32"/>
        <v>0.64</v>
      </c>
      <c r="J231" s="140">
        <f t="shared" si="32"/>
        <v>0.64</v>
      </c>
      <c r="K231" s="140">
        <f t="shared" si="32"/>
        <v>0.64</v>
      </c>
      <c r="L231" s="140">
        <f t="shared" si="32"/>
        <v>0.64</v>
      </c>
      <c r="M231" s="140">
        <f t="shared" si="32"/>
        <v>0.64</v>
      </c>
      <c r="N231" s="140">
        <f t="shared" si="32"/>
        <v>0.64</v>
      </c>
      <c r="O231" s="140">
        <f t="shared" si="32"/>
        <v>0.64</v>
      </c>
      <c r="P231" s="140">
        <f t="shared" si="32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33">SUM(B226:B231)</f>
        <v>0</v>
      </c>
      <c r="C232" s="144">
        <f t="shared" si="33"/>
        <v>3.54</v>
      </c>
      <c r="D232" s="144">
        <f t="shared" si="33"/>
        <v>3.54</v>
      </c>
      <c r="E232" s="144">
        <f t="shared" si="33"/>
        <v>3.54</v>
      </c>
      <c r="F232" s="144">
        <f t="shared" si="33"/>
        <v>3.54</v>
      </c>
      <c r="G232" s="144">
        <f t="shared" si="33"/>
        <v>3.54</v>
      </c>
      <c r="H232" s="144">
        <f t="shared" si="33"/>
        <v>3.54</v>
      </c>
      <c r="I232" s="144">
        <f t="shared" ca="1" si="33"/>
        <v>3.54</v>
      </c>
      <c r="J232" s="144">
        <f t="shared" ca="1" si="33"/>
        <v>3.54</v>
      </c>
      <c r="K232" s="144">
        <f t="shared" ca="1" si="33"/>
        <v>3.54</v>
      </c>
      <c r="L232" s="144">
        <f t="shared" ca="1" si="33"/>
        <v>3.54</v>
      </c>
      <c r="M232" s="144">
        <f t="shared" ca="1" si="33"/>
        <v>3.54</v>
      </c>
      <c r="N232" s="144">
        <f t="shared" ca="1" si="33"/>
        <v>3.54</v>
      </c>
      <c r="O232" s="144">
        <f t="shared" ca="1" si="33"/>
        <v>3.54</v>
      </c>
      <c r="P232" s="144">
        <f t="shared" ca="1" si="33"/>
        <v>3.54</v>
      </c>
      <c r="Q232" s="144">
        <f t="shared" si="33"/>
        <v>0</v>
      </c>
      <c r="R232" s="144">
        <f t="shared" si="33"/>
        <v>0</v>
      </c>
      <c r="S232" s="144">
        <f t="shared" si="33"/>
        <v>0</v>
      </c>
      <c r="T232" s="144">
        <f t="shared" si="33"/>
        <v>0</v>
      </c>
      <c r="U232" s="144">
        <f t="shared" si="33"/>
        <v>0</v>
      </c>
      <c r="V232" s="144">
        <f t="shared" si="33"/>
        <v>0</v>
      </c>
      <c r="W232" s="144">
        <f t="shared" si="33"/>
        <v>0</v>
      </c>
      <c r="X232" s="144">
        <f t="shared" si="33"/>
        <v>0</v>
      </c>
      <c r="Y232" s="144">
        <f t="shared" si="33"/>
        <v>0</v>
      </c>
      <c r="Z232" s="144">
        <f t="shared" si="33"/>
        <v>0</v>
      </c>
      <c r="AA232" s="144">
        <f t="shared" si="33"/>
        <v>0</v>
      </c>
      <c r="AB232" s="144">
        <f t="shared" si="33"/>
        <v>0</v>
      </c>
      <c r="AC232" s="144">
        <f t="shared" si="33"/>
        <v>0</v>
      </c>
      <c r="AD232" s="144">
        <f t="shared" si="33"/>
        <v>0</v>
      </c>
      <c r="AE232" s="144">
        <f t="shared" si="33"/>
        <v>0</v>
      </c>
      <c r="AF232" s="144">
        <f t="shared" si="33"/>
        <v>0</v>
      </c>
      <c r="AG232" s="154">
        <f t="shared" si="33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1431.6390000000001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26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2079/12/26)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2079/12/26)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4">B89</f>
        <v>1262.6390000000001</v>
      </c>
      <c r="U246" s="180">
        <f t="shared" si="34"/>
        <v>1055.3389999999999</v>
      </c>
      <c r="V246" s="180">
        <f t="shared" si="34"/>
        <v>1050.3389999999999</v>
      </c>
      <c r="W246" s="180">
        <f t="shared" si="34"/>
        <v>1020.6389999999999</v>
      </c>
      <c r="X246" s="180">
        <f t="shared" si="34"/>
        <v>989.53899999999999</v>
      </c>
      <c r="Y246" s="180">
        <f t="shared" si="34"/>
        <v>1015.9390000000001</v>
      </c>
      <c r="Z246" s="180">
        <f t="shared" si="34"/>
        <v>1075.039</v>
      </c>
      <c r="AA246" s="180">
        <f t="shared" si="34"/>
        <v>1119.539</v>
      </c>
      <c r="AB246" s="180">
        <f t="shared" si="34"/>
        <v>1186.1289999999999</v>
      </c>
      <c r="AC246" s="180">
        <f t="shared" si="34"/>
        <v>1251.9389999999999</v>
      </c>
      <c r="AD246" s="180">
        <f t="shared" si="34"/>
        <v>1327.739</v>
      </c>
      <c r="AE246" s="180">
        <f t="shared" si="34"/>
        <v>1402.739</v>
      </c>
      <c r="AF246" s="180">
        <f t="shared" si="34"/>
        <v>1431.6390000000001</v>
      </c>
      <c r="AG246" s="180">
        <f t="shared" si="34"/>
        <v>1433.6390000000001</v>
      </c>
      <c r="AH246" s="180">
        <f t="shared" si="34"/>
        <v>1412.74</v>
      </c>
      <c r="AI246" s="180">
        <f t="shared" si="34"/>
        <v>1476.7400000000002</v>
      </c>
      <c r="AJ246" s="180">
        <f t="shared" si="34"/>
        <v>1417.7400000000002</v>
      </c>
      <c r="AK246" s="180">
        <f t="shared" si="34"/>
        <v>1454.54</v>
      </c>
      <c r="AL246" s="180">
        <f t="shared" si="34"/>
        <v>1457.44</v>
      </c>
      <c r="AM246" s="180">
        <f t="shared" si="34"/>
        <v>1475.8400000000001</v>
      </c>
      <c r="AN246" s="180">
        <f t="shared" si="34"/>
        <v>1355.6399999999999</v>
      </c>
      <c r="AO246" s="180">
        <f t="shared" si="34"/>
        <v>1312.8400000000001</v>
      </c>
      <c r="AP246" s="180">
        <f t="shared" si="34"/>
        <v>1456.04</v>
      </c>
      <c r="AQ246" s="180">
        <f t="shared" si="34"/>
        <v>1543.64</v>
      </c>
      <c r="AR246" s="180">
        <f t="shared" si="34"/>
        <v>1705.89</v>
      </c>
      <c r="AS246" s="180">
        <f t="shared" si="34"/>
        <v>1675.54</v>
      </c>
      <c r="AT246" s="180">
        <f t="shared" si="34"/>
        <v>1554.24</v>
      </c>
      <c r="AU246" s="180">
        <f t="shared" si="34"/>
        <v>1544.54</v>
      </c>
      <c r="AV246" s="180">
        <f t="shared" si="34"/>
        <v>1485.54</v>
      </c>
      <c r="AW246" s="180">
        <f t="shared" si="34"/>
        <v>1369.54</v>
      </c>
      <c r="AX246" s="180">
        <f t="shared" si="34"/>
        <v>1346.54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5">C231</f>
        <v>0.64</v>
      </c>
      <c r="C267" s="183">
        <f t="shared" si="35"/>
        <v>0.64</v>
      </c>
      <c r="D267" s="183">
        <f t="shared" si="35"/>
        <v>0.64</v>
      </c>
      <c r="E267" s="183">
        <f t="shared" si="35"/>
        <v>0.64</v>
      </c>
      <c r="F267" s="183">
        <f t="shared" si="35"/>
        <v>0.64</v>
      </c>
      <c r="G267" s="183">
        <f t="shared" si="35"/>
        <v>0.64</v>
      </c>
      <c r="H267" s="183">
        <f t="shared" si="35"/>
        <v>0.64</v>
      </c>
      <c r="I267" s="183">
        <f t="shared" si="35"/>
        <v>0.64</v>
      </c>
      <c r="J267" s="183">
        <f t="shared" si="35"/>
        <v>0.64</v>
      </c>
      <c r="K267" s="183">
        <f t="shared" si="35"/>
        <v>0.64</v>
      </c>
      <c r="L267" s="183">
        <f t="shared" si="35"/>
        <v>0.64</v>
      </c>
      <c r="M267" s="183">
        <f t="shared" si="35"/>
        <v>0.64</v>
      </c>
      <c r="N267" s="183">
        <f t="shared" si="35"/>
        <v>0.64</v>
      </c>
      <c r="O267" s="183">
        <f t="shared" si="35"/>
        <v>0.64</v>
      </c>
      <c r="P267" s="183">
        <f t="shared" si="35"/>
        <v>0</v>
      </c>
      <c r="Q267" s="183">
        <f t="shared" si="35"/>
        <v>0</v>
      </c>
      <c r="R267" s="183">
        <f t="shared" si="35"/>
        <v>0</v>
      </c>
      <c r="S267" s="183">
        <f t="shared" si="35"/>
        <v>0</v>
      </c>
      <c r="T267" s="183">
        <f t="shared" si="35"/>
        <v>0</v>
      </c>
      <c r="U267" s="183">
        <f t="shared" si="35"/>
        <v>0</v>
      </c>
      <c r="V267" s="183">
        <f t="shared" si="35"/>
        <v>0</v>
      </c>
      <c r="W267" s="183">
        <f t="shared" si="35"/>
        <v>0</v>
      </c>
      <c r="X267" s="183">
        <f t="shared" si="35"/>
        <v>0</v>
      </c>
      <c r="Y267" s="183">
        <f t="shared" si="35"/>
        <v>0</v>
      </c>
      <c r="Z267" s="183">
        <f t="shared" si="35"/>
        <v>0</v>
      </c>
      <c r="AA267" s="183">
        <f t="shared" si="35"/>
        <v>0</v>
      </c>
      <c r="AB267" s="183">
        <f t="shared" si="35"/>
        <v>0</v>
      </c>
      <c r="AC267" s="183">
        <f t="shared" si="35"/>
        <v>0</v>
      </c>
      <c r="AD267" s="183">
        <f t="shared" si="35"/>
        <v>0</v>
      </c>
      <c r="AE267" s="183">
        <f t="shared" si="35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6">IF(B235&lt;100,"",B235-520)</f>
        <v/>
      </c>
      <c r="C268" s="184" t="str">
        <f t="shared" si="36"/>
        <v/>
      </c>
      <c r="D268" s="184" t="str">
        <f t="shared" si="36"/>
        <v/>
      </c>
      <c r="E268" s="184" t="str">
        <f t="shared" si="36"/>
        <v/>
      </c>
      <c r="F268" s="184" t="str">
        <f t="shared" si="36"/>
        <v/>
      </c>
      <c r="G268" s="184" t="str">
        <f t="shared" si="36"/>
        <v/>
      </c>
      <c r="H268" s="184" t="str">
        <f t="shared" si="36"/>
        <v/>
      </c>
      <c r="I268" s="184" t="str">
        <f t="shared" si="36"/>
        <v/>
      </c>
      <c r="J268" s="184" t="str">
        <f t="shared" si="36"/>
        <v/>
      </c>
      <c r="K268" s="184" t="str">
        <f t="shared" si="36"/>
        <v/>
      </c>
      <c r="L268" s="184" t="str">
        <f t="shared" si="36"/>
        <v/>
      </c>
      <c r="M268" s="184" t="str">
        <f t="shared" si="36"/>
        <v/>
      </c>
      <c r="N268" s="184" t="str">
        <f t="shared" si="36"/>
        <v/>
      </c>
      <c r="O268" s="184" t="str">
        <f t="shared" si="36"/>
        <v/>
      </c>
      <c r="P268" s="184" t="str">
        <f t="shared" si="36"/>
        <v/>
      </c>
      <c r="Q268" s="184" t="str">
        <f t="shared" si="36"/>
        <v/>
      </c>
      <c r="R268" s="184" t="str">
        <f t="shared" si="36"/>
        <v/>
      </c>
      <c r="S268" s="184" t="str">
        <f t="shared" si="36"/>
        <v/>
      </c>
      <c r="T268" s="184" t="str">
        <f t="shared" si="36"/>
        <v/>
      </c>
      <c r="U268" s="184" t="str">
        <f t="shared" si="36"/>
        <v/>
      </c>
      <c r="V268" s="184" t="str">
        <f t="shared" si="36"/>
        <v/>
      </c>
      <c r="W268" s="184" t="str">
        <f t="shared" si="36"/>
        <v/>
      </c>
      <c r="X268" s="184" t="str">
        <f t="shared" si="36"/>
        <v/>
      </c>
      <c r="Y268" s="184" t="str">
        <f t="shared" si="36"/>
        <v/>
      </c>
      <c r="Z268" s="184" t="str">
        <f t="shared" si="36"/>
        <v/>
      </c>
      <c r="AA268" s="184" t="str">
        <f t="shared" si="36"/>
        <v/>
      </c>
      <c r="AB268" s="184" t="str">
        <f t="shared" si="36"/>
        <v/>
      </c>
      <c r="AC268" s="184" t="str">
        <f t="shared" si="36"/>
        <v/>
      </c>
      <c r="AD268" s="184" t="str">
        <f t="shared" si="36"/>
        <v/>
      </c>
      <c r="AE268" s="184" t="str">
        <f t="shared" si="36"/>
        <v/>
      </c>
      <c r="AF268" s="184" t="str">
        <f t="shared" si="36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7">IF(B236&lt;100,"",B236-620)</f>
        <v/>
      </c>
      <c r="C269" s="184" t="str">
        <f t="shared" si="37"/>
        <v/>
      </c>
      <c r="D269" s="184" t="str">
        <f t="shared" si="37"/>
        <v/>
      </c>
      <c r="E269" s="184" t="str">
        <f t="shared" si="37"/>
        <v/>
      </c>
      <c r="F269" s="184" t="str">
        <f t="shared" si="37"/>
        <v/>
      </c>
      <c r="G269" s="184" t="str">
        <f t="shared" si="37"/>
        <v/>
      </c>
      <c r="H269" s="184" t="str">
        <f t="shared" si="37"/>
        <v/>
      </c>
      <c r="I269" s="184" t="str">
        <f t="shared" si="37"/>
        <v/>
      </c>
      <c r="J269" s="184" t="str">
        <f t="shared" si="37"/>
        <v/>
      </c>
      <c r="K269" s="184" t="str">
        <f t="shared" si="37"/>
        <v/>
      </c>
      <c r="L269" s="184" t="str">
        <f t="shared" si="37"/>
        <v/>
      </c>
      <c r="M269" s="184" t="str">
        <f t="shared" si="37"/>
        <v/>
      </c>
      <c r="N269" s="184" t="str">
        <f t="shared" si="37"/>
        <v/>
      </c>
      <c r="O269" s="184" t="str">
        <f t="shared" si="37"/>
        <v/>
      </c>
      <c r="P269" s="184" t="str">
        <f t="shared" si="37"/>
        <v/>
      </c>
      <c r="Q269" s="184" t="str">
        <f t="shared" si="37"/>
        <v/>
      </c>
      <c r="R269" s="184" t="str">
        <f t="shared" si="37"/>
        <v/>
      </c>
      <c r="S269" s="184" t="str">
        <f t="shared" si="37"/>
        <v/>
      </c>
      <c r="T269" s="184" t="str">
        <f t="shared" si="37"/>
        <v/>
      </c>
      <c r="U269" s="184" t="str">
        <f t="shared" si="37"/>
        <v/>
      </c>
      <c r="V269" s="184" t="str">
        <f t="shared" si="37"/>
        <v/>
      </c>
      <c r="W269" s="184" t="str">
        <f t="shared" si="37"/>
        <v/>
      </c>
      <c r="X269" s="184" t="str">
        <f t="shared" si="37"/>
        <v/>
      </c>
      <c r="Y269" s="184" t="str">
        <f t="shared" si="37"/>
        <v/>
      </c>
      <c r="Z269" s="184" t="str">
        <f t="shared" si="37"/>
        <v/>
      </c>
      <c r="AA269" s="184" t="str">
        <f t="shared" si="37"/>
        <v/>
      </c>
      <c r="AB269" s="184" t="str">
        <f t="shared" si="37"/>
        <v/>
      </c>
      <c r="AC269" s="184" t="str">
        <f t="shared" si="37"/>
        <v/>
      </c>
      <c r="AD269" s="184" t="str">
        <f t="shared" si="37"/>
        <v/>
      </c>
      <c r="AE269" s="184" t="str">
        <f t="shared" si="37"/>
        <v/>
      </c>
      <c r="AF269" s="184" t="str">
        <f t="shared" si="37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8">IF(B237&lt;100,"",B237-330)</f>
        <v/>
      </c>
      <c r="C270" s="184" t="str">
        <f t="shared" si="38"/>
        <v/>
      </c>
      <c r="D270" s="184" t="str">
        <f t="shared" si="38"/>
        <v/>
      </c>
      <c r="E270" s="184" t="str">
        <f t="shared" si="38"/>
        <v/>
      </c>
      <c r="F270" s="184" t="str">
        <f t="shared" si="38"/>
        <v/>
      </c>
      <c r="G270" s="184" t="str">
        <f t="shared" si="38"/>
        <v/>
      </c>
      <c r="H270" s="184" t="str">
        <f t="shared" si="38"/>
        <v/>
      </c>
      <c r="I270" s="184" t="str">
        <f t="shared" si="38"/>
        <v/>
      </c>
      <c r="J270" s="184" t="str">
        <f t="shared" si="38"/>
        <v/>
      </c>
      <c r="K270" s="184" t="str">
        <f t="shared" si="38"/>
        <v/>
      </c>
      <c r="L270" s="184" t="str">
        <f t="shared" si="38"/>
        <v/>
      </c>
      <c r="M270" s="184" t="str">
        <f t="shared" si="38"/>
        <v/>
      </c>
      <c r="N270" s="184" t="str">
        <f t="shared" si="38"/>
        <v/>
      </c>
      <c r="O270" s="184" t="str">
        <f t="shared" si="38"/>
        <v/>
      </c>
      <c r="P270" s="184" t="str">
        <f t="shared" si="38"/>
        <v/>
      </c>
      <c r="Q270" s="184" t="str">
        <f t="shared" si="38"/>
        <v/>
      </c>
      <c r="R270" s="184" t="str">
        <f t="shared" si="38"/>
        <v/>
      </c>
      <c r="S270" s="184" t="str">
        <f t="shared" si="38"/>
        <v/>
      </c>
      <c r="T270" s="184" t="str">
        <f t="shared" si="38"/>
        <v/>
      </c>
      <c r="U270" s="184" t="str">
        <f t="shared" si="38"/>
        <v/>
      </c>
      <c r="V270" s="184" t="str">
        <f t="shared" si="38"/>
        <v/>
      </c>
      <c r="W270" s="184" t="str">
        <f t="shared" si="38"/>
        <v/>
      </c>
      <c r="X270" s="184" t="str">
        <f t="shared" si="38"/>
        <v/>
      </c>
      <c r="Y270" s="184" t="str">
        <f t="shared" si="38"/>
        <v/>
      </c>
      <c r="Z270" s="184" t="str">
        <f t="shared" si="38"/>
        <v/>
      </c>
      <c r="AA270" s="184" t="str">
        <f t="shared" si="38"/>
        <v/>
      </c>
      <c r="AB270" s="184" t="str">
        <f t="shared" si="38"/>
        <v/>
      </c>
      <c r="AC270" s="184" t="str">
        <f t="shared" si="38"/>
        <v/>
      </c>
      <c r="AD270" s="184" t="str">
        <f t="shared" si="38"/>
        <v/>
      </c>
      <c r="AE270" s="184" t="str">
        <f t="shared" si="38"/>
        <v/>
      </c>
      <c r="AF270" s="184" t="str">
        <f t="shared" si="38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9">IF(B238&lt;100,"",B238-1500)</f>
        <v/>
      </c>
      <c r="C271" s="184" t="str">
        <f t="shared" si="39"/>
        <v/>
      </c>
      <c r="D271" s="184" t="str">
        <f t="shared" si="39"/>
        <v/>
      </c>
      <c r="E271" s="184" t="str">
        <f t="shared" si="39"/>
        <v/>
      </c>
      <c r="F271" s="184" t="str">
        <f t="shared" si="39"/>
        <v/>
      </c>
      <c r="G271" s="184" t="str">
        <f t="shared" si="39"/>
        <v/>
      </c>
      <c r="H271" s="184" t="str">
        <f t="shared" si="39"/>
        <v/>
      </c>
      <c r="I271" s="184" t="str">
        <f t="shared" si="39"/>
        <v/>
      </c>
      <c r="J271" s="184" t="str">
        <f t="shared" si="39"/>
        <v/>
      </c>
      <c r="K271" s="184" t="str">
        <f t="shared" si="39"/>
        <v/>
      </c>
      <c r="L271" s="184" t="str">
        <f t="shared" si="39"/>
        <v/>
      </c>
      <c r="M271" s="184" t="str">
        <f t="shared" si="39"/>
        <v/>
      </c>
      <c r="N271" s="184" t="str">
        <f t="shared" si="39"/>
        <v/>
      </c>
      <c r="O271" s="184" t="str">
        <f t="shared" si="39"/>
        <v/>
      </c>
      <c r="P271" s="184" t="str">
        <f t="shared" si="39"/>
        <v/>
      </c>
      <c r="Q271" s="184" t="str">
        <f t="shared" si="39"/>
        <v/>
      </c>
      <c r="R271" s="184" t="str">
        <f t="shared" si="39"/>
        <v/>
      </c>
      <c r="S271" s="184" t="str">
        <f t="shared" si="39"/>
        <v/>
      </c>
      <c r="T271" s="184" t="str">
        <f t="shared" si="39"/>
        <v/>
      </c>
      <c r="U271" s="184" t="str">
        <f t="shared" si="39"/>
        <v/>
      </c>
      <c r="V271" s="184" t="str">
        <f t="shared" si="39"/>
        <v/>
      </c>
      <c r="W271" s="184" t="str">
        <f t="shared" si="39"/>
        <v/>
      </c>
      <c r="X271" s="184" t="str">
        <f t="shared" si="39"/>
        <v/>
      </c>
      <c r="Y271" s="184" t="str">
        <f t="shared" si="39"/>
        <v/>
      </c>
      <c r="Z271" s="184" t="str">
        <f t="shared" si="39"/>
        <v/>
      </c>
      <c r="AA271" s="184" t="str">
        <f t="shared" si="39"/>
        <v/>
      </c>
      <c r="AB271" s="184" t="str">
        <f t="shared" si="39"/>
        <v/>
      </c>
      <c r="AC271" s="184" t="str">
        <f t="shared" si="39"/>
        <v/>
      </c>
      <c r="AD271" s="184" t="str">
        <f t="shared" si="39"/>
        <v/>
      </c>
      <c r="AE271" s="184" t="str">
        <f t="shared" si="39"/>
        <v/>
      </c>
      <c r="AF271" s="184" t="str">
        <f t="shared" si="39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99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Y109 D111:Y116 AA111:AF116 AA109:AF109">
    <cfRule type="expression" dxfId="2727" priority="495">
      <formula>B$9&gt;=20/24</formula>
    </cfRule>
    <cfRule type="expression" dxfId="2726" priority="496">
      <formula>AND(B$9&gt;=14/24,B$9&lt;20/24)</formula>
    </cfRule>
    <cfRule type="expression" dxfId="2725" priority="497">
      <formula>AND(B$9&gt;=8/24,B$9&lt;14/24)</formula>
    </cfRule>
    <cfRule type="expression" dxfId="2724" priority="498">
      <formula>B$9&lt;8/24</formula>
    </cfRule>
  </conditionalFormatting>
  <conditionalFormatting sqref="AL4:AL6">
    <cfRule type="iconSet" priority="494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2723" priority="493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2722" priority="492">
      <formula>$AH12=0</formula>
    </cfRule>
  </conditionalFormatting>
  <conditionalFormatting sqref="A114">
    <cfRule type="expression" dxfId="2721" priority="491">
      <formula>$AH114=0</formula>
    </cfRule>
  </conditionalFormatting>
  <conditionalFormatting sqref="AL42">
    <cfRule type="iconSet" priority="490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2720" priority="489">
      <formula>$AH45=0</formula>
    </cfRule>
  </conditionalFormatting>
  <conditionalFormatting sqref="A98">
    <cfRule type="expression" dxfId="2719" priority="488">
      <formula>$AH98=0</formula>
    </cfRule>
  </conditionalFormatting>
  <conditionalFormatting sqref="A18">
    <cfRule type="expression" dxfId="2718" priority="487">
      <formula>$AH18=0</formula>
    </cfRule>
  </conditionalFormatting>
  <conditionalFormatting sqref="A196:A201">
    <cfRule type="expression" dxfId="2717" priority="486">
      <formula>$AH196=0</formula>
    </cfRule>
  </conditionalFormatting>
  <conditionalFormatting sqref="A190:A195">
    <cfRule type="expression" dxfId="2716" priority="485">
      <formula>$AH190=0</formula>
    </cfRule>
  </conditionalFormatting>
  <conditionalFormatting sqref="A58">
    <cfRule type="expression" dxfId="2715" priority="484">
      <formula>$AH58=0</formula>
    </cfRule>
  </conditionalFormatting>
  <conditionalFormatting sqref="A94">
    <cfRule type="expression" dxfId="2714" priority="483">
      <formula>$AH94=0</formula>
    </cfRule>
  </conditionalFormatting>
  <conditionalFormatting sqref="AD99:AF99 E99:X99">
    <cfRule type="expression" dxfId="2713" priority="479">
      <formula>E$9&gt;=20/24</formula>
    </cfRule>
    <cfRule type="expression" dxfId="2712" priority="480">
      <formula>AND(E$9&gt;=14/24,E$9&lt;20/24)</formula>
    </cfRule>
    <cfRule type="expression" dxfId="2711" priority="481">
      <formula>AND(E$9&gt;=8/24,E$9&lt;14/24)</formula>
    </cfRule>
    <cfRule type="expression" dxfId="2710" priority="482">
      <formula>E$9&lt;8/24</formula>
    </cfRule>
  </conditionalFormatting>
  <conditionalFormatting sqref="AL43">
    <cfRule type="iconSet" priority="47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709" priority="501">
      <formula>C$9&gt;=20/24</formula>
    </cfRule>
    <cfRule type="expression" dxfId="2708" priority="502">
      <formula>AND(C$9&gt;=14/24,C$9&lt;20/24)</formula>
    </cfRule>
    <cfRule type="expression" dxfId="2707" priority="503">
      <formula>AND(C$9&gt;=8/24,C$9&lt;14/24)</formula>
    </cfRule>
    <cfRule type="expression" dxfId="2706" priority="504">
      <formula>C$9&lt;8/24</formula>
    </cfRule>
  </conditionalFormatting>
  <conditionalFormatting sqref="A233">
    <cfRule type="expression" dxfId="2705" priority="505">
      <formula>$AH233=0</formula>
    </cfRule>
  </conditionalFormatting>
  <conditionalFormatting sqref="AG245">
    <cfRule type="expression" dxfId="2704" priority="506">
      <formula>B$9&gt;=20/24</formula>
    </cfRule>
    <cfRule type="expression" dxfId="2703" priority="507">
      <formula>AND(B$9&gt;=14/24,B$9&lt;20/24)</formula>
    </cfRule>
    <cfRule type="expression" dxfId="2702" priority="508">
      <formula>AND(B$9&gt;=8/24,B$9&lt;14/24)</formula>
    </cfRule>
    <cfRule type="expression" dxfId="2701" priority="509">
      <formula>B$9&lt;8/24</formula>
    </cfRule>
  </conditionalFormatting>
  <conditionalFormatting sqref="S8">
    <cfRule type="expression" dxfId="2700" priority="474">
      <formula>U$9&gt;=20/24</formula>
    </cfRule>
    <cfRule type="expression" dxfId="2699" priority="475">
      <formula>AND(U$9&gt;=14/24,U$9&lt;20/24)</formula>
    </cfRule>
    <cfRule type="expression" dxfId="2698" priority="476">
      <formula>AND(U$9&gt;=8/24,U$9&lt;14/24)</formula>
    </cfRule>
    <cfRule type="expression" dxfId="2697" priority="477">
      <formula>U$9&lt;8/24</formula>
    </cfRule>
  </conditionalFormatting>
  <conditionalFormatting sqref="AB8">
    <cfRule type="expression" dxfId="2696" priority="470">
      <formula>AD$9&gt;=20/24</formula>
    </cfRule>
    <cfRule type="expression" dxfId="2695" priority="471">
      <formula>AND(AD$9&gt;=14/24,AD$9&lt;20/24)</formula>
    </cfRule>
    <cfRule type="expression" dxfId="2694" priority="472">
      <formula>AND(AD$9&gt;=8/24,AD$9&lt;14/24)</formula>
    </cfRule>
    <cfRule type="expression" dxfId="2693" priority="473">
      <formula>AD$9&lt;8/24</formula>
    </cfRule>
  </conditionalFormatting>
  <conditionalFormatting sqref="AH245:AX245">
    <cfRule type="expression" dxfId="2692" priority="510">
      <formula>AG$9&gt;=20/24</formula>
    </cfRule>
    <cfRule type="expression" dxfId="2691" priority="511">
      <formula>AND(AG$9&gt;=14/24,AG$9&lt;20/24)</formula>
    </cfRule>
    <cfRule type="expression" dxfId="2690" priority="512">
      <formula>AND(AG$9&gt;=8/24,AG$9&lt;14/24)</formula>
    </cfRule>
    <cfRule type="expression" dxfId="2689" priority="513">
      <formula>AG$9&lt;8/24</formula>
    </cfRule>
  </conditionalFormatting>
  <conditionalFormatting sqref="T245">
    <cfRule type="expression" dxfId="2688" priority="514">
      <formula>AX$9&gt;=20/24</formula>
    </cfRule>
    <cfRule type="expression" dxfId="2687" priority="515">
      <formula>AND(AX$9&gt;=14/24,AX$9&lt;20/24)</formula>
    </cfRule>
    <cfRule type="expression" dxfId="2686" priority="516">
      <formula>AND(AX$9&gt;=8/24,AX$9&lt;14/24)</formula>
    </cfRule>
    <cfRule type="expression" dxfId="2685" priority="517">
      <formula>AX$9&lt;8/24</formula>
    </cfRule>
  </conditionalFormatting>
  <conditionalFormatting sqref="A115:A116">
    <cfRule type="expression" dxfId="2684" priority="469">
      <formula>$AH115=0</formula>
    </cfRule>
  </conditionalFormatting>
  <conditionalFormatting sqref="M54:Q58 F71:Y71 AC54:AF55 AA71:AF71">
    <cfRule type="expression" dxfId="2683" priority="465">
      <formula>F$9&gt;=20/24</formula>
    </cfRule>
    <cfRule type="expression" dxfId="2682" priority="466">
      <formula>AND(F$9&gt;=14/24,F$9&lt;20/24)</formula>
    </cfRule>
    <cfRule type="expression" dxfId="2681" priority="467">
      <formula>AND(F$9&gt;=8/24,F$9&lt;14/24)</formula>
    </cfRule>
    <cfRule type="expression" dxfId="2680" priority="468">
      <formula>F$9&lt;8/24</formula>
    </cfRule>
  </conditionalFormatting>
  <conditionalFormatting sqref="AC53:AF53 M53:Q53">
    <cfRule type="expression" dxfId="2679" priority="461">
      <formula>M$9&gt;=20/24</formula>
    </cfRule>
    <cfRule type="expression" dxfId="2678" priority="462">
      <formula>AND(M$9&gt;=14/24,M$9&lt;20/24)</formula>
    </cfRule>
    <cfRule type="expression" dxfId="2677" priority="463">
      <formula>AND(M$9&gt;=8/24,M$9&lt;14/24)</formula>
    </cfRule>
    <cfRule type="expression" dxfId="2676" priority="464">
      <formula>M$9&lt;8/24</formula>
    </cfRule>
  </conditionalFormatting>
  <conditionalFormatting sqref="M53:Q58 AC53:AF55">
    <cfRule type="expression" dxfId="2675" priority="460">
      <formula>M53&gt;$AG53</formula>
    </cfRule>
  </conditionalFormatting>
  <conditionalFormatting sqref="D86:Y86 M100:X106 X96:Y96 Y72:Y74 X47:Y47 X67:Y69 F72:X73 AA96:AF96 AA47:AF47 AA86:AF86 AA72:AF74 AE100:AF106">
    <cfRule type="expression" dxfId="2674" priority="456">
      <formula>D$9&gt;=20/24</formula>
    </cfRule>
    <cfRule type="expression" dxfId="2673" priority="457">
      <formula>AND(D$9&gt;=14/24,D$9&lt;20/24)</formula>
    </cfRule>
    <cfRule type="expression" dxfId="2672" priority="458">
      <formula>AND(D$9&gt;=8/24,D$9&lt;14/24)</formula>
    </cfRule>
    <cfRule type="expression" dxfId="2671" priority="459">
      <formula>D$9&lt;8/24</formula>
    </cfRule>
  </conditionalFormatting>
  <conditionalFormatting sqref="X47:Y47 X67:Y69 AA47:AF47">
    <cfRule type="expression" dxfId="2670" priority="455">
      <formula>X47&gt;$AG47</formula>
    </cfRule>
  </conditionalFormatting>
  <conditionalFormatting sqref="R53:Y58 AA53:AB54">
    <cfRule type="expression" dxfId="2669" priority="451">
      <formula>R$9&gt;=20/24</formula>
    </cfRule>
    <cfRule type="expression" dxfId="2668" priority="452">
      <formula>AND(R$9&gt;=14/24,R$9&lt;20/24)</formula>
    </cfRule>
    <cfRule type="expression" dxfId="2667" priority="453">
      <formula>AND(R$9&gt;=8/24,R$9&lt;14/24)</formula>
    </cfRule>
    <cfRule type="expression" dxfId="2666" priority="454">
      <formula>R$9&lt;8/24</formula>
    </cfRule>
  </conditionalFormatting>
  <conditionalFormatting sqref="R53:Y58 AA53:AB54">
    <cfRule type="expression" dxfId="2665" priority="450">
      <formula>R53&gt;$AG53</formula>
    </cfRule>
  </conditionalFormatting>
  <conditionalFormatting sqref="C97:Y97 D88:Y88 AA97:AF97 AA88:AF88">
    <cfRule type="expression" dxfId="2664" priority="446">
      <formula>C$9&gt;=20/24</formula>
    </cfRule>
    <cfRule type="expression" dxfId="2663" priority="447">
      <formula>AND(C$9&gt;=14/24,C$9&lt;20/24)</formula>
    </cfRule>
    <cfRule type="expression" dxfId="2662" priority="448">
      <formula>AND(C$9&gt;=8/24,C$9&lt;14/24)</formula>
    </cfRule>
    <cfRule type="expression" dxfId="2661" priority="449">
      <formula>C$9&lt;8/24</formula>
    </cfRule>
  </conditionalFormatting>
  <conditionalFormatting sqref="T47:W47">
    <cfRule type="expression" dxfId="2660" priority="442">
      <formula>T$9&gt;=20/24</formula>
    </cfRule>
    <cfRule type="expression" dxfId="2659" priority="443">
      <formula>AND(T$9&gt;=14/24,T$9&lt;20/24)</formula>
    </cfRule>
    <cfRule type="expression" dxfId="2658" priority="444">
      <formula>AND(T$9&gt;=8/24,T$9&lt;14/24)</formula>
    </cfRule>
    <cfRule type="expression" dxfId="2657" priority="445">
      <formula>T$9&lt;8/24</formula>
    </cfRule>
  </conditionalFormatting>
  <conditionalFormatting sqref="T47:W47">
    <cfRule type="expression" dxfId="2656" priority="441">
      <formula>T47&gt;$AG47</formula>
    </cfRule>
  </conditionalFormatting>
  <conditionalFormatting sqref="G54:L55">
    <cfRule type="expression" dxfId="2655" priority="437">
      <formula>G$9&gt;=20/24</formula>
    </cfRule>
    <cfRule type="expression" dxfId="2654" priority="438">
      <formula>AND(G$9&gt;=14/24,G$9&lt;20/24)</formula>
    </cfRule>
    <cfRule type="expression" dxfId="2653" priority="439">
      <formula>AND(G$9&gt;=8/24,G$9&lt;14/24)</formula>
    </cfRule>
    <cfRule type="expression" dxfId="2652" priority="440">
      <formula>G$9&lt;8/24</formula>
    </cfRule>
  </conditionalFormatting>
  <conditionalFormatting sqref="F53:L53">
    <cfRule type="expression" dxfId="2651" priority="433">
      <formula>F$9&gt;=20/24</formula>
    </cfRule>
    <cfRule type="expression" dxfId="2650" priority="434">
      <formula>AND(F$9&gt;=14/24,F$9&lt;20/24)</formula>
    </cfRule>
    <cfRule type="expression" dxfId="2649" priority="435">
      <formula>AND(F$9&gt;=8/24,F$9&lt;14/24)</formula>
    </cfRule>
    <cfRule type="expression" dxfId="2648" priority="436">
      <formula>F$9&lt;8/24</formula>
    </cfRule>
  </conditionalFormatting>
  <conditionalFormatting sqref="F53:L53 G54:L55">
    <cfRule type="expression" dxfId="2647" priority="432">
      <formula>F53&gt;$AG53</formula>
    </cfRule>
  </conditionalFormatting>
  <conditionalFormatting sqref="AG70 AG87 E100:L106 Q67:W69">
    <cfRule type="expression" dxfId="2646" priority="428">
      <formula>E$9&gt;=20/24</formula>
    </cfRule>
    <cfRule type="expression" dxfId="2645" priority="429">
      <formula>AND(E$9&gt;=14/24,E$9&lt;20/24)</formula>
    </cfRule>
    <cfRule type="expression" dxfId="2644" priority="430">
      <formula>AND(E$9&gt;=8/24,E$9&lt;14/24)</formula>
    </cfRule>
    <cfRule type="expression" dxfId="2643" priority="431">
      <formula>E$9&lt;8/24</formula>
    </cfRule>
  </conditionalFormatting>
  <conditionalFormatting sqref="AG48 AG66 AG70 Q67:W69">
    <cfRule type="expression" dxfId="2642" priority="427">
      <formula>Q48&gt;$AG48</formula>
    </cfRule>
  </conditionalFormatting>
  <conditionalFormatting sqref="A43">
    <cfRule type="expression" dxfId="2641" priority="421">
      <formula>$AH43=0</formula>
    </cfRule>
  </conditionalFormatting>
  <conditionalFormatting sqref="X91:Y95 AA91:AF95">
    <cfRule type="expression" dxfId="2640" priority="417">
      <formula>X$9&gt;=20/24</formula>
    </cfRule>
    <cfRule type="expression" dxfId="2639" priority="418">
      <formula>AND(X$9&gt;=14/24,X$9&lt;20/24)</formula>
    </cfRule>
    <cfRule type="expression" dxfId="2638" priority="419">
      <formula>AND(X$9&gt;=8/24,X$9&lt;14/24)</formula>
    </cfRule>
    <cfRule type="expression" dxfId="2637" priority="420">
      <formula>X$9&lt;8/24</formula>
    </cfRule>
  </conditionalFormatting>
  <conditionalFormatting sqref="AL45 AL41 AL22:AL32 AL38:AL39 AL7:AL15 AL17:AL20 AL34:AL36">
    <cfRule type="iconSet" priority="518">
      <iconSet iconSet="3TrafficLights2" reverse="1">
        <cfvo type="percent" val="0"/>
        <cfvo type="num" val="1"/>
        <cfvo type="num" val="1"/>
      </iconSet>
    </cfRule>
  </conditionalFormatting>
  <conditionalFormatting sqref="G49:Y51 AC49:AF49">
    <cfRule type="expression" dxfId="2636" priority="413">
      <formula>G$9&gt;=20/24</formula>
    </cfRule>
    <cfRule type="expression" dxfId="2635" priority="414">
      <formula>AND(G$9&gt;=14/24,G$9&lt;20/24)</formula>
    </cfRule>
    <cfRule type="expression" dxfId="2634" priority="415">
      <formula>AND(G$9&gt;=8/24,G$9&lt;14/24)</formula>
    </cfRule>
    <cfRule type="expression" dxfId="2633" priority="416">
      <formula>G$9&lt;8/24</formula>
    </cfRule>
  </conditionalFormatting>
  <conditionalFormatting sqref="G49:Y51 AC49:AF49">
    <cfRule type="expression" dxfId="2632" priority="412">
      <formula>G49&gt;$AG49</formula>
    </cfRule>
  </conditionalFormatting>
  <conditionalFormatting sqref="AG52">
    <cfRule type="expression" dxfId="2631" priority="408">
      <formula>AG$9&gt;=20/24</formula>
    </cfRule>
    <cfRule type="expression" dxfId="2630" priority="409">
      <formula>AND(AG$9&gt;=14/24,AG$9&lt;20/24)</formula>
    </cfRule>
    <cfRule type="expression" dxfId="2629" priority="410">
      <formula>AND(AG$9&gt;=8/24,AG$9&lt;14/24)</formula>
    </cfRule>
    <cfRule type="expression" dxfId="2628" priority="411">
      <formula>AG$9&lt;8/24</formula>
    </cfRule>
  </conditionalFormatting>
  <conditionalFormatting sqref="AG52">
    <cfRule type="expression" dxfId="2627" priority="407">
      <formula>AG52&gt;$AG52</formula>
    </cfRule>
  </conditionalFormatting>
  <conditionalFormatting sqref="C107:Y107 AA107:AF107">
    <cfRule type="expression" dxfId="2626" priority="403">
      <formula>C$9&gt;=20/24</formula>
    </cfRule>
    <cfRule type="expression" dxfId="2625" priority="404">
      <formula>AND(C$9&gt;=14/24,C$9&lt;20/24)</formula>
    </cfRule>
    <cfRule type="expression" dxfId="2624" priority="405">
      <formula>AND(C$9&gt;=8/24,C$9&lt;14/24)</formula>
    </cfRule>
    <cfRule type="expression" dxfId="2623" priority="406">
      <formula>C$9&lt;8/24</formula>
    </cfRule>
  </conditionalFormatting>
  <conditionalFormatting sqref="AL40">
    <cfRule type="iconSet" priority="402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622" priority="401">
      <formula>$AH40=0</formula>
    </cfRule>
  </conditionalFormatting>
  <conditionalFormatting sqref="A90">
    <cfRule type="expression" dxfId="2621" priority="399">
      <formula>$AH90=0</formula>
    </cfRule>
  </conditionalFormatting>
  <conditionalFormatting sqref="A87">
    <cfRule type="expression" dxfId="2620" priority="400">
      <formula>$AH87=0</formula>
    </cfRule>
  </conditionalFormatting>
  <conditionalFormatting sqref="D110:Y110 AA110:AF110">
    <cfRule type="expression" dxfId="2619" priority="395">
      <formula>D$9&gt;=20/24</formula>
    </cfRule>
    <cfRule type="expression" dxfId="2618" priority="396">
      <formula>AND(D$9&gt;=14/24,D$9&lt;20/24)</formula>
    </cfRule>
    <cfRule type="expression" dxfId="2617" priority="397">
      <formula>AND(D$9&gt;=8/24,D$9&lt;14/24)</formula>
    </cfRule>
    <cfRule type="expression" dxfId="2616" priority="398">
      <formula>D$9&lt;8/24</formula>
    </cfRule>
  </conditionalFormatting>
  <conditionalFormatting sqref="A110">
    <cfRule type="expression" dxfId="2615" priority="394">
      <formula>$AH110=0</formula>
    </cfRule>
  </conditionalFormatting>
  <conditionalFormatting sqref="A21">
    <cfRule type="expression" dxfId="2614" priority="392">
      <formula>$AH21=0</formula>
    </cfRule>
  </conditionalFormatting>
  <conditionalFormatting sqref="AL21">
    <cfRule type="iconSet" priority="393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613" priority="390">
      <formula>$AH37=0</formula>
    </cfRule>
  </conditionalFormatting>
  <conditionalFormatting sqref="AL37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Y99 AA99:AC99">
    <cfRule type="expression" dxfId="2612" priority="386">
      <formula>Y$9&gt;=20/24</formula>
    </cfRule>
    <cfRule type="expression" dxfId="2611" priority="387">
      <formula>AND(Y$9&gt;=14/24,Y$9&lt;20/24)</formula>
    </cfRule>
    <cfRule type="expression" dxfId="2610" priority="388">
      <formula>AND(Y$9&gt;=8/24,Y$9&lt;14/24)</formula>
    </cfRule>
    <cfRule type="expression" dxfId="2609" priority="389">
      <formula>Y$9&lt;8/24</formula>
    </cfRule>
  </conditionalFormatting>
  <conditionalFormatting sqref="Y100:Y106 AA100:AD106">
    <cfRule type="expression" dxfId="2608" priority="382">
      <formula>Y$9&gt;=20/24</formula>
    </cfRule>
    <cfRule type="expression" dxfId="2607" priority="383">
      <formula>AND(Y$9&gt;=14/24,Y$9&lt;20/24)</formula>
    </cfRule>
    <cfRule type="expression" dxfId="2606" priority="384">
      <formula>AND(Y$9&gt;=8/24,Y$9&lt;14/24)</formula>
    </cfRule>
    <cfRule type="expression" dxfId="2605" priority="385">
      <formula>Y$9&lt;8/24</formula>
    </cfRule>
  </conditionalFormatting>
  <conditionalFormatting sqref="C109 C111:C116">
    <cfRule type="expression" dxfId="2604" priority="378">
      <formula>C$9&gt;=20/24</formula>
    </cfRule>
    <cfRule type="expression" dxfId="2603" priority="379">
      <formula>AND(C$9&gt;=14/24,C$9&lt;20/24)</formula>
    </cfRule>
    <cfRule type="expression" dxfId="2602" priority="380">
      <formula>AND(C$9&gt;=8/24,C$9&lt;14/24)</formula>
    </cfRule>
    <cfRule type="expression" dxfId="2601" priority="381">
      <formula>C$9&lt;8/24</formula>
    </cfRule>
  </conditionalFormatting>
  <conditionalFormatting sqref="C47:S47">
    <cfRule type="expression" dxfId="2600" priority="374">
      <formula>C$9&gt;=20/24</formula>
    </cfRule>
    <cfRule type="expression" dxfId="2599" priority="375">
      <formula>AND(C$9&gt;=14/24,C$9&lt;20/24)</formula>
    </cfRule>
    <cfRule type="expression" dxfId="2598" priority="376">
      <formula>AND(C$9&gt;=8/24,C$9&lt;14/24)</formula>
    </cfRule>
    <cfRule type="expression" dxfId="2597" priority="377">
      <formula>C$9&lt;8/24</formula>
    </cfRule>
  </conditionalFormatting>
  <conditionalFormatting sqref="C47:S47">
    <cfRule type="expression" dxfId="2596" priority="373">
      <formula>C47&gt;$AG47</formula>
    </cfRule>
  </conditionalFormatting>
  <conditionalFormatting sqref="C99:D99">
    <cfRule type="expression" dxfId="2595" priority="369">
      <formula>C$9&gt;=20/24</formula>
    </cfRule>
    <cfRule type="expression" dxfId="2594" priority="370">
      <formula>AND(C$9&gt;=14/24,C$9&lt;20/24)</formula>
    </cfRule>
    <cfRule type="expression" dxfId="2593" priority="371">
      <formula>AND(C$9&gt;=8/24,C$9&lt;14/24)</formula>
    </cfRule>
    <cfRule type="expression" dxfId="2592" priority="372">
      <formula>C$9&lt;8/24</formula>
    </cfRule>
  </conditionalFormatting>
  <conditionalFormatting sqref="C86 C96:W96 C83:Y85 C100:D106 Y75 G67:P69 F74:X75 G76:Y76 AA83:AF85 AA75:AF75">
    <cfRule type="expression" dxfId="2591" priority="365">
      <formula>C$9&gt;=20/24</formula>
    </cfRule>
    <cfRule type="expression" dxfId="2590" priority="366">
      <formula>AND(C$9&gt;=14/24,C$9&lt;20/24)</formula>
    </cfRule>
    <cfRule type="expression" dxfId="2589" priority="367">
      <formula>AND(C$9&gt;=8/24,C$9&lt;14/24)</formula>
    </cfRule>
    <cfRule type="expression" dxfId="2588" priority="368">
      <formula>C$9&lt;8/24</formula>
    </cfRule>
  </conditionalFormatting>
  <conditionalFormatting sqref="G56:L57 G67:P69">
    <cfRule type="expression" dxfId="2587" priority="364">
      <formula>G56&gt;$AG56</formula>
    </cfRule>
  </conditionalFormatting>
  <conditionalFormatting sqref="G58:L58">
    <cfRule type="expression" dxfId="2586" priority="360">
      <formula>G$9&gt;=20/24</formula>
    </cfRule>
    <cfRule type="expression" dxfId="2585" priority="361">
      <formula>AND(G$9&gt;=14/24,G$9&lt;20/24)</formula>
    </cfRule>
    <cfRule type="expression" dxfId="2584" priority="362">
      <formula>AND(G$9&gt;=8/24,G$9&lt;14/24)</formula>
    </cfRule>
    <cfRule type="expression" dxfId="2583" priority="363">
      <formula>G$9&lt;8/24</formula>
    </cfRule>
  </conditionalFormatting>
  <conditionalFormatting sqref="G58:L58">
    <cfRule type="expression" dxfId="2582" priority="359">
      <formula>G58&gt;$AG58</formula>
    </cfRule>
  </conditionalFormatting>
  <conditionalFormatting sqref="B71:E71 B54:F57">
    <cfRule type="expression" dxfId="2581" priority="288">
      <formula>B$9&gt;=20/24</formula>
    </cfRule>
    <cfRule type="expression" dxfId="2580" priority="289">
      <formula>AND(B$9&gt;=14/24,B$9&lt;20/24)</formula>
    </cfRule>
    <cfRule type="expression" dxfId="2579" priority="290">
      <formula>AND(B$9&gt;=8/24,B$9&lt;14/24)</formula>
    </cfRule>
    <cfRule type="expression" dxfId="2578" priority="291">
      <formula>B$9&lt;8/24</formula>
    </cfRule>
  </conditionalFormatting>
  <conditionalFormatting sqref="C87:Y87 C89:Y89 C98:Y98 C70:Y70 AA98:AF98 AA89:AF89 AA70:AF70 AA87:AF87">
    <cfRule type="expression" dxfId="2577" priority="355">
      <formula>C$9&gt;=20/24</formula>
    </cfRule>
    <cfRule type="expression" dxfId="2576" priority="356">
      <formula>AND(C$9&gt;=14/24,C$9&lt;20/24)</formula>
    </cfRule>
    <cfRule type="expression" dxfId="2575" priority="357">
      <formula>AND(C$9&gt;=8/24,C$9&lt;14/24)</formula>
    </cfRule>
    <cfRule type="expression" dxfId="2574" priority="358">
      <formula>C$9&lt;8/24</formula>
    </cfRule>
  </conditionalFormatting>
  <conditionalFormatting sqref="C70:Y70 C48:Y48 C65:Y66 AA65:AF66 AA48:AF48 AA70:AF70">
    <cfRule type="expression" dxfId="2573" priority="354">
      <formula>C48&gt;$AG48</formula>
    </cfRule>
  </conditionalFormatting>
  <conditionalFormatting sqref="C82:Y82 AA82:AF82">
    <cfRule type="expression" dxfId="2572" priority="350">
      <formula>C$9&gt;=20/24</formula>
    </cfRule>
    <cfRule type="expression" dxfId="2571" priority="351">
      <formula>AND(C$9&gt;=14/24,C$9&lt;20/24)</formula>
    </cfRule>
    <cfRule type="expression" dxfId="2570" priority="352">
      <formula>AND(C$9&gt;=8/24,C$9&lt;14/24)</formula>
    </cfRule>
    <cfRule type="expression" dxfId="2569" priority="353">
      <formula>C$9&lt;8/24</formula>
    </cfRule>
  </conditionalFormatting>
  <conditionalFormatting sqref="C91:W95">
    <cfRule type="expression" dxfId="2568" priority="346">
      <formula>C$9&gt;=20/24</formula>
    </cfRule>
    <cfRule type="expression" dxfId="2567" priority="347">
      <formula>AND(C$9&gt;=14/24,C$9&lt;20/24)</formula>
    </cfRule>
    <cfRule type="expression" dxfId="2566" priority="348">
      <formula>AND(C$9&gt;=8/24,C$9&lt;14/24)</formula>
    </cfRule>
    <cfRule type="expression" dxfId="2565" priority="349">
      <formula>C$9&lt;8/24</formula>
    </cfRule>
  </conditionalFormatting>
  <conditionalFormatting sqref="C52:Y52 AA52:AF52">
    <cfRule type="expression" dxfId="2564" priority="342">
      <formula>C$9&gt;=20/24</formula>
    </cfRule>
    <cfRule type="expression" dxfId="2563" priority="343">
      <formula>AND(C$9&gt;=14/24,C$9&lt;20/24)</formula>
    </cfRule>
    <cfRule type="expression" dxfId="2562" priority="344">
      <formula>AND(C$9&gt;=8/24,C$9&lt;14/24)</formula>
    </cfRule>
    <cfRule type="expression" dxfId="2561" priority="345">
      <formula>C$9&lt;8/24</formula>
    </cfRule>
  </conditionalFormatting>
  <conditionalFormatting sqref="C52:Y52 AA52:AF52">
    <cfRule type="expression" dxfId="2560" priority="341">
      <formula>C52&gt;$AG52</formula>
    </cfRule>
  </conditionalFormatting>
  <conditionalFormatting sqref="B49:F51">
    <cfRule type="expression" dxfId="2559" priority="256">
      <formula>B$9&gt;=20/24</formula>
    </cfRule>
    <cfRule type="expression" dxfId="2558" priority="257">
      <formula>AND(B$9&gt;=14/24,B$9&lt;20/24)</formula>
    </cfRule>
    <cfRule type="expression" dxfId="2557" priority="258">
      <formula>AND(B$9&gt;=8/24,B$9&lt;14/24)</formula>
    </cfRule>
    <cfRule type="expression" dxfId="2556" priority="259">
      <formula>B$9&lt;8/24</formula>
    </cfRule>
  </conditionalFormatting>
  <conditionalFormatting sqref="C110">
    <cfRule type="expression" dxfId="2555" priority="333">
      <formula>C$9&gt;=20/24</formula>
    </cfRule>
    <cfRule type="expression" dxfId="2554" priority="334">
      <formula>AND(C$9&gt;=14/24,C$9&lt;20/24)</formula>
    </cfRule>
    <cfRule type="expression" dxfId="2553" priority="335">
      <formula>AND(C$9&gt;=8/24,C$9&lt;14/24)</formula>
    </cfRule>
    <cfRule type="expression" dxfId="2552" priority="336">
      <formula>C$9&lt;8/24</formula>
    </cfRule>
  </conditionalFormatting>
  <conditionalFormatting sqref="G59:Y64">
    <cfRule type="expression" dxfId="2551" priority="329">
      <formula>G$9&gt;=20/24</formula>
    </cfRule>
    <cfRule type="expression" dxfId="2550" priority="330">
      <formula>AND(G$9&gt;=14/24,G$9&lt;20/24)</formula>
    </cfRule>
    <cfRule type="expression" dxfId="2549" priority="331">
      <formula>AND(G$9&gt;=8/24,G$9&lt;14/24)</formula>
    </cfRule>
    <cfRule type="expression" dxfId="2548" priority="332">
      <formula>G$9&lt;8/24</formula>
    </cfRule>
  </conditionalFormatting>
  <conditionalFormatting sqref="G59:Y64">
    <cfRule type="expression" dxfId="2547" priority="328">
      <formula>G59&gt;$AG59</formula>
    </cfRule>
  </conditionalFormatting>
  <conditionalFormatting sqref="J13:Y14">
    <cfRule type="expression" dxfId="2546" priority="327">
      <formula>J13&gt;$AG13</formula>
    </cfRule>
  </conditionalFormatting>
  <conditionalFormatting sqref="J12:Y12">
    <cfRule type="expression" dxfId="2545" priority="323">
      <formula>J$9&gt;=20/24</formula>
    </cfRule>
    <cfRule type="expression" dxfId="2544" priority="324">
      <formula>AND(J$9&gt;=14/24,J$9&lt;20/24)</formula>
    </cfRule>
    <cfRule type="expression" dxfId="2543" priority="325">
      <formula>AND(J$9&gt;=8/24,J$9&lt;14/24)</formula>
    </cfRule>
    <cfRule type="expression" dxfId="2542" priority="326">
      <formula>J$9&lt;8/24</formula>
    </cfRule>
  </conditionalFormatting>
  <conditionalFormatting sqref="J12:Y12">
    <cfRule type="expression" dxfId="2541" priority="322">
      <formula>J12&gt;$AG12</formula>
    </cfRule>
  </conditionalFormatting>
  <conditionalFormatting sqref="J13:Y14">
    <cfRule type="expression" dxfId="2540" priority="318">
      <formula>J$9&gt;=20/24</formula>
    </cfRule>
    <cfRule type="expression" dxfId="2539" priority="319">
      <formula>AND(J$9&gt;=14/24,J$9&lt;20/24)</formula>
    </cfRule>
    <cfRule type="expression" dxfId="2538" priority="320">
      <formula>AND(J$9&gt;=8/24,J$9&lt;14/24)</formula>
    </cfRule>
    <cfRule type="expression" dxfId="2537" priority="321">
      <formula>J$9&lt;8/24</formula>
    </cfRule>
  </conditionalFormatting>
  <conditionalFormatting sqref="G77:Y81">
    <cfRule type="expression" dxfId="2536" priority="310">
      <formula>G$9&gt;=20/24</formula>
    </cfRule>
    <cfRule type="expression" dxfId="2535" priority="311">
      <formula>AND(G$9&gt;=14/24,G$9&lt;20/24)</formula>
    </cfRule>
    <cfRule type="expression" dxfId="2534" priority="312">
      <formula>AND(G$9&gt;=8/24,G$9&lt;14/24)</formula>
    </cfRule>
    <cfRule type="expression" dxfId="2533" priority="313">
      <formula>G$9&lt;8/24</formula>
    </cfRule>
  </conditionalFormatting>
  <conditionalFormatting sqref="AL78:AN78 AL84:AN84 AN79:AN80">
    <cfRule type="expression" dxfId="2532" priority="306">
      <formula>AL$9&gt;=20/24</formula>
    </cfRule>
    <cfRule type="expression" dxfId="2531" priority="307">
      <formula>AND(AL$9&gt;=14/24,AL$9&lt;20/24)</formula>
    </cfRule>
    <cfRule type="expression" dxfId="2530" priority="308">
      <formula>AND(AL$9&gt;=8/24,AL$9&lt;14/24)</formula>
    </cfRule>
    <cfRule type="expression" dxfId="2529" priority="309">
      <formula>AL$9&lt;8/24</formula>
    </cfRule>
  </conditionalFormatting>
  <conditionalFormatting sqref="AN81:AN82">
    <cfRule type="expression" dxfId="2528" priority="302">
      <formula>AN$9&gt;=20/24</formula>
    </cfRule>
    <cfRule type="expression" dxfId="2527" priority="303">
      <formula>AND(AN$9&gt;=14/24,AN$9&lt;20/24)</formula>
    </cfRule>
    <cfRule type="expression" dxfId="2526" priority="304">
      <formula>AND(AN$9&gt;=8/24,AN$9&lt;14/24)</formula>
    </cfRule>
    <cfRule type="expression" dxfId="2525" priority="305">
      <formula>AN$9&lt;8/24</formula>
    </cfRule>
  </conditionalFormatting>
  <conditionalFormatting sqref="AL79:AM83">
    <cfRule type="expression" dxfId="2524" priority="519">
      <formula>AJ$9&gt;=20/24</formula>
    </cfRule>
    <cfRule type="expression" dxfId="2523" priority="520">
      <formula>AND(AJ$9&gt;=14/24,AJ$9&lt;20/24)</formula>
    </cfRule>
    <cfRule type="expression" dxfId="2522" priority="521">
      <formula>AND(AJ$9&gt;=8/24,AJ$9&lt;14/24)</formula>
    </cfRule>
    <cfRule type="expression" dxfId="2521" priority="522">
      <formula>AJ$9&lt;8/24</formula>
    </cfRule>
  </conditionalFormatting>
  <conditionalFormatting sqref="A117">
    <cfRule type="expression" dxfId="2520" priority="301">
      <formula>$AH117=0</formula>
    </cfRule>
  </conditionalFormatting>
  <conditionalFormatting sqref="B109 B111:B116 B12:I15 J15:Y15 B17:Y32 B34:Y43 B45:Y45">
    <cfRule type="expression" dxfId="2519" priority="297">
      <formula>B$9&gt;=20/24</formula>
    </cfRule>
    <cfRule type="expression" dxfId="2518" priority="298">
      <formula>AND(B$9&gt;=14/24,B$9&lt;20/24)</formula>
    </cfRule>
    <cfRule type="expression" dxfId="2517" priority="299">
      <formula>AND(B$9&gt;=8/24,B$9&lt;14/24)</formula>
    </cfRule>
    <cfRule type="expression" dxfId="2516" priority="300">
      <formula>B$9&lt;8/24</formula>
    </cfRule>
  </conditionalFormatting>
  <conditionalFormatting sqref="B12:I15 J15:Y15 B17:Y32 B34:Y43 B45:Y45">
    <cfRule type="expression" dxfId="2515" priority="296">
      <formula>B12&gt;$AG12</formula>
    </cfRule>
  </conditionalFormatting>
  <conditionalFormatting sqref="B99">
    <cfRule type="expression" dxfId="2514" priority="292">
      <formula>B$9&gt;=20/24</formula>
    </cfRule>
    <cfRule type="expression" dxfId="2513" priority="293">
      <formula>AND(B$9&gt;=14/24,B$9&lt;20/24)</formula>
    </cfRule>
    <cfRule type="expression" dxfId="2512" priority="294">
      <formula>AND(B$9&gt;=8/24,B$9&lt;14/24)</formula>
    </cfRule>
    <cfRule type="expression" dxfId="2511" priority="295">
      <formula>B$9&lt;8/24</formula>
    </cfRule>
  </conditionalFormatting>
  <conditionalFormatting sqref="B53:E53">
    <cfRule type="expression" dxfId="2510" priority="284">
      <formula>B$9&gt;=20/24</formula>
    </cfRule>
    <cfRule type="expression" dxfId="2509" priority="285">
      <formula>AND(B$9&gt;=14/24,B$9&lt;20/24)</formula>
    </cfRule>
    <cfRule type="expression" dxfId="2508" priority="286">
      <formula>AND(B$9&gt;=8/24,B$9&lt;14/24)</formula>
    </cfRule>
    <cfRule type="expression" dxfId="2507" priority="287">
      <formula>B$9&lt;8/24</formula>
    </cfRule>
  </conditionalFormatting>
  <conditionalFormatting sqref="B53:E57 F54:F57">
    <cfRule type="expression" dxfId="2506" priority="283">
      <formula>B53&gt;$AG53</formula>
    </cfRule>
  </conditionalFormatting>
  <conditionalFormatting sqref="B96 B100:B106 B86 B47 B72:E74 B67:F69">
    <cfRule type="expression" dxfId="2505" priority="279">
      <formula>B$9&gt;=20/24</formula>
    </cfRule>
    <cfRule type="expression" dxfId="2504" priority="280">
      <formula>AND(B$9&gt;=14/24,B$9&lt;20/24)</formula>
    </cfRule>
    <cfRule type="expression" dxfId="2503" priority="281">
      <formula>AND(B$9&gt;=8/24,B$9&lt;14/24)</formula>
    </cfRule>
    <cfRule type="expression" dxfId="2502" priority="282">
      <formula>B$9&lt;8/24</formula>
    </cfRule>
  </conditionalFormatting>
  <conditionalFormatting sqref="B47 B67:F69">
    <cfRule type="expression" dxfId="2501" priority="278">
      <formula>B47&gt;$AG47</formula>
    </cfRule>
  </conditionalFormatting>
  <conditionalFormatting sqref="B97 B88:C88">
    <cfRule type="expression" dxfId="2500" priority="274">
      <formula>B$9&gt;=20/24</formula>
    </cfRule>
    <cfRule type="expression" dxfId="2499" priority="275">
      <formula>AND(B$9&gt;=14/24,B$9&lt;20/24)</formula>
    </cfRule>
    <cfRule type="expression" dxfId="2498" priority="276">
      <formula>AND(B$9&gt;=8/24,B$9&lt;14/24)</formula>
    </cfRule>
    <cfRule type="expression" dxfId="2497" priority="277">
      <formula>B$9&lt;8/24</formula>
    </cfRule>
  </conditionalFormatting>
  <conditionalFormatting sqref="B46:Y46 AA46:AF46">
    <cfRule type="expression" dxfId="2496" priority="270">
      <formula>B$9&gt;=20/24</formula>
    </cfRule>
    <cfRule type="expression" dxfId="2495" priority="271">
      <formula>AND(B$9&gt;=14/24,B$9&lt;20/24)</formula>
    </cfRule>
    <cfRule type="expression" dxfId="2494" priority="272">
      <formula>AND(B$9&gt;=8/24,B$9&lt;14/24)</formula>
    </cfRule>
    <cfRule type="expression" dxfId="2493" priority="273">
      <formula>B$9&lt;8/24</formula>
    </cfRule>
  </conditionalFormatting>
  <conditionalFormatting sqref="B46:Y46 AA46:AF46">
    <cfRule type="expression" dxfId="2492" priority="269">
      <formula>B46&gt;$AG46</formula>
    </cfRule>
  </conditionalFormatting>
  <conditionalFormatting sqref="B58:F58">
    <cfRule type="expression" dxfId="2491" priority="265">
      <formula>B$9&gt;=20/24</formula>
    </cfRule>
    <cfRule type="expression" dxfId="2490" priority="266">
      <formula>AND(B$9&gt;=14/24,B$9&lt;20/24)</formula>
    </cfRule>
    <cfRule type="expression" dxfId="2489" priority="267">
      <formula>AND(B$9&gt;=8/24,B$9&lt;14/24)</formula>
    </cfRule>
    <cfRule type="expression" dxfId="2488" priority="268">
      <formula>B$9&lt;8/24</formula>
    </cfRule>
  </conditionalFormatting>
  <conditionalFormatting sqref="B58:F58">
    <cfRule type="expression" dxfId="2487" priority="264">
      <formula>B58&gt;$AG58</formula>
    </cfRule>
  </conditionalFormatting>
  <conditionalFormatting sqref="B91:B95">
    <cfRule type="expression" dxfId="2486" priority="260">
      <formula>B$9&gt;=20/24</formula>
    </cfRule>
    <cfRule type="expression" dxfId="2485" priority="261">
      <formula>AND(B$9&gt;=14/24,B$9&lt;20/24)</formula>
    </cfRule>
    <cfRule type="expression" dxfId="2484" priority="262">
      <formula>AND(B$9&gt;=8/24,B$9&lt;14/24)</formula>
    </cfRule>
    <cfRule type="expression" dxfId="2483" priority="263">
      <formula>B$9&lt;8/24</formula>
    </cfRule>
  </conditionalFormatting>
  <conditionalFormatting sqref="B49:F51">
    <cfRule type="expression" dxfId="2482" priority="255">
      <formula>B49&gt;$AG49</formula>
    </cfRule>
  </conditionalFormatting>
  <conditionalFormatting sqref="B107">
    <cfRule type="expression" dxfId="2481" priority="251">
      <formula>B$9&gt;=20/24</formula>
    </cfRule>
    <cfRule type="expression" dxfId="2480" priority="252">
      <formula>AND(B$9&gt;=14/24,B$9&lt;20/24)</formula>
    </cfRule>
    <cfRule type="expression" dxfId="2479" priority="253">
      <formula>AND(B$9&gt;=8/24,B$9&lt;14/24)</formula>
    </cfRule>
    <cfRule type="expression" dxfId="2478" priority="254">
      <formula>B$9&lt;8/24</formula>
    </cfRule>
  </conditionalFormatting>
  <conditionalFormatting sqref="B110">
    <cfRule type="expression" dxfId="2477" priority="247">
      <formula>B$9&gt;=20/24</formula>
    </cfRule>
    <cfRule type="expression" dxfId="2476" priority="248">
      <formula>AND(B$9&gt;=14/24,B$9&lt;20/24)</formula>
    </cfRule>
    <cfRule type="expression" dxfId="2475" priority="249">
      <formula>AND(B$9&gt;=8/24,B$9&lt;14/24)</formula>
    </cfRule>
    <cfRule type="expression" dxfId="2474" priority="250">
      <formula>B$9&lt;8/24</formula>
    </cfRule>
  </conditionalFormatting>
  <conditionalFormatting sqref="B83:B85 B75:E76 F76">
    <cfRule type="expression" dxfId="2473" priority="243">
      <formula>B$9&gt;=20/24</formula>
    </cfRule>
    <cfRule type="expression" dxfId="2472" priority="244">
      <formula>AND(B$9&gt;=14/24,B$9&lt;20/24)</formula>
    </cfRule>
    <cfRule type="expression" dxfId="2471" priority="245">
      <formula>AND(B$9&gt;=8/24,B$9&lt;14/24)</formula>
    </cfRule>
    <cfRule type="expression" dxfId="2470" priority="246">
      <formula>B$9&lt;8/24</formula>
    </cfRule>
  </conditionalFormatting>
  <conditionalFormatting sqref="B89 B98 B70 B87">
    <cfRule type="expression" dxfId="2469" priority="239">
      <formula>B$9&gt;=20/24</formula>
    </cfRule>
    <cfRule type="expression" dxfId="2468" priority="240">
      <formula>AND(B$9&gt;=14/24,B$9&lt;20/24)</formula>
    </cfRule>
    <cfRule type="expression" dxfId="2467" priority="241">
      <formula>AND(B$9&gt;=8/24,B$9&lt;14/24)</formula>
    </cfRule>
    <cfRule type="expression" dxfId="2466" priority="242">
      <formula>B$9&lt;8/24</formula>
    </cfRule>
  </conditionalFormatting>
  <conditionalFormatting sqref="B48 B65:B66 B70">
    <cfRule type="expression" dxfId="2465" priority="238">
      <formula>B48&gt;$AG48</formula>
    </cfRule>
  </conditionalFormatting>
  <conditionalFormatting sqref="B82">
    <cfRule type="expression" dxfId="2464" priority="234">
      <formula>B$9&gt;=20/24</formula>
    </cfRule>
    <cfRule type="expression" dxfId="2463" priority="235">
      <formula>AND(B$9&gt;=14/24,B$9&lt;20/24)</formula>
    </cfRule>
    <cfRule type="expression" dxfId="2462" priority="236">
      <formula>AND(B$9&gt;=8/24,B$9&lt;14/24)</formula>
    </cfRule>
    <cfRule type="expression" dxfId="2461" priority="237">
      <formula>B$9&lt;8/24</formula>
    </cfRule>
  </conditionalFormatting>
  <conditionalFormatting sqref="B52">
    <cfRule type="expression" dxfId="2460" priority="230">
      <formula>B$9&gt;=20/24</formula>
    </cfRule>
    <cfRule type="expression" dxfId="2459" priority="231">
      <formula>AND(B$9&gt;=14/24,B$9&lt;20/24)</formula>
    </cfRule>
    <cfRule type="expression" dxfId="2458" priority="232">
      <formula>AND(B$9&gt;=8/24,B$9&lt;14/24)</formula>
    </cfRule>
    <cfRule type="expression" dxfId="2457" priority="233">
      <formula>B$9&lt;8/24</formula>
    </cfRule>
  </conditionalFormatting>
  <conditionalFormatting sqref="B52">
    <cfRule type="expression" dxfId="2456" priority="229">
      <formula>B52&gt;$AG52</formula>
    </cfRule>
  </conditionalFormatting>
  <conditionalFormatting sqref="B59:F64">
    <cfRule type="expression" dxfId="2455" priority="221">
      <formula>B$9&gt;=20/24</formula>
    </cfRule>
    <cfRule type="expression" dxfId="2454" priority="222">
      <formula>AND(B$9&gt;=14/24,B$9&lt;20/24)</formula>
    </cfRule>
    <cfRule type="expression" dxfId="2453" priority="223">
      <formula>AND(B$9&gt;=8/24,B$9&lt;14/24)</formula>
    </cfRule>
    <cfRule type="expression" dxfId="2452" priority="224">
      <formula>B$9&lt;8/24</formula>
    </cfRule>
  </conditionalFormatting>
  <conditionalFormatting sqref="B59:F64">
    <cfRule type="expression" dxfId="2451" priority="220">
      <formula>B59&gt;$AG59</formula>
    </cfRule>
  </conditionalFormatting>
  <conditionalFormatting sqref="B77:F81">
    <cfRule type="expression" dxfId="2450" priority="216">
      <formula>B$9&gt;=20/24</formula>
    </cfRule>
    <cfRule type="expression" dxfId="2449" priority="217">
      <formula>AND(B$9&gt;=14/24,B$9&lt;20/24)</formula>
    </cfRule>
    <cfRule type="expression" dxfId="2448" priority="218">
      <formula>AND(B$9&gt;=8/24,B$9&lt;14/24)</formula>
    </cfRule>
    <cfRule type="expression" dxfId="2447" priority="219">
      <formula>B$9&lt;8/24</formula>
    </cfRule>
  </conditionalFormatting>
  <conditionalFormatting sqref="A11">
    <cfRule type="expression" dxfId="2446" priority="215">
      <formula>$AH11=0</formula>
    </cfRule>
  </conditionalFormatting>
  <conditionalFormatting sqref="J11:Y11">
    <cfRule type="expression" dxfId="2445" priority="211">
      <formula>J$9&gt;=20/24</formula>
    </cfRule>
    <cfRule type="expression" dxfId="2444" priority="212">
      <formula>AND(J$9&gt;=14/24,J$9&lt;20/24)</formula>
    </cfRule>
    <cfRule type="expression" dxfId="2443" priority="213">
      <formula>AND(J$9&gt;=8/24,J$9&lt;14/24)</formula>
    </cfRule>
    <cfRule type="expression" dxfId="2442" priority="214">
      <formula>J$9&lt;8/24</formula>
    </cfRule>
  </conditionalFormatting>
  <conditionalFormatting sqref="J11:Y11">
    <cfRule type="expression" dxfId="2441" priority="210">
      <formula>J11&gt;$AG11</formula>
    </cfRule>
  </conditionalFormatting>
  <conditionalFormatting sqref="B11:I11">
    <cfRule type="expression" dxfId="2440" priority="206">
      <formula>B$9&gt;=20/24</formula>
    </cfRule>
    <cfRule type="expression" dxfId="2439" priority="207">
      <formula>AND(B$9&gt;=14/24,B$9&lt;20/24)</formula>
    </cfRule>
    <cfRule type="expression" dxfId="2438" priority="208">
      <formula>AND(B$9&gt;=8/24,B$9&lt;14/24)</formula>
    </cfRule>
    <cfRule type="expression" dxfId="2437" priority="209">
      <formula>B$9&lt;8/24</formula>
    </cfRule>
  </conditionalFormatting>
  <conditionalFormatting sqref="B11:I11">
    <cfRule type="expression" dxfId="2436" priority="205">
      <formula>B11&gt;$AG11</formula>
    </cfRule>
  </conditionalFormatting>
  <conditionalFormatting sqref="A16">
    <cfRule type="expression" dxfId="2435" priority="203">
      <formula>$AH16=0</formula>
    </cfRule>
  </conditionalFormatting>
  <conditionalFormatting sqref="AL16">
    <cfRule type="iconSet" priority="204">
      <iconSet iconSet="3TrafficLights2" reverse="1">
        <cfvo type="percent" val="0"/>
        <cfvo type="num" val="1"/>
        <cfvo type="num" val="1"/>
      </iconSet>
    </cfRule>
  </conditionalFormatting>
  <conditionalFormatting sqref="B16:Y16">
    <cfRule type="expression" dxfId="2434" priority="194">
      <formula>B$9&gt;=20/24</formula>
    </cfRule>
    <cfRule type="expression" dxfId="2433" priority="195">
      <formula>AND(B$9&gt;=14/24,B$9&lt;20/24)</formula>
    </cfRule>
    <cfRule type="expression" dxfId="2432" priority="196">
      <formula>AND(B$9&gt;=8/24,B$9&lt;14/24)</formula>
    </cfRule>
    <cfRule type="expression" dxfId="2431" priority="197">
      <formula>B$9&lt;8/24</formula>
    </cfRule>
  </conditionalFormatting>
  <conditionalFormatting sqref="B16:Y16">
    <cfRule type="expression" dxfId="2430" priority="193">
      <formula>B16&gt;$AG16</formula>
    </cfRule>
  </conditionalFormatting>
  <conditionalFormatting sqref="A33">
    <cfRule type="expression" dxfId="2429" priority="191">
      <formula>$AH33=0</formula>
    </cfRule>
  </conditionalFormatting>
  <conditionalFormatting sqref="AL33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B33:Y33">
    <cfRule type="expression" dxfId="2428" priority="182">
      <formula>B$9&gt;=20/24</formula>
    </cfRule>
    <cfRule type="expression" dxfId="2427" priority="183">
      <formula>AND(B$9&gt;=14/24,B$9&lt;20/24)</formula>
    </cfRule>
    <cfRule type="expression" dxfId="2426" priority="184">
      <formula>AND(B$9&gt;=8/24,B$9&lt;14/24)</formula>
    </cfRule>
    <cfRule type="expression" dxfId="2425" priority="185">
      <formula>B$9&lt;8/24</formula>
    </cfRule>
  </conditionalFormatting>
  <conditionalFormatting sqref="B33:Y33">
    <cfRule type="expression" dxfId="2424" priority="181">
      <formula>B33&gt;$AG33</formula>
    </cfRule>
  </conditionalFormatting>
  <conditionalFormatting sqref="A44">
    <cfRule type="expression" dxfId="2423" priority="179">
      <formula>$AH44=0</formula>
    </cfRule>
  </conditionalFormatting>
  <conditionalFormatting sqref="AL44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44:Y44">
    <cfRule type="expression" dxfId="2422" priority="170">
      <formula>B$9&gt;=20/24</formula>
    </cfRule>
    <cfRule type="expression" dxfId="2421" priority="171">
      <formula>AND(B$9&gt;=14/24,B$9&lt;20/24)</formula>
    </cfRule>
    <cfRule type="expression" dxfId="2420" priority="172">
      <formula>AND(B$9&gt;=8/24,B$9&lt;14/24)</formula>
    </cfRule>
    <cfRule type="expression" dxfId="2419" priority="173">
      <formula>B$9&lt;8/24</formula>
    </cfRule>
  </conditionalFormatting>
  <conditionalFormatting sqref="B44:Y44">
    <cfRule type="expression" dxfId="2418" priority="169">
      <formula>B44&gt;$AG44</formula>
    </cfRule>
  </conditionalFormatting>
  <conditionalFormatting sqref="B117">
    <cfRule type="expression" dxfId="2417" priority="157">
      <formula>B$9&gt;=20/24</formula>
    </cfRule>
    <cfRule type="expression" dxfId="2416" priority="158">
      <formula>AND(B$9&gt;=14/24,B$9&lt;20/24)</formula>
    </cfRule>
    <cfRule type="expression" dxfId="2415" priority="159">
      <formula>AND(B$9&gt;=8/24,B$9&lt;14/24)</formula>
    </cfRule>
    <cfRule type="expression" dxfId="2414" priority="160">
      <formula>B$9&lt;8/24</formula>
    </cfRule>
  </conditionalFormatting>
  <conditionalFormatting sqref="D117:Y117 AA117:AF117">
    <cfRule type="expression" dxfId="2413" priority="165">
      <formula>D$9&gt;=20/24</formula>
    </cfRule>
    <cfRule type="expression" dxfId="2412" priority="166">
      <formula>AND(D$9&gt;=14/24,D$9&lt;20/24)</formula>
    </cfRule>
    <cfRule type="expression" dxfId="2411" priority="167">
      <formula>AND(D$9&gt;=8/24,D$9&lt;14/24)</formula>
    </cfRule>
    <cfRule type="expression" dxfId="2410" priority="168">
      <formula>D$9&lt;8/24</formula>
    </cfRule>
  </conditionalFormatting>
  <conditionalFormatting sqref="C117">
    <cfRule type="expression" dxfId="2409" priority="161">
      <formula>C$9&gt;=20/24</formula>
    </cfRule>
    <cfRule type="expression" dxfId="2408" priority="162">
      <formula>AND(C$9&gt;=14/24,C$9&lt;20/24)</formula>
    </cfRule>
    <cfRule type="expression" dxfId="2407" priority="163">
      <formula>AND(C$9&gt;=8/24,C$9&lt;14/24)</formula>
    </cfRule>
    <cfRule type="expression" dxfId="2406" priority="164">
      <formula>C$9&lt;8/24</formula>
    </cfRule>
  </conditionalFormatting>
  <conditionalFormatting sqref="Z109 Z111:Z116">
    <cfRule type="expression" dxfId="2405" priority="119">
      <formula>Z$9&gt;=20/24</formula>
    </cfRule>
    <cfRule type="expression" dxfId="2404" priority="120">
      <formula>AND(Z$9&gt;=14/24,Z$9&lt;20/24)</formula>
    </cfRule>
    <cfRule type="expression" dxfId="2403" priority="121">
      <formula>AND(Z$9&gt;=8/24,Z$9&lt;14/24)</formula>
    </cfRule>
    <cfRule type="expression" dxfId="2402" priority="122">
      <formula>Z$9&lt;8/24</formula>
    </cfRule>
  </conditionalFormatting>
  <conditionalFormatting sqref="Z71">
    <cfRule type="expression" dxfId="2401" priority="115">
      <formula>Z$9&gt;=20/24</formula>
    </cfRule>
    <cfRule type="expression" dxfId="2400" priority="116">
      <formula>AND(Z$9&gt;=14/24,Z$9&lt;20/24)</formula>
    </cfRule>
    <cfRule type="expression" dxfId="2399" priority="117">
      <formula>AND(Z$9&gt;=8/24,Z$9&lt;14/24)</formula>
    </cfRule>
    <cfRule type="expression" dxfId="2398" priority="118">
      <formula>Z$9&lt;8/24</formula>
    </cfRule>
  </conditionalFormatting>
  <conditionalFormatting sqref="Z86 Z96 Z72:Z74 Z47 Z67:AF69">
    <cfRule type="expression" dxfId="2397" priority="111">
      <formula>Z$9&gt;=20/24</formula>
    </cfRule>
    <cfRule type="expression" dxfId="2396" priority="112">
      <formula>AND(Z$9&gt;=14/24,Z$9&lt;20/24)</formula>
    </cfRule>
    <cfRule type="expression" dxfId="2395" priority="113">
      <formula>AND(Z$9&gt;=8/24,Z$9&lt;14/24)</formula>
    </cfRule>
    <cfRule type="expression" dxfId="2394" priority="114">
      <formula>Z$9&lt;8/24</formula>
    </cfRule>
  </conditionalFormatting>
  <conditionalFormatting sqref="Z47 Z67:AF69">
    <cfRule type="expression" dxfId="2393" priority="110">
      <formula>Z47&gt;$AG47</formula>
    </cfRule>
  </conditionalFormatting>
  <conditionalFormatting sqref="Z53:Z58 AA55:AB58 AC56:AF58">
    <cfRule type="expression" dxfId="2392" priority="106">
      <formula>Z$9&gt;=20/24</formula>
    </cfRule>
    <cfRule type="expression" dxfId="2391" priority="107">
      <formula>AND(Z$9&gt;=14/24,Z$9&lt;20/24)</formula>
    </cfRule>
    <cfRule type="expression" dxfId="2390" priority="108">
      <formula>AND(Z$9&gt;=8/24,Z$9&lt;14/24)</formula>
    </cfRule>
    <cfRule type="expression" dxfId="2389" priority="109">
      <formula>Z$9&lt;8/24</formula>
    </cfRule>
  </conditionalFormatting>
  <conditionalFormatting sqref="Z53:Z58 AA55:AB58 AC56:AF58">
    <cfRule type="expression" dxfId="2388" priority="105">
      <formula>Z53&gt;$AG53</formula>
    </cfRule>
  </conditionalFormatting>
  <conditionalFormatting sqref="Z97 Z88">
    <cfRule type="expression" dxfId="2387" priority="101">
      <formula>Z$9&gt;=20/24</formula>
    </cfRule>
    <cfRule type="expression" dxfId="2386" priority="102">
      <formula>AND(Z$9&gt;=14/24,Z$9&lt;20/24)</formula>
    </cfRule>
    <cfRule type="expression" dxfId="2385" priority="103">
      <formula>AND(Z$9&gt;=8/24,Z$9&lt;14/24)</formula>
    </cfRule>
    <cfRule type="expression" dxfId="2384" priority="104">
      <formula>Z$9&lt;8/24</formula>
    </cfRule>
  </conditionalFormatting>
  <conditionalFormatting sqref="Z91:Z95">
    <cfRule type="expression" dxfId="2383" priority="97">
      <formula>Z$9&gt;=20/24</formula>
    </cfRule>
    <cfRule type="expression" dxfId="2382" priority="98">
      <formula>AND(Z$9&gt;=14/24,Z$9&lt;20/24)</formula>
    </cfRule>
    <cfRule type="expression" dxfId="2381" priority="99">
      <formula>AND(Z$9&gt;=8/24,Z$9&lt;14/24)</formula>
    </cfRule>
    <cfRule type="expression" dxfId="2380" priority="100">
      <formula>Z$9&lt;8/24</formula>
    </cfRule>
  </conditionalFormatting>
  <conditionalFormatting sqref="Z49:AB51 AC50:AF51">
    <cfRule type="expression" dxfId="2379" priority="93">
      <formula>Z$9&gt;=20/24</formula>
    </cfRule>
    <cfRule type="expression" dxfId="2378" priority="94">
      <formula>AND(Z$9&gt;=14/24,Z$9&lt;20/24)</formula>
    </cfRule>
    <cfRule type="expression" dxfId="2377" priority="95">
      <formula>AND(Z$9&gt;=8/24,Z$9&lt;14/24)</formula>
    </cfRule>
    <cfRule type="expression" dxfId="2376" priority="96">
      <formula>Z$9&lt;8/24</formula>
    </cfRule>
  </conditionalFormatting>
  <conditionalFormatting sqref="Z49:AB51 AC50:AF51">
    <cfRule type="expression" dxfId="2375" priority="92">
      <formula>Z49&gt;$AG49</formula>
    </cfRule>
  </conditionalFormatting>
  <conditionalFormatting sqref="Z107">
    <cfRule type="expression" dxfId="2374" priority="88">
      <formula>Z$9&gt;=20/24</formula>
    </cfRule>
    <cfRule type="expression" dxfId="2373" priority="89">
      <formula>AND(Z$9&gt;=14/24,Z$9&lt;20/24)</formula>
    </cfRule>
    <cfRule type="expression" dxfId="2372" priority="90">
      <formula>AND(Z$9&gt;=8/24,Z$9&lt;14/24)</formula>
    </cfRule>
    <cfRule type="expression" dxfId="2371" priority="91">
      <formula>Z$9&lt;8/24</formula>
    </cfRule>
  </conditionalFormatting>
  <conditionalFormatting sqref="Z110">
    <cfRule type="expression" dxfId="2370" priority="84">
      <formula>Z$9&gt;=20/24</formula>
    </cfRule>
    <cfRule type="expression" dxfId="2369" priority="85">
      <formula>AND(Z$9&gt;=14/24,Z$9&lt;20/24)</formula>
    </cfRule>
    <cfRule type="expression" dxfId="2368" priority="86">
      <formula>AND(Z$9&gt;=8/24,Z$9&lt;14/24)</formula>
    </cfRule>
    <cfRule type="expression" dxfId="2367" priority="87">
      <formula>Z$9&lt;8/24</formula>
    </cfRule>
  </conditionalFormatting>
  <conditionalFormatting sqref="Z99">
    <cfRule type="expression" dxfId="2366" priority="80">
      <formula>Z$9&gt;=20/24</formula>
    </cfRule>
    <cfRule type="expression" dxfId="2365" priority="81">
      <formula>AND(Z$9&gt;=14/24,Z$9&lt;20/24)</formula>
    </cfRule>
    <cfRule type="expression" dxfId="2364" priority="82">
      <formula>AND(Z$9&gt;=8/24,Z$9&lt;14/24)</formula>
    </cfRule>
    <cfRule type="expression" dxfId="2363" priority="83">
      <formula>Z$9&lt;8/24</formula>
    </cfRule>
  </conditionalFormatting>
  <conditionalFormatting sqref="Z100:Z106">
    <cfRule type="expression" dxfId="2362" priority="76">
      <formula>Z$9&gt;=20/24</formula>
    </cfRule>
    <cfRule type="expression" dxfId="2361" priority="77">
      <formula>AND(Z$9&gt;=14/24,Z$9&lt;20/24)</formula>
    </cfRule>
    <cfRule type="expression" dxfId="2360" priority="78">
      <formula>AND(Z$9&gt;=8/24,Z$9&lt;14/24)</formula>
    </cfRule>
    <cfRule type="expression" dxfId="2359" priority="79">
      <formula>Z$9&lt;8/24</formula>
    </cfRule>
  </conditionalFormatting>
  <conditionalFormatting sqref="Z83:Z85 Z75:Z76 AA76:AF76">
    <cfRule type="expression" dxfId="2358" priority="72">
      <formula>Z$9&gt;=20/24</formula>
    </cfRule>
    <cfRule type="expression" dxfId="2357" priority="73">
      <formula>AND(Z$9&gt;=14/24,Z$9&lt;20/24)</formula>
    </cfRule>
    <cfRule type="expression" dxfId="2356" priority="74">
      <formula>AND(Z$9&gt;=8/24,Z$9&lt;14/24)</formula>
    </cfRule>
    <cfRule type="expression" dxfId="2355" priority="75">
      <formula>Z$9&lt;8/24</formula>
    </cfRule>
  </conditionalFormatting>
  <conditionalFormatting sqref="Z87 Z89 Z98 Z70">
    <cfRule type="expression" dxfId="2354" priority="68">
      <formula>Z$9&gt;=20/24</formula>
    </cfRule>
    <cfRule type="expression" dxfId="2353" priority="69">
      <formula>AND(Z$9&gt;=14/24,Z$9&lt;20/24)</formula>
    </cfRule>
    <cfRule type="expression" dxfId="2352" priority="70">
      <formula>AND(Z$9&gt;=8/24,Z$9&lt;14/24)</formula>
    </cfRule>
    <cfRule type="expression" dxfId="2351" priority="71">
      <formula>Z$9&lt;8/24</formula>
    </cfRule>
  </conditionalFormatting>
  <conditionalFormatting sqref="Z70 Z48 Z65:Z66">
    <cfRule type="expression" dxfId="2350" priority="67">
      <formula>Z48&gt;$AG48</formula>
    </cfRule>
  </conditionalFormatting>
  <conditionalFormatting sqref="Z82">
    <cfRule type="expression" dxfId="2349" priority="63">
      <formula>Z$9&gt;=20/24</formula>
    </cfRule>
    <cfRule type="expression" dxfId="2348" priority="64">
      <formula>AND(Z$9&gt;=14/24,Z$9&lt;20/24)</formula>
    </cfRule>
    <cfRule type="expression" dxfId="2347" priority="65">
      <formula>AND(Z$9&gt;=8/24,Z$9&lt;14/24)</formula>
    </cfRule>
    <cfRule type="expression" dxfId="2346" priority="66">
      <formula>Z$9&lt;8/24</formula>
    </cfRule>
  </conditionalFormatting>
  <conditionalFormatting sqref="Z52">
    <cfRule type="expression" dxfId="2345" priority="59">
      <formula>Z$9&gt;=20/24</formula>
    </cfRule>
    <cfRule type="expression" dxfId="2344" priority="60">
      <formula>AND(Z$9&gt;=14/24,Z$9&lt;20/24)</formula>
    </cfRule>
    <cfRule type="expression" dxfId="2343" priority="61">
      <formula>AND(Z$9&gt;=8/24,Z$9&lt;14/24)</formula>
    </cfRule>
    <cfRule type="expression" dxfId="2342" priority="62">
      <formula>Z$9&lt;8/24</formula>
    </cfRule>
  </conditionalFormatting>
  <conditionalFormatting sqref="Z52">
    <cfRule type="expression" dxfId="2341" priority="58">
      <formula>Z52&gt;$AG52</formula>
    </cfRule>
  </conditionalFormatting>
  <conditionalFormatting sqref="Z59:AF64">
    <cfRule type="expression" dxfId="2340" priority="50">
      <formula>Z$9&gt;=20/24</formula>
    </cfRule>
    <cfRule type="expression" dxfId="2339" priority="51">
      <formula>AND(Z$9&gt;=14/24,Z$9&lt;20/24)</formula>
    </cfRule>
    <cfRule type="expression" dxfId="2338" priority="52">
      <formula>AND(Z$9&gt;=8/24,Z$9&lt;14/24)</formula>
    </cfRule>
    <cfRule type="expression" dxfId="2337" priority="53">
      <formula>Z$9&lt;8/24</formula>
    </cfRule>
  </conditionalFormatting>
  <conditionalFormatting sqref="Z59:AF64">
    <cfRule type="expression" dxfId="2336" priority="49">
      <formula>Z59&gt;$AG59</formula>
    </cfRule>
  </conditionalFormatting>
  <conditionalFormatting sqref="Z13:AF14">
    <cfRule type="expression" dxfId="2335" priority="48">
      <formula>Z13&gt;$AG13</formula>
    </cfRule>
  </conditionalFormatting>
  <conditionalFormatting sqref="Z12:AF12">
    <cfRule type="expression" dxfId="2334" priority="44">
      <formula>Z$9&gt;=20/24</formula>
    </cfRule>
    <cfRule type="expression" dxfId="2333" priority="45">
      <formula>AND(Z$9&gt;=14/24,Z$9&lt;20/24)</formula>
    </cfRule>
    <cfRule type="expression" dxfId="2332" priority="46">
      <formula>AND(Z$9&gt;=8/24,Z$9&lt;14/24)</formula>
    </cfRule>
    <cfRule type="expression" dxfId="2331" priority="47">
      <formula>Z$9&lt;8/24</formula>
    </cfRule>
  </conditionalFormatting>
  <conditionalFormatting sqref="Z12:AF12">
    <cfRule type="expression" dxfId="2330" priority="43">
      <formula>Z12&gt;$AG12</formula>
    </cfRule>
  </conditionalFormatting>
  <conditionalFormatting sqref="Z13:AF14">
    <cfRule type="expression" dxfId="2329" priority="39">
      <formula>Z$9&gt;=20/24</formula>
    </cfRule>
    <cfRule type="expression" dxfId="2328" priority="40">
      <formula>AND(Z$9&gt;=14/24,Z$9&lt;20/24)</formula>
    </cfRule>
    <cfRule type="expression" dxfId="2327" priority="41">
      <formula>AND(Z$9&gt;=8/24,Z$9&lt;14/24)</formula>
    </cfRule>
    <cfRule type="expression" dxfId="2326" priority="42">
      <formula>Z$9&lt;8/24</formula>
    </cfRule>
  </conditionalFormatting>
  <conditionalFormatting sqref="Z77:AF81">
    <cfRule type="expression" dxfId="2325" priority="35">
      <formula>Z$9&gt;=20/24</formula>
    </cfRule>
    <cfRule type="expression" dxfId="2324" priority="36">
      <formula>AND(Z$9&gt;=14/24,Z$9&lt;20/24)</formula>
    </cfRule>
    <cfRule type="expression" dxfId="2323" priority="37">
      <formula>AND(Z$9&gt;=8/24,Z$9&lt;14/24)</formula>
    </cfRule>
    <cfRule type="expression" dxfId="2322" priority="38">
      <formula>Z$9&lt;8/24</formula>
    </cfRule>
  </conditionalFormatting>
  <conditionalFormatting sqref="Z15:AF15 Z17:AF32 Z34:AF43 Z45:AF45">
    <cfRule type="expression" dxfId="2321" priority="31">
      <formula>Z$9&gt;=20/24</formula>
    </cfRule>
    <cfRule type="expression" dxfId="2320" priority="32">
      <formula>AND(Z$9&gt;=14/24,Z$9&lt;20/24)</formula>
    </cfRule>
    <cfRule type="expression" dxfId="2319" priority="33">
      <formula>AND(Z$9&gt;=8/24,Z$9&lt;14/24)</formula>
    </cfRule>
    <cfRule type="expression" dxfId="2318" priority="34">
      <formula>Z$9&lt;8/24</formula>
    </cfRule>
  </conditionalFormatting>
  <conditionalFormatting sqref="Z15:AF15 Z17:AF32 Z34:AF43 Z45:AF45">
    <cfRule type="expression" dxfId="2317" priority="30">
      <formula>Z15&gt;$AG15</formula>
    </cfRule>
  </conditionalFormatting>
  <conditionalFormatting sqref="Z46">
    <cfRule type="expression" dxfId="2316" priority="26">
      <formula>Z$9&gt;=20/24</formula>
    </cfRule>
    <cfRule type="expression" dxfId="2315" priority="27">
      <formula>AND(Z$9&gt;=14/24,Z$9&lt;20/24)</formula>
    </cfRule>
    <cfRule type="expression" dxfId="2314" priority="28">
      <formula>AND(Z$9&gt;=8/24,Z$9&lt;14/24)</formula>
    </cfRule>
    <cfRule type="expression" dxfId="2313" priority="29">
      <formula>Z$9&lt;8/24</formula>
    </cfRule>
  </conditionalFormatting>
  <conditionalFormatting sqref="Z46">
    <cfRule type="expression" dxfId="2312" priority="25">
      <formula>Z46&gt;$AG46</formula>
    </cfRule>
  </conditionalFormatting>
  <conditionalFormatting sqref="Z11:AF11">
    <cfRule type="expression" dxfId="2311" priority="21">
      <formula>Z$9&gt;=20/24</formula>
    </cfRule>
    <cfRule type="expression" dxfId="2310" priority="22">
      <formula>AND(Z$9&gt;=14/24,Z$9&lt;20/24)</formula>
    </cfRule>
    <cfRule type="expression" dxfId="2309" priority="23">
      <formula>AND(Z$9&gt;=8/24,Z$9&lt;14/24)</formula>
    </cfRule>
    <cfRule type="expression" dxfId="2308" priority="24">
      <formula>Z$9&lt;8/24</formula>
    </cfRule>
  </conditionalFormatting>
  <conditionalFormatting sqref="Z11:AF11">
    <cfRule type="expression" dxfId="2307" priority="20">
      <formula>Z11&gt;$AG11</formula>
    </cfRule>
  </conditionalFormatting>
  <conditionalFormatting sqref="Z16:AF16">
    <cfRule type="expression" dxfId="2306" priority="16">
      <formula>Z$9&gt;=20/24</formula>
    </cfRule>
    <cfRule type="expression" dxfId="2305" priority="17">
      <formula>AND(Z$9&gt;=14/24,Z$9&lt;20/24)</formula>
    </cfRule>
    <cfRule type="expression" dxfId="2304" priority="18">
      <formula>AND(Z$9&gt;=8/24,Z$9&lt;14/24)</formula>
    </cfRule>
    <cfRule type="expression" dxfId="2303" priority="19">
      <formula>Z$9&lt;8/24</formula>
    </cfRule>
  </conditionalFormatting>
  <conditionalFormatting sqref="Z16:AF16">
    <cfRule type="expression" dxfId="2302" priority="15">
      <formula>Z16&gt;$AG16</formula>
    </cfRule>
  </conditionalFormatting>
  <conditionalFormatting sqref="Z33:AF33">
    <cfRule type="expression" dxfId="2301" priority="11">
      <formula>Z$9&gt;=20/24</formula>
    </cfRule>
    <cfRule type="expression" dxfId="2300" priority="12">
      <formula>AND(Z$9&gt;=14/24,Z$9&lt;20/24)</formula>
    </cfRule>
    <cfRule type="expression" dxfId="2299" priority="13">
      <formula>AND(Z$9&gt;=8/24,Z$9&lt;14/24)</formula>
    </cfRule>
    <cfRule type="expression" dxfId="2298" priority="14">
      <formula>Z$9&lt;8/24</formula>
    </cfRule>
  </conditionalFormatting>
  <conditionalFormatting sqref="Z33:AF33">
    <cfRule type="expression" dxfId="2297" priority="10">
      <formula>Z33&gt;$AG33</formula>
    </cfRule>
  </conditionalFormatting>
  <conditionalFormatting sqref="Z44:AF44">
    <cfRule type="expression" dxfId="2296" priority="6">
      <formula>Z$9&gt;=20/24</formula>
    </cfRule>
    <cfRule type="expression" dxfId="2295" priority="7">
      <formula>AND(Z$9&gt;=14/24,Z$9&lt;20/24)</formula>
    </cfRule>
    <cfRule type="expression" dxfId="2294" priority="8">
      <formula>AND(Z$9&gt;=8/24,Z$9&lt;14/24)</formula>
    </cfRule>
    <cfRule type="expression" dxfId="2293" priority="9">
      <formula>Z$9&lt;8/24</formula>
    </cfRule>
  </conditionalFormatting>
  <conditionalFormatting sqref="Z44:AF44">
    <cfRule type="expression" dxfId="2292" priority="5">
      <formula>Z44&gt;$AG44</formula>
    </cfRule>
  </conditionalFormatting>
  <conditionalFormatting sqref="Z117">
    <cfRule type="expression" dxfId="2291" priority="1">
      <formula>Z$9&gt;=20/24</formula>
    </cfRule>
    <cfRule type="expression" dxfId="2290" priority="2">
      <formula>AND(Z$9&gt;=14/24,Z$9&lt;20/24)</formula>
    </cfRule>
    <cfRule type="expression" dxfId="2289" priority="3">
      <formula>AND(Z$9&gt;=8/24,Z$9&lt;14/24)</formula>
    </cfRule>
    <cfRule type="expression" dxfId="2288" priority="4">
      <formula>Z$9&lt;8/24</formula>
    </cfRule>
  </conditionalFormatting>
  <pageMargins left="0.25" right="0.25" top="0.28000000000000003" bottom="0.28000000000000003" header="0.3" footer="0.3"/>
  <pageSetup paperSize="8" scale="20" fitToWidth="0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7" id="{E5942981-5093-4EC5-9C18-C06A66D34FA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38" id="{73BAF541-3E7E-4F4C-915C-B54A08F0649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39" id="{12392177-8543-4FFD-BDD1-49D19AA0CC8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40" id="{01F0273C-B437-476E-BA87-518D91BFE2F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C90:Y90 AA90:AF90</xm:sqref>
        </x14:conditionalFormatting>
        <x14:conditionalFormatting xmlns:xm="http://schemas.microsoft.com/office/excel/2006/main">
          <x14:cfRule type="expression" priority="225" id="{5F8C8EAF-D0DE-4BC4-9455-23B39CDDDDE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6" id="{FA62532F-2028-41D6-98A7-152E96EC980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7" id="{21129B9D-67D4-435F-9C36-EDA4534CA12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8" id="{97D2F4B5-BCD1-40D7-BC69-4473D54371C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  <x14:conditionalFormatting xmlns:xm="http://schemas.microsoft.com/office/excel/2006/main">
          <x14:cfRule type="expression" priority="54" id="{DF1264DB-0716-4258-A142-BD586B1DEAF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5" id="{28410C05-6F18-42CE-BC56-0ACFE0C1091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6" id="{A8D0AA45-16D6-4AB5-B8FF-EF955DB1CFA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7" id="{650D01D7-5859-47DA-83AA-D2CCBA2C8C4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Z90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="90" zoomScaleNormal="90" workbookViewId="0">
      <pane ySplit="10" topLeftCell="A41" activePane="bottomLeft" state="frozen"/>
      <selection activeCell="Z85" sqref="Z85"/>
      <selection pane="bottomLeft" activeCell="W17" sqref="W17:AF1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2079/12/27</v>
      </c>
      <c r="C4" s="196"/>
      <c r="D4" s="196"/>
      <c r="E4" s="197" t="str">
        <f ca="1">"2079/"&amp;"12/"&amp;INT(MID(CELL("filename",G6),FIND("]",CELL("filename",G6))+1,200))</f>
        <v>2079/12/27</v>
      </c>
      <c r="F4" s="197"/>
      <c r="G4" s="197"/>
      <c r="H4" s="197" t="str">
        <f ca="1">TEXT(E4,"dddd")</f>
        <v>Wednesday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480.4</v>
      </c>
      <c r="C5" s="33">
        <f t="shared" si="0"/>
        <v>460.4</v>
      </c>
      <c r="D5" s="33">
        <f t="shared" si="0"/>
        <v>484</v>
      </c>
      <c r="E5" s="33">
        <f t="shared" si="0"/>
        <v>479</v>
      </c>
      <c r="F5" s="33">
        <f t="shared" si="0"/>
        <v>503</v>
      </c>
      <c r="G5" s="33">
        <f t="shared" si="0"/>
        <v>474</v>
      </c>
      <c r="H5" s="33">
        <f t="shared" si="0"/>
        <v>474</v>
      </c>
      <c r="I5" s="33">
        <f t="shared" si="0"/>
        <v>474</v>
      </c>
      <c r="J5" s="33">
        <f t="shared" si="0"/>
        <v>474</v>
      </c>
      <c r="K5" s="33">
        <f t="shared" si="0"/>
        <v>489</v>
      </c>
      <c r="L5" s="33">
        <f t="shared" si="0"/>
        <v>513.1</v>
      </c>
      <c r="M5" s="33">
        <f t="shared" si="0"/>
        <v>547.79999999999995</v>
      </c>
      <c r="N5" s="33">
        <f t="shared" si="0"/>
        <v>614.1</v>
      </c>
      <c r="O5" s="33">
        <f t="shared" si="0"/>
        <v>662.30000000000007</v>
      </c>
      <c r="P5" s="33">
        <f t="shared" si="0"/>
        <v>673</v>
      </c>
      <c r="Q5" s="33">
        <f t="shared" si="0"/>
        <v>673</v>
      </c>
      <c r="R5" s="33">
        <f t="shared" si="0"/>
        <v>635.1</v>
      </c>
      <c r="S5" s="33">
        <f t="shared" si="0"/>
        <v>661.7</v>
      </c>
      <c r="T5" s="33">
        <f t="shared" si="0"/>
        <v>708.7</v>
      </c>
      <c r="U5" s="33">
        <f t="shared" si="0"/>
        <v>672.50000000000011</v>
      </c>
      <c r="V5" s="33">
        <f t="shared" si="0"/>
        <v>668.19999999999993</v>
      </c>
      <c r="W5" s="33">
        <f t="shared" si="0"/>
        <v>573.30000000000007</v>
      </c>
      <c r="X5" s="33">
        <f t="shared" si="0"/>
        <v>541.29999999999995</v>
      </c>
      <c r="Y5" s="33">
        <f t="shared" si="0"/>
        <v>329</v>
      </c>
      <c r="Z5" s="33">
        <f t="shared" si="0"/>
        <v>351</v>
      </c>
      <c r="AA5" s="33">
        <f t="shared" si="0"/>
        <v>410.20000000000005</v>
      </c>
      <c r="AB5" s="33">
        <f t="shared" si="0"/>
        <v>443.5</v>
      </c>
      <c r="AC5" s="33">
        <f t="shared" si="0"/>
        <v>480</v>
      </c>
      <c r="AD5" s="33">
        <f t="shared" si="0"/>
        <v>381</v>
      </c>
      <c r="AE5" s="33">
        <f t="shared" si="0"/>
        <v>454</v>
      </c>
      <c r="AF5" s="33">
        <f>B82</f>
        <v>491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1530MW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Load=1200</v>
      </c>
      <c r="B7" s="38">
        <f t="shared" ref="B7:AF7" si="1">B89</f>
        <v>1370.54</v>
      </c>
      <c r="C7" s="38">
        <f t="shared" si="1"/>
        <v>1248.04</v>
      </c>
      <c r="D7" s="38">
        <f t="shared" si="1"/>
        <v>1228.04</v>
      </c>
      <c r="E7" s="38">
        <f t="shared" si="1"/>
        <v>1205.1399999999999</v>
      </c>
      <c r="F7" s="38">
        <f t="shared" si="1"/>
        <v>1200.1399999999999</v>
      </c>
      <c r="G7" s="38">
        <f t="shared" si="1"/>
        <v>1237.6399999999999</v>
      </c>
      <c r="H7" s="38">
        <f t="shared" si="1"/>
        <v>1242.94</v>
      </c>
      <c r="I7" s="38">
        <f t="shared" si="1"/>
        <v>1252.6399999999999</v>
      </c>
      <c r="J7" s="38">
        <f t="shared" si="1"/>
        <v>1396.94</v>
      </c>
      <c r="K7" s="38">
        <f t="shared" si="1"/>
        <v>1407.94</v>
      </c>
      <c r="L7" s="38">
        <f t="shared" si="1"/>
        <v>1434.6399999999999</v>
      </c>
      <c r="M7" s="38">
        <f t="shared" si="1"/>
        <v>1524.94</v>
      </c>
      <c r="N7" s="38">
        <f>N89</f>
        <v>1529.6399999999999</v>
      </c>
      <c r="O7" s="38">
        <f t="shared" si="1"/>
        <v>1525.74</v>
      </c>
      <c r="P7" s="38">
        <f t="shared" si="1"/>
        <v>1429.54</v>
      </c>
      <c r="Q7" s="38">
        <f t="shared" si="1"/>
        <v>1568.04</v>
      </c>
      <c r="R7" s="38">
        <f t="shared" si="1"/>
        <v>1531.54</v>
      </c>
      <c r="S7" s="38">
        <f t="shared" si="1"/>
        <v>1493.6399999999999</v>
      </c>
      <c r="T7" s="38">
        <f t="shared" si="1"/>
        <v>1471.6399999999999</v>
      </c>
      <c r="U7" s="38">
        <f t="shared" si="1"/>
        <v>1495.6399999999999</v>
      </c>
      <c r="V7" s="38">
        <f t="shared" si="1"/>
        <v>1508.64</v>
      </c>
      <c r="W7" s="38">
        <f t="shared" si="1"/>
        <v>1514.2399999999998</v>
      </c>
      <c r="X7" s="38">
        <f t="shared" si="1"/>
        <v>1557.3400000000001</v>
      </c>
      <c r="Y7" s="38">
        <f t="shared" si="1"/>
        <v>1625.74</v>
      </c>
      <c r="Z7" s="38">
        <f t="shared" si="1"/>
        <v>1739.5400000000002</v>
      </c>
      <c r="AA7" s="38">
        <f t="shared" si="1"/>
        <v>1725.54</v>
      </c>
      <c r="AB7" s="38">
        <f t="shared" si="1"/>
        <v>1654.8400000000001</v>
      </c>
      <c r="AC7" s="38">
        <f t="shared" si="1"/>
        <v>1616.94</v>
      </c>
      <c r="AD7" s="38">
        <f t="shared" si="1"/>
        <v>1550.24</v>
      </c>
      <c r="AE7" s="38">
        <f t="shared" si="1"/>
        <v>1441.6399999999999</v>
      </c>
      <c r="AF7" s="38">
        <f t="shared" si="1"/>
        <v>1408.24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27</v>
      </c>
      <c r="C11" s="50">
        <v>27</v>
      </c>
      <c r="D11" s="50">
        <v>27</v>
      </c>
      <c r="E11" s="50">
        <v>27</v>
      </c>
      <c r="F11" s="50">
        <v>27</v>
      </c>
      <c r="G11" s="50">
        <v>27</v>
      </c>
      <c r="H11" s="50">
        <v>27</v>
      </c>
      <c r="I11" s="50">
        <v>27</v>
      </c>
      <c r="J11" s="50">
        <v>27</v>
      </c>
      <c r="K11" s="50">
        <v>27</v>
      </c>
      <c r="L11" s="50">
        <v>27</v>
      </c>
      <c r="M11" s="50">
        <v>27</v>
      </c>
      <c r="N11" s="50">
        <v>27</v>
      </c>
      <c r="O11" s="50">
        <v>27</v>
      </c>
      <c r="P11" s="50">
        <v>27</v>
      </c>
      <c r="Q11" s="50">
        <v>27</v>
      </c>
      <c r="R11" s="50">
        <v>27</v>
      </c>
      <c r="S11" s="50">
        <v>27</v>
      </c>
      <c r="T11" s="50">
        <v>9</v>
      </c>
      <c r="U11" s="50">
        <v>23</v>
      </c>
      <c r="V11" s="50">
        <v>23</v>
      </c>
      <c r="W11" s="50">
        <v>23</v>
      </c>
      <c r="X11" s="50">
        <v>23</v>
      </c>
      <c r="Y11" s="50">
        <v>23</v>
      </c>
      <c r="Z11" s="50">
        <v>23</v>
      </c>
      <c r="AA11" s="50">
        <v>23</v>
      </c>
      <c r="AB11" s="50">
        <v>23</v>
      </c>
      <c r="AC11" s="50">
        <v>23</v>
      </c>
      <c r="AD11" s="50">
        <v>23</v>
      </c>
      <c r="AE11" s="50">
        <v>23</v>
      </c>
      <c r="AF11" s="50">
        <v>23</v>
      </c>
      <c r="AG11" s="51">
        <v>86</v>
      </c>
      <c r="AH11" s="52">
        <f t="shared" ref="AH11:AH74" si="2">MAX(B11:AF11)</f>
        <v>27</v>
      </c>
      <c r="AI11" s="53">
        <f t="shared" ref="AI11:AI74" si="3">MIN(B11:AF11)</f>
        <v>9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13.6</v>
      </c>
      <c r="C12" s="50">
        <v>13.6</v>
      </c>
      <c r="D12" s="50">
        <v>13.6</v>
      </c>
      <c r="E12" s="50">
        <v>13.6</v>
      </c>
      <c r="F12" s="50">
        <v>13.6</v>
      </c>
      <c r="G12" s="50">
        <v>13.6</v>
      </c>
      <c r="H12" s="50">
        <v>13.6</v>
      </c>
      <c r="I12" s="50">
        <v>13.6</v>
      </c>
      <c r="J12" s="50">
        <v>13.6</v>
      </c>
      <c r="K12" s="50">
        <v>13.6</v>
      </c>
      <c r="L12" s="50">
        <v>13.6</v>
      </c>
      <c r="M12" s="50">
        <v>13.6</v>
      </c>
      <c r="N12" s="50">
        <v>13.6</v>
      </c>
      <c r="O12" s="50">
        <v>13.6</v>
      </c>
      <c r="P12" s="50">
        <v>13.6</v>
      </c>
      <c r="Q12" s="50">
        <v>13.6</v>
      </c>
      <c r="R12" s="50">
        <v>13.6</v>
      </c>
      <c r="S12" s="50">
        <v>13.6</v>
      </c>
      <c r="T12" s="50">
        <v>13.6</v>
      </c>
      <c r="U12" s="50">
        <v>13.6</v>
      </c>
      <c r="V12" s="50">
        <v>13.6</v>
      </c>
      <c r="W12" s="50">
        <v>13.6</v>
      </c>
      <c r="X12" s="50">
        <v>13.6</v>
      </c>
      <c r="Y12" s="50">
        <v>13.6</v>
      </c>
      <c r="Z12" s="50">
        <v>13.6</v>
      </c>
      <c r="AA12" s="50">
        <v>13.6</v>
      </c>
      <c r="AB12" s="50">
        <v>13.6</v>
      </c>
      <c r="AC12" s="50">
        <v>13.6</v>
      </c>
      <c r="AD12" s="50">
        <v>13.6</v>
      </c>
      <c r="AE12" s="50">
        <v>13.6</v>
      </c>
      <c r="AF12" s="50">
        <v>13.6</v>
      </c>
      <c r="AG12" s="51">
        <v>52.4</v>
      </c>
      <c r="AH12" s="52">
        <f t="shared" si="2"/>
        <v>13.6</v>
      </c>
      <c r="AI12" s="53">
        <f t="shared" si="3"/>
        <v>13.6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29.5</v>
      </c>
      <c r="C13" s="50">
        <v>29.5</v>
      </c>
      <c r="D13" s="50">
        <v>29.5</v>
      </c>
      <c r="E13" s="50">
        <v>29.5</v>
      </c>
      <c r="F13" s="50">
        <v>29.5</v>
      </c>
      <c r="G13" s="50">
        <v>29.5</v>
      </c>
      <c r="H13" s="50">
        <v>29.5</v>
      </c>
      <c r="I13" s="50">
        <v>29.5</v>
      </c>
      <c r="J13" s="50">
        <v>29.5</v>
      </c>
      <c r="K13" s="50">
        <v>29.5</v>
      </c>
      <c r="L13" s="50">
        <v>29.5</v>
      </c>
      <c r="M13" s="50">
        <v>29.5</v>
      </c>
      <c r="N13" s="50">
        <v>29.5</v>
      </c>
      <c r="O13" s="50">
        <v>29.5</v>
      </c>
      <c r="P13" s="50">
        <v>29.5</v>
      </c>
      <c r="Q13" s="50">
        <v>29.5</v>
      </c>
      <c r="R13" s="50">
        <v>29.5</v>
      </c>
      <c r="S13" s="50">
        <v>29.5</v>
      </c>
      <c r="T13" s="50">
        <v>29.5</v>
      </c>
      <c r="U13" s="50">
        <v>29.5</v>
      </c>
      <c r="V13" s="50">
        <v>29.5</v>
      </c>
      <c r="W13" s="50">
        <v>29.5</v>
      </c>
      <c r="X13" s="50">
        <v>29.5</v>
      </c>
      <c r="Y13" s="50">
        <v>29.5</v>
      </c>
      <c r="Z13" s="50">
        <v>29.5</v>
      </c>
      <c r="AA13" s="50">
        <v>29.5</v>
      </c>
      <c r="AB13" s="50">
        <v>29.5</v>
      </c>
      <c r="AC13" s="50">
        <v>29.5</v>
      </c>
      <c r="AD13" s="50">
        <v>29.5</v>
      </c>
      <c r="AE13" s="50">
        <v>29.5</v>
      </c>
      <c r="AF13" s="50">
        <v>29.5</v>
      </c>
      <c r="AG13" s="55">
        <v>50</v>
      </c>
      <c r="AH13" s="52">
        <f t="shared" si="2"/>
        <v>29.5</v>
      </c>
      <c r="AI13" s="53">
        <f t="shared" si="3"/>
        <v>29.5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15.7</v>
      </c>
      <c r="C14" s="50">
        <v>15.7</v>
      </c>
      <c r="D14" s="50">
        <v>15.7</v>
      </c>
      <c r="E14" s="50">
        <v>15.7</v>
      </c>
      <c r="F14" s="50">
        <v>15.7</v>
      </c>
      <c r="G14" s="50">
        <v>15.7</v>
      </c>
      <c r="H14" s="50">
        <v>15.7</v>
      </c>
      <c r="I14" s="50">
        <v>15.7</v>
      </c>
      <c r="J14" s="50">
        <v>15.7</v>
      </c>
      <c r="K14" s="50">
        <v>15.7</v>
      </c>
      <c r="L14" s="50">
        <v>15.7</v>
      </c>
      <c r="M14" s="50">
        <v>15.7</v>
      </c>
      <c r="N14" s="50">
        <v>15.7</v>
      </c>
      <c r="O14" s="50">
        <v>15.7</v>
      </c>
      <c r="P14" s="50">
        <v>15.7</v>
      </c>
      <c r="Q14" s="50">
        <v>15.7</v>
      </c>
      <c r="R14" s="50">
        <v>15.7</v>
      </c>
      <c r="S14" s="50">
        <v>15.7</v>
      </c>
      <c r="T14" s="50">
        <v>15.7</v>
      </c>
      <c r="U14" s="50">
        <v>15.7</v>
      </c>
      <c r="V14" s="50">
        <v>15.7</v>
      </c>
      <c r="W14" s="50">
        <v>15.7</v>
      </c>
      <c r="X14" s="50">
        <v>15.7</v>
      </c>
      <c r="Y14" s="50">
        <v>15.7</v>
      </c>
      <c r="Z14" s="50">
        <v>15.7</v>
      </c>
      <c r="AA14" s="50">
        <v>15.7</v>
      </c>
      <c r="AB14" s="50">
        <v>15.7</v>
      </c>
      <c r="AC14" s="50">
        <v>15.7</v>
      </c>
      <c r="AD14" s="50">
        <v>15.7</v>
      </c>
      <c r="AE14" s="50">
        <v>15.7</v>
      </c>
      <c r="AF14" s="50">
        <v>15.7</v>
      </c>
      <c r="AG14" s="55">
        <v>45</v>
      </c>
      <c r="AH14" s="52">
        <f t="shared" si="2"/>
        <v>15.7</v>
      </c>
      <c r="AI14" s="53">
        <f t="shared" si="3"/>
        <v>15.7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10</v>
      </c>
      <c r="L15" s="50">
        <v>10</v>
      </c>
      <c r="M15" s="50">
        <v>10</v>
      </c>
      <c r="N15" s="50">
        <v>10</v>
      </c>
      <c r="O15" s="50">
        <v>10</v>
      </c>
      <c r="P15" s="50">
        <v>10</v>
      </c>
      <c r="Q15" s="50">
        <v>10</v>
      </c>
      <c r="R15" s="50">
        <v>10</v>
      </c>
      <c r="S15" s="50">
        <v>10</v>
      </c>
      <c r="T15" s="50">
        <v>10</v>
      </c>
      <c r="U15" s="50">
        <v>10</v>
      </c>
      <c r="V15" s="50">
        <v>10</v>
      </c>
      <c r="W15" s="50">
        <v>10</v>
      </c>
      <c r="X15" s="50">
        <v>10</v>
      </c>
      <c r="Y15" s="50">
        <v>10</v>
      </c>
      <c r="Z15" s="50">
        <v>10</v>
      </c>
      <c r="AA15" s="50">
        <v>10</v>
      </c>
      <c r="AB15" s="50">
        <v>10</v>
      </c>
      <c r="AC15" s="50">
        <v>10</v>
      </c>
      <c r="AD15" s="50">
        <v>10</v>
      </c>
      <c r="AE15" s="50">
        <v>10</v>
      </c>
      <c r="AF15" s="50">
        <v>10</v>
      </c>
      <c r="AG15" s="55">
        <v>42</v>
      </c>
      <c r="AH15" s="52">
        <f t="shared" si="2"/>
        <v>10</v>
      </c>
      <c r="AI15" s="53">
        <f t="shared" si="3"/>
        <v>10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>
        <v>10</v>
      </c>
      <c r="T17" s="50">
        <v>10</v>
      </c>
      <c r="U17" s="50">
        <v>0</v>
      </c>
      <c r="V17" s="50">
        <v>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</v>
      </c>
      <c r="AI17" s="53">
        <f t="shared" si="3"/>
        <v>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9.6</v>
      </c>
      <c r="C18" s="50">
        <v>9.6</v>
      </c>
      <c r="D18" s="50">
        <v>9.6</v>
      </c>
      <c r="E18" s="50">
        <v>9.6</v>
      </c>
      <c r="F18" s="50">
        <v>9.6</v>
      </c>
      <c r="G18" s="50">
        <v>9.6</v>
      </c>
      <c r="H18" s="50">
        <v>9.6</v>
      </c>
      <c r="I18" s="50">
        <v>9.6</v>
      </c>
      <c r="J18" s="50">
        <v>9.6</v>
      </c>
      <c r="K18" s="50">
        <v>9.6</v>
      </c>
      <c r="L18" s="50">
        <v>9.6</v>
      </c>
      <c r="M18" s="50">
        <v>9.6</v>
      </c>
      <c r="N18" s="50">
        <v>9.6</v>
      </c>
      <c r="O18" s="50">
        <v>9.6</v>
      </c>
      <c r="P18" s="50">
        <v>9.6</v>
      </c>
      <c r="Q18" s="50">
        <v>9.6</v>
      </c>
      <c r="R18" s="50">
        <v>9.6</v>
      </c>
      <c r="S18" s="50">
        <v>9.6</v>
      </c>
      <c r="T18" s="50">
        <v>9.6</v>
      </c>
      <c r="U18" s="50">
        <v>9.6</v>
      </c>
      <c r="V18" s="50">
        <v>9.6</v>
      </c>
      <c r="W18" s="50">
        <v>9.6</v>
      </c>
      <c r="X18" s="50">
        <v>9.6</v>
      </c>
      <c r="Y18" s="50">
        <v>9.6</v>
      </c>
      <c r="Z18" s="50">
        <v>9.6</v>
      </c>
      <c r="AA18" s="50">
        <v>9.6</v>
      </c>
      <c r="AB18" s="50">
        <v>9.6</v>
      </c>
      <c r="AC18" s="50">
        <v>9.6</v>
      </c>
      <c r="AD18" s="50">
        <v>9.6</v>
      </c>
      <c r="AE18" s="50">
        <v>9.6</v>
      </c>
      <c r="AF18" s="50">
        <v>9.6</v>
      </c>
      <c r="AG18" s="56">
        <v>30</v>
      </c>
      <c r="AH18" s="52">
        <f t="shared" si="2"/>
        <v>9.6</v>
      </c>
      <c r="AI18" s="53">
        <f t="shared" si="3"/>
        <v>9.6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7.2</v>
      </c>
      <c r="C19" s="50">
        <v>7.2</v>
      </c>
      <c r="D19" s="50">
        <v>7.2</v>
      </c>
      <c r="E19" s="50">
        <v>7.2</v>
      </c>
      <c r="F19" s="50">
        <v>7.2</v>
      </c>
      <c r="G19" s="50">
        <v>7.2</v>
      </c>
      <c r="H19" s="50">
        <v>7.2</v>
      </c>
      <c r="I19" s="50">
        <v>7.2</v>
      </c>
      <c r="J19" s="50">
        <v>7.2</v>
      </c>
      <c r="K19" s="50">
        <v>7.2</v>
      </c>
      <c r="L19" s="50">
        <v>7.2</v>
      </c>
      <c r="M19" s="50">
        <v>7.2</v>
      </c>
      <c r="N19" s="50">
        <v>7.2</v>
      </c>
      <c r="O19" s="50">
        <v>7.2</v>
      </c>
      <c r="P19" s="50">
        <v>7.2</v>
      </c>
      <c r="Q19" s="50">
        <v>7.2</v>
      </c>
      <c r="R19" s="50">
        <v>7.2</v>
      </c>
      <c r="S19" s="50">
        <v>7.2</v>
      </c>
      <c r="T19" s="50">
        <v>7.2</v>
      </c>
      <c r="U19" s="50">
        <v>7.2</v>
      </c>
      <c r="V19" s="50">
        <v>7.2</v>
      </c>
      <c r="W19" s="50">
        <v>7.2</v>
      </c>
      <c r="X19" s="50">
        <v>7.2</v>
      </c>
      <c r="Y19" s="50">
        <v>7.2</v>
      </c>
      <c r="Z19" s="50">
        <v>7.2</v>
      </c>
      <c r="AA19" s="50">
        <v>7.2</v>
      </c>
      <c r="AB19" s="50">
        <v>7.2</v>
      </c>
      <c r="AC19" s="50">
        <v>7.2</v>
      </c>
      <c r="AD19" s="50">
        <v>7.2</v>
      </c>
      <c r="AE19" s="50">
        <v>7.2</v>
      </c>
      <c r="AF19" s="50">
        <v>7.2</v>
      </c>
      <c r="AG19" s="55">
        <v>24.2</v>
      </c>
      <c r="AH19" s="52">
        <f t="shared" si="2"/>
        <v>7.2</v>
      </c>
      <c r="AI19" s="53">
        <f t="shared" si="3"/>
        <v>7.2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10.1</v>
      </c>
      <c r="C22" s="50">
        <v>10.1</v>
      </c>
      <c r="D22" s="50">
        <v>10.1</v>
      </c>
      <c r="E22" s="50">
        <v>10.1</v>
      </c>
      <c r="F22" s="50">
        <v>10.1</v>
      </c>
      <c r="G22" s="50">
        <v>10.1</v>
      </c>
      <c r="H22" s="50">
        <v>10.1</v>
      </c>
      <c r="I22" s="50">
        <v>10.1</v>
      </c>
      <c r="J22" s="50">
        <v>10.1</v>
      </c>
      <c r="K22" s="50">
        <v>10.1</v>
      </c>
      <c r="L22" s="50">
        <v>10.1</v>
      </c>
      <c r="M22" s="50">
        <v>10.1</v>
      </c>
      <c r="N22" s="50">
        <v>10.1</v>
      </c>
      <c r="O22" s="50">
        <v>10.1</v>
      </c>
      <c r="P22" s="50">
        <v>10.1</v>
      </c>
      <c r="Q22" s="50">
        <v>10.1</v>
      </c>
      <c r="R22" s="50">
        <v>10.1</v>
      </c>
      <c r="S22" s="50">
        <v>10.1</v>
      </c>
      <c r="T22" s="50">
        <v>10.1</v>
      </c>
      <c r="U22" s="50">
        <v>10.1</v>
      </c>
      <c r="V22" s="50">
        <v>10.1</v>
      </c>
      <c r="W22" s="50">
        <v>10.1</v>
      </c>
      <c r="X22" s="50">
        <v>10.1</v>
      </c>
      <c r="Y22" s="50">
        <v>10.1</v>
      </c>
      <c r="Z22" s="50">
        <v>10.1</v>
      </c>
      <c r="AA22" s="50">
        <v>10.1</v>
      </c>
      <c r="AB22" s="50">
        <v>10.1</v>
      </c>
      <c r="AC22" s="50">
        <v>10.1</v>
      </c>
      <c r="AD22" s="50">
        <v>10.1</v>
      </c>
      <c r="AE22" s="50">
        <v>10.1</v>
      </c>
      <c r="AF22" s="50">
        <v>10.1</v>
      </c>
      <c r="AG22" s="55">
        <v>25</v>
      </c>
      <c r="AH22" s="52">
        <f t="shared" si="2"/>
        <v>10.1</v>
      </c>
      <c r="AI22" s="53">
        <f t="shared" si="3"/>
        <v>10.1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5.2</v>
      </c>
      <c r="C26" s="50">
        <v>5.2</v>
      </c>
      <c r="D26" s="50">
        <v>5.2</v>
      </c>
      <c r="E26" s="50">
        <v>5.2</v>
      </c>
      <c r="F26" s="50">
        <v>5.2</v>
      </c>
      <c r="G26" s="50">
        <v>5.2</v>
      </c>
      <c r="H26" s="50">
        <v>5.2</v>
      </c>
      <c r="I26" s="50">
        <v>5.2</v>
      </c>
      <c r="J26" s="50">
        <v>5.2</v>
      </c>
      <c r="K26" s="50">
        <v>5.2</v>
      </c>
      <c r="L26" s="50">
        <v>5.2</v>
      </c>
      <c r="M26" s="50">
        <v>5.2</v>
      </c>
      <c r="N26" s="50">
        <v>5.2</v>
      </c>
      <c r="O26" s="50">
        <v>5.2</v>
      </c>
      <c r="P26" s="50">
        <v>5.2</v>
      </c>
      <c r="Q26" s="50">
        <v>5.2</v>
      </c>
      <c r="R26" s="50">
        <v>5.2</v>
      </c>
      <c r="S26" s="50">
        <v>5.2</v>
      </c>
      <c r="T26" s="50">
        <v>5.2</v>
      </c>
      <c r="U26" s="50">
        <v>5.2</v>
      </c>
      <c r="V26" s="50">
        <v>5.2</v>
      </c>
      <c r="W26" s="50">
        <v>5.2</v>
      </c>
      <c r="X26" s="50">
        <v>5.2</v>
      </c>
      <c r="Y26" s="50">
        <v>5.2</v>
      </c>
      <c r="Z26" s="50">
        <v>5.2</v>
      </c>
      <c r="AA26" s="50">
        <v>5.2</v>
      </c>
      <c r="AB26" s="50">
        <v>5.2</v>
      </c>
      <c r="AC26" s="50">
        <v>5.2</v>
      </c>
      <c r="AD26" s="50">
        <v>5.2</v>
      </c>
      <c r="AE26" s="50">
        <v>5.2</v>
      </c>
      <c r="AF26" s="50">
        <v>5.2</v>
      </c>
      <c r="AG26" s="55">
        <v>23.5</v>
      </c>
      <c r="AH26" s="52">
        <f t="shared" si="2"/>
        <v>5.2</v>
      </c>
      <c r="AI26" s="53">
        <f t="shared" si="3"/>
        <v>5.2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11.2</v>
      </c>
      <c r="C30" s="50">
        <v>11.2</v>
      </c>
      <c r="D30" s="50">
        <v>11.2</v>
      </c>
      <c r="E30" s="50">
        <v>11.2</v>
      </c>
      <c r="F30" s="50">
        <v>11.2</v>
      </c>
      <c r="G30" s="50">
        <v>11.2</v>
      </c>
      <c r="H30" s="50">
        <v>11.2</v>
      </c>
      <c r="I30" s="50">
        <v>11.2</v>
      </c>
      <c r="J30" s="50">
        <v>11.2</v>
      </c>
      <c r="K30" s="50">
        <v>11.2</v>
      </c>
      <c r="L30" s="50">
        <v>11.2</v>
      </c>
      <c r="M30" s="50">
        <v>11.2</v>
      </c>
      <c r="N30" s="50">
        <v>11.2</v>
      </c>
      <c r="O30" s="50">
        <v>11.2</v>
      </c>
      <c r="P30" s="50">
        <v>11.2</v>
      </c>
      <c r="Q30" s="50">
        <v>11.2</v>
      </c>
      <c r="R30" s="50">
        <v>11.2</v>
      </c>
      <c r="S30" s="50">
        <v>11.2</v>
      </c>
      <c r="T30" s="50">
        <v>11.2</v>
      </c>
      <c r="U30" s="50">
        <v>11.2</v>
      </c>
      <c r="V30" s="50">
        <v>11.2</v>
      </c>
      <c r="W30" s="50">
        <v>11.2</v>
      </c>
      <c r="X30" s="50">
        <v>11.2</v>
      </c>
      <c r="Y30" s="50">
        <v>11.2</v>
      </c>
      <c r="Z30" s="50">
        <v>11.2</v>
      </c>
      <c r="AA30" s="50">
        <v>11.2</v>
      </c>
      <c r="AB30" s="50">
        <v>11.2</v>
      </c>
      <c r="AC30" s="50">
        <v>11.2</v>
      </c>
      <c r="AD30" s="50">
        <v>11.2</v>
      </c>
      <c r="AE30" s="50">
        <v>11.2</v>
      </c>
      <c r="AF30" s="50">
        <v>11.2</v>
      </c>
      <c r="AG30" s="55">
        <v>22</v>
      </c>
      <c r="AH30" s="52">
        <f t="shared" si="2"/>
        <v>11.2</v>
      </c>
      <c r="AI30" s="53">
        <f t="shared" si="3"/>
        <v>11.2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3.5</v>
      </c>
      <c r="C37" s="50">
        <v>3.5</v>
      </c>
      <c r="D37" s="50">
        <v>3.5</v>
      </c>
      <c r="E37" s="50">
        <v>3.5</v>
      </c>
      <c r="F37" s="50">
        <v>3.5</v>
      </c>
      <c r="G37" s="50">
        <v>3.5</v>
      </c>
      <c r="H37" s="50">
        <v>3.5</v>
      </c>
      <c r="I37" s="50">
        <v>3.5</v>
      </c>
      <c r="J37" s="50">
        <v>3.5</v>
      </c>
      <c r="K37" s="50">
        <v>3.5</v>
      </c>
      <c r="L37" s="50">
        <v>3.5</v>
      </c>
      <c r="M37" s="50">
        <v>3.5</v>
      </c>
      <c r="N37" s="50">
        <v>3.5</v>
      </c>
      <c r="O37" s="50">
        <v>3.5</v>
      </c>
      <c r="P37" s="50">
        <v>3.5</v>
      </c>
      <c r="Q37" s="50">
        <v>3.5</v>
      </c>
      <c r="R37" s="50">
        <v>3.5</v>
      </c>
      <c r="S37" s="50">
        <v>3.5</v>
      </c>
      <c r="T37" s="50">
        <v>3.5</v>
      </c>
      <c r="U37" s="50">
        <v>3.5</v>
      </c>
      <c r="V37" s="50">
        <v>3.5</v>
      </c>
      <c r="W37" s="50">
        <v>3.5</v>
      </c>
      <c r="X37" s="50">
        <v>3.5</v>
      </c>
      <c r="Y37" s="50">
        <v>3.5</v>
      </c>
      <c r="Z37" s="50">
        <v>3.5</v>
      </c>
      <c r="AA37" s="50">
        <v>3.5</v>
      </c>
      <c r="AB37" s="50">
        <v>3.5</v>
      </c>
      <c r="AC37" s="50">
        <v>3.5</v>
      </c>
      <c r="AD37" s="50">
        <v>3.5</v>
      </c>
      <c r="AE37" s="50">
        <v>3.5</v>
      </c>
      <c r="AF37" s="50">
        <v>3.5</v>
      </c>
      <c r="AG37" s="55">
        <v>12</v>
      </c>
      <c r="AH37" s="52">
        <f t="shared" si="2"/>
        <v>3.5</v>
      </c>
      <c r="AI37" s="53">
        <f t="shared" si="3"/>
        <v>3.5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6.7</v>
      </c>
      <c r="C38" s="50">
        <v>6.7</v>
      </c>
      <c r="D38" s="50">
        <v>6.7</v>
      </c>
      <c r="E38" s="50">
        <v>6.7</v>
      </c>
      <c r="F38" s="50">
        <v>6.7</v>
      </c>
      <c r="G38" s="50">
        <v>6.7</v>
      </c>
      <c r="H38" s="50">
        <v>6.7</v>
      </c>
      <c r="I38" s="50">
        <v>6.7</v>
      </c>
      <c r="J38" s="50">
        <v>6.7</v>
      </c>
      <c r="K38" s="50">
        <v>6.7</v>
      </c>
      <c r="L38" s="50">
        <v>6.7</v>
      </c>
      <c r="M38" s="50">
        <v>6.7</v>
      </c>
      <c r="N38" s="50">
        <v>6.7</v>
      </c>
      <c r="O38" s="50">
        <v>6.7</v>
      </c>
      <c r="P38" s="50">
        <v>6.7</v>
      </c>
      <c r="Q38" s="50">
        <v>6.7</v>
      </c>
      <c r="R38" s="50">
        <v>6.7</v>
      </c>
      <c r="S38" s="50">
        <v>6.7</v>
      </c>
      <c r="T38" s="50">
        <v>6.7</v>
      </c>
      <c r="U38" s="50">
        <v>6.7</v>
      </c>
      <c r="V38" s="50">
        <v>6.7</v>
      </c>
      <c r="W38" s="50">
        <v>6.7</v>
      </c>
      <c r="X38" s="50">
        <v>6.7</v>
      </c>
      <c r="Y38" s="50">
        <v>6.7</v>
      </c>
      <c r="Z38" s="50">
        <v>6.7</v>
      </c>
      <c r="AA38" s="50">
        <v>6.7</v>
      </c>
      <c r="AB38" s="50">
        <v>6.7</v>
      </c>
      <c r="AC38" s="50">
        <v>6.7</v>
      </c>
      <c r="AD38" s="50">
        <v>6.7</v>
      </c>
      <c r="AE38" s="50">
        <v>6.7</v>
      </c>
      <c r="AF38" s="50">
        <v>6.7</v>
      </c>
      <c r="AG38" s="55">
        <v>12</v>
      </c>
      <c r="AH38" s="52">
        <f t="shared" si="2"/>
        <v>6.7</v>
      </c>
      <c r="AI38" s="53">
        <f t="shared" si="3"/>
        <v>6.7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3.4</v>
      </c>
      <c r="C41" s="50">
        <v>3.4</v>
      </c>
      <c r="D41" s="50">
        <v>3.4</v>
      </c>
      <c r="E41" s="50">
        <v>3.4</v>
      </c>
      <c r="F41" s="50">
        <v>3.4</v>
      </c>
      <c r="G41" s="50">
        <v>3.4</v>
      </c>
      <c r="H41" s="50">
        <v>3.4</v>
      </c>
      <c r="I41" s="50">
        <v>3.4</v>
      </c>
      <c r="J41" s="50">
        <v>3.4</v>
      </c>
      <c r="K41" s="50">
        <v>3.4</v>
      </c>
      <c r="L41" s="50">
        <v>3.4</v>
      </c>
      <c r="M41" s="50">
        <v>3.4</v>
      </c>
      <c r="N41" s="50">
        <v>3.4</v>
      </c>
      <c r="O41" s="50">
        <v>3.4</v>
      </c>
      <c r="P41" s="50">
        <v>3.4</v>
      </c>
      <c r="Q41" s="50">
        <v>3.4</v>
      </c>
      <c r="R41" s="50">
        <v>3.4</v>
      </c>
      <c r="S41" s="50">
        <v>3.4</v>
      </c>
      <c r="T41" s="50">
        <v>3.4</v>
      </c>
      <c r="U41" s="50">
        <v>3.4</v>
      </c>
      <c r="V41" s="50">
        <v>3.4</v>
      </c>
      <c r="W41" s="50">
        <v>3.4</v>
      </c>
      <c r="X41" s="50">
        <v>3.4</v>
      </c>
      <c r="Y41" s="50">
        <v>3.4</v>
      </c>
      <c r="Z41" s="50">
        <v>3.4</v>
      </c>
      <c r="AA41" s="50">
        <v>3.4</v>
      </c>
      <c r="AB41" s="50">
        <v>3.4</v>
      </c>
      <c r="AC41" s="50">
        <v>3.4</v>
      </c>
      <c r="AD41" s="50">
        <v>3.4</v>
      </c>
      <c r="AE41" s="50">
        <v>3.4</v>
      </c>
      <c r="AF41" s="50">
        <v>3.4</v>
      </c>
      <c r="AG41" s="56">
        <v>11.88</v>
      </c>
      <c r="AH41" s="52">
        <f t="shared" si="2"/>
        <v>3.4</v>
      </c>
      <c r="AI41" s="53">
        <f t="shared" si="3"/>
        <v>3.4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200</v>
      </c>
      <c r="C46" s="63">
        <v>200</v>
      </c>
      <c r="D46" s="63">
        <v>200</v>
      </c>
      <c r="E46" s="63">
        <v>200</v>
      </c>
      <c r="F46" s="63">
        <v>200</v>
      </c>
      <c r="G46" s="63">
        <v>200</v>
      </c>
      <c r="H46" s="63">
        <v>200</v>
      </c>
      <c r="I46" s="63">
        <v>200</v>
      </c>
      <c r="J46" s="63">
        <v>200</v>
      </c>
      <c r="K46" s="63">
        <v>200</v>
      </c>
      <c r="L46" s="63">
        <v>200</v>
      </c>
      <c r="M46" s="63">
        <v>200</v>
      </c>
      <c r="N46" s="63">
        <v>200</v>
      </c>
      <c r="O46" s="63">
        <v>200</v>
      </c>
      <c r="P46" s="63">
        <v>200</v>
      </c>
      <c r="Q46" s="63">
        <v>200</v>
      </c>
      <c r="R46" s="63">
        <v>200</v>
      </c>
      <c r="S46" s="63">
        <v>200</v>
      </c>
      <c r="T46" s="63">
        <v>200</v>
      </c>
      <c r="U46" s="63">
        <v>200</v>
      </c>
      <c r="V46" s="63">
        <v>200</v>
      </c>
      <c r="W46" s="63">
        <v>200</v>
      </c>
      <c r="X46" s="63">
        <v>200</v>
      </c>
      <c r="Y46" s="63">
        <v>200</v>
      </c>
      <c r="Z46" s="63">
        <v>200</v>
      </c>
      <c r="AA46" s="63">
        <v>200</v>
      </c>
      <c r="AB46" s="63">
        <v>200</v>
      </c>
      <c r="AC46" s="63">
        <v>200</v>
      </c>
      <c r="AD46" s="63">
        <v>200</v>
      </c>
      <c r="AE46" s="63">
        <v>200</v>
      </c>
      <c r="AF46" s="63">
        <v>200</v>
      </c>
      <c r="AG46" s="61">
        <v>85</v>
      </c>
      <c r="AH46" s="52">
        <f t="shared" si="2"/>
        <v>200</v>
      </c>
      <c r="AI46" s="53">
        <f t="shared" si="3"/>
        <v>200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445.09999999999997</v>
      </c>
      <c r="C48" s="67">
        <f t="shared" si="4"/>
        <v>445.09999999999997</v>
      </c>
      <c r="D48" s="67">
        <f t="shared" si="4"/>
        <v>445.09999999999997</v>
      </c>
      <c r="E48" s="67">
        <f t="shared" si="4"/>
        <v>445.09999999999997</v>
      </c>
      <c r="F48" s="67">
        <f t="shared" si="4"/>
        <v>445.09999999999997</v>
      </c>
      <c r="G48" s="67">
        <f t="shared" si="4"/>
        <v>445.09999999999997</v>
      </c>
      <c r="H48" s="67">
        <f t="shared" si="4"/>
        <v>445.09999999999997</v>
      </c>
      <c r="I48" s="67">
        <f t="shared" si="4"/>
        <v>445.09999999999997</v>
      </c>
      <c r="J48" s="67">
        <f t="shared" si="4"/>
        <v>445.09999999999997</v>
      </c>
      <c r="K48" s="67">
        <f t="shared" si="4"/>
        <v>445.09999999999997</v>
      </c>
      <c r="L48" s="67">
        <f t="shared" si="4"/>
        <v>445.09999999999997</v>
      </c>
      <c r="M48" s="67">
        <f t="shared" si="4"/>
        <v>445.09999999999997</v>
      </c>
      <c r="N48" s="67">
        <f t="shared" si="4"/>
        <v>445.09999999999997</v>
      </c>
      <c r="O48" s="67">
        <f t="shared" si="4"/>
        <v>445.09999999999997</v>
      </c>
      <c r="P48" s="67">
        <f t="shared" si="4"/>
        <v>445.09999999999997</v>
      </c>
      <c r="Q48" s="67">
        <f t="shared" si="4"/>
        <v>445.09999999999997</v>
      </c>
      <c r="R48" s="67">
        <f t="shared" si="4"/>
        <v>445.09999999999997</v>
      </c>
      <c r="S48" s="67">
        <f t="shared" si="4"/>
        <v>445.09999999999997</v>
      </c>
      <c r="T48" s="67">
        <f t="shared" si="4"/>
        <v>445.09999999999997</v>
      </c>
      <c r="U48" s="67">
        <f t="shared" si="4"/>
        <v>435.09999999999997</v>
      </c>
      <c r="V48" s="67">
        <f t="shared" si="4"/>
        <v>435.09999999999997</v>
      </c>
      <c r="W48" s="67">
        <f t="shared" si="4"/>
        <v>445.09999999999997</v>
      </c>
      <c r="X48" s="67">
        <f t="shared" si="4"/>
        <v>445.09999999999997</v>
      </c>
      <c r="Y48" s="67">
        <f t="shared" si="4"/>
        <v>445.09999999999997</v>
      </c>
      <c r="Z48" s="67">
        <v>435.09999999999997</v>
      </c>
      <c r="AA48" s="67">
        <f t="shared" si="4"/>
        <v>445.09999999999997</v>
      </c>
      <c r="AB48" s="67">
        <f t="shared" si="4"/>
        <v>445.09999999999997</v>
      </c>
      <c r="AC48" s="67">
        <f t="shared" si="4"/>
        <v>445.09999999999997</v>
      </c>
      <c r="AD48" s="67">
        <f t="shared" si="4"/>
        <v>445.09999999999997</v>
      </c>
      <c r="AE48" s="67">
        <f t="shared" si="4"/>
        <v>445.09999999999997</v>
      </c>
      <c r="AF48" s="67">
        <f t="shared" si="4"/>
        <v>445.09999999999997</v>
      </c>
      <c r="AG48" s="68">
        <f t="shared" si="4"/>
        <v>875.68</v>
      </c>
      <c r="AH48" s="52">
        <f t="shared" si="2"/>
        <v>445.09999999999997</v>
      </c>
      <c r="AI48" s="53">
        <f t="shared" si="3"/>
        <v>435.09999999999997</v>
      </c>
      <c r="AK48" s="54"/>
    </row>
    <row r="49" spans="1:41" x14ac:dyDescent="0.25">
      <c r="A49" s="69" t="s">
        <v>53</v>
      </c>
      <c r="B49" s="50">
        <v>75</v>
      </c>
      <c r="C49" s="50">
        <v>75</v>
      </c>
      <c r="D49" s="50">
        <v>75</v>
      </c>
      <c r="E49" s="50">
        <v>75</v>
      </c>
      <c r="F49" s="50">
        <v>75</v>
      </c>
      <c r="G49" s="50">
        <v>75</v>
      </c>
      <c r="H49" s="50">
        <v>75</v>
      </c>
      <c r="I49" s="50">
        <v>75</v>
      </c>
      <c r="J49" s="50">
        <v>75</v>
      </c>
      <c r="K49" s="50">
        <v>75</v>
      </c>
      <c r="L49" s="50">
        <v>75</v>
      </c>
      <c r="M49" s="70">
        <v>50</v>
      </c>
      <c r="N49" s="70">
        <v>50</v>
      </c>
      <c r="O49" s="50">
        <v>15</v>
      </c>
      <c r="P49" s="50">
        <v>0</v>
      </c>
      <c r="Q49" s="50">
        <v>50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75</v>
      </c>
      <c r="Y49" s="50">
        <v>110</v>
      </c>
      <c r="Z49" s="50">
        <v>350</v>
      </c>
      <c r="AA49" s="50">
        <v>350</v>
      </c>
      <c r="AB49" s="50">
        <v>228</v>
      </c>
      <c r="AC49" s="50">
        <v>150</v>
      </c>
      <c r="AD49" s="50">
        <v>70</v>
      </c>
      <c r="AE49" s="50">
        <v>70</v>
      </c>
      <c r="AF49" s="50">
        <v>80</v>
      </c>
      <c r="AG49" s="56">
        <v>456</v>
      </c>
      <c r="AH49" s="52">
        <f t="shared" si="2"/>
        <v>350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26</v>
      </c>
      <c r="C50" s="72">
        <v>26</v>
      </c>
      <c r="D50" s="72">
        <v>26</v>
      </c>
      <c r="E50" s="72">
        <v>26</v>
      </c>
      <c r="F50" s="72">
        <v>26</v>
      </c>
      <c r="G50" s="72">
        <v>26</v>
      </c>
      <c r="H50" s="72">
        <v>26</v>
      </c>
      <c r="I50" s="72">
        <v>26</v>
      </c>
      <c r="J50" s="72">
        <v>26</v>
      </c>
      <c r="K50" s="72">
        <v>26</v>
      </c>
      <c r="L50" s="72">
        <v>26</v>
      </c>
      <c r="M50" s="72">
        <v>26</v>
      </c>
      <c r="N50" s="72">
        <v>26</v>
      </c>
      <c r="O50" s="72">
        <v>26</v>
      </c>
      <c r="P50" s="72">
        <v>26</v>
      </c>
      <c r="Q50" s="72">
        <v>26</v>
      </c>
      <c r="R50" s="72">
        <v>26</v>
      </c>
      <c r="S50" s="72">
        <v>26</v>
      </c>
      <c r="T50" s="72">
        <v>26</v>
      </c>
      <c r="U50" s="72">
        <v>26</v>
      </c>
      <c r="V50" s="72">
        <v>26</v>
      </c>
      <c r="W50" s="72">
        <v>26</v>
      </c>
      <c r="X50" s="72">
        <v>26</v>
      </c>
      <c r="Y50" s="72">
        <v>26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26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11.1</v>
      </c>
      <c r="C51" s="74">
        <v>11.1</v>
      </c>
      <c r="D51" s="74">
        <v>11.1</v>
      </c>
      <c r="E51" s="74">
        <v>11.1</v>
      </c>
      <c r="F51" s="74">
        <v>11.1</v>
      </c>
      <c r="G51" s="74">
        <v>11.1</v>
      </c>
      <c r="H51" s="74">
        <v>11.1</v>
      </c>
      <c r="I51" s="74">
        <v>11.1</v>
      </c>
      <c r="J51" s="74">
        <v>11.1</v>
      </c>
      <c r="K51" s="74">
        <v>11.1</v>
      </c>
      <c r="L51" s="74">
        <v>11.1</v>
      </c>
      <c r="M51" s="74">
        <v>11.1</v>
      </c>
      <c r="N51" s="74">
        <v>11.1</v>
      </c>
      <c r="O51" s="74">
        <v>11.1</v>
      </c>
      <c r="P51" s="74">
        <v>11.1</v>
      </c>
      <c r="Q51" s="74">
        <v>11.1</v>
      </c>
      <c r="R51" s="74">
        <v>11.1</v>
      </c>
      <c r="S51" s="74">
        <v>11.1</v>
      </c>
      <c r="T51" s="74">
        <v>11.1</v>
      </c>
      <c r="U51" s="74">
        <v>11.1</v>
      </c>
      <c r="V51" s="74">
        <v>11.1</v>
      </c>
      <c r="W51" s="74">
        <v>11.1</v>
      </c>
      <c r="X51" s="74">
        <v>11.1</v>
      </c>
      <c r="Y51" s="74">
        <v>11.1</v>
      </c>
      <c r="Z51" s="74">
        <v>11.1</v>
      </c>
      <c r="AA51" s="74">
        <v>11.1</v>
      </c>
      <c r="AB51" s="74">
        <v>11.1</v>
      </c>
      <c r="AC51" s="74">
        <v>11.1</v>
      </c>
      <c r="AD51" s="74">
        <v>11.1</v>
      </c>
      <c r="AE51" s="74">
        <v>11.1</v>
      </c>
      <c r="AF51" s="74">
        <v>11.1</v>
      </c>
      <c r="AG51" s="75">
        <v>22.1</v>
      </c>
      <c r="AH51" s="52">
        <f t="shared" si="2"/>
        <v>11.1</v>
      </c>
      <c r="AI51" s="53">
        <f t="shared" si="3"/>
        <v>11.1</v>
      </c>
      <c r="AK51" s="54"/>
    </row>
    <row r="52" spans="1:41" ht="15.75" thickBot="1" x14ac:dyDescent="0.3">
      <c r="A52" s="76" t="s">
        <v>56</v>
      </c>
      <c r="B52" s="67">
        <v>112.1</v>
      </c>
      <c r="C52" s="67">
        <f t="shared" ref="C52:AG52" si="5">SUM(C49:C51)</f>
        <v>112.1</v>
      </c>
      <c r="D52" s="67">
        <f t="shared" si="5"/>
        <v>112.1</v>
      </c>
      <c r="E52" s="67">
        <f t="shared" si="5"/>
        <v>112.1</v>
      </c>
      <c r="F52" s="67">
        <f t="shared" si="5"/>
        <v>112.1</v>
      </c>
      <c r="G52" s="67">
        <f t="shared" si="5"/>
        <v>112.1</v>
      </c>
      <c r="H52" s="67">
        <f t="shared" si="5"/>
        <v>112.1</v>
      </c>
      <c r="I52" s="67">
        <f t="shared" si="5"/>
        <v>112.1</v>
      </c>
      <c r="J52" s="67">
        <f t="shared" si="5"/>
        <v>112.1</v>
      </c>
      <c r="K52" s="67">
        <f t="shared" si="5"/>
        <v>112.1</v>
      </c>
      <c r="L52" s="67">
        <f t="shared" si="5"/>
        <v>112.1</v>
      </c>
      <c r="M52" s="67">
        <f t="shared" si="5"/>
        <v>87.1</v>
      </c>
      <c r="N52" s="67">
        <f t="shared" si="5"/>
        <v>87.1</v>
      </c>
      <c r="O52" s="67">
        <f t="shared" si="5"/>
        <v>52.1</v>
      </c>
      <c r="P52" s="67">
        <f t="shared" si="5"/>
        <v>37.1</v>
      </c>
      <c r="Q52" s="67">
        <f t="shared" si="5"/>
        <v>87.1</v>
      </c>
      <c r="R52" s="67">
        <f t="shared" si="5"/>
        <v>37.1</v>
      </c>
      <c r="S52" s="67">
        <f t="shared" si="5"/>
        <v>37.1</v>
      </c>
      <c r="T52" s="67">
        <f t="shared" si="5"/>
        <v>37.1</v>
      </c>
      <c r="U52" s="67">
        <f t="shared" si="5"/>
        <v>37.1</v>
      </c>
      <c r="V52" s="67">
        <f t="shared" si="5"/>
        <v>37.1</v>
      </c>
      <c r="W52" s="67">
        <f t="shared" si="5"/>
        <v>37.1</v>
      </c>
      <c r="X52" s="67">
        <f t="shared" si="5"/>
        <v>112.1</v>
      </c>
      <c r="Y52" s="67">
        <f t="shared" si="5"/>
        <v>147.1</v>
      </c>
      <c r="Z52" s="67">
        <v>386.1</v>
      </c>
      <c r="AA52" s="67">
        <f t="shared" si="5"/>
        <v>386.1</v>
      </c>
      <c r="AB52" s="67">
        <f t="shared" si="5"/>
        <v>264.10000000000002</v>
      </c>
      <c r="AC52" s="67">
        <f t="shared" si="5"/>
        <v>186.1</v>
      </c>
      <c r="AD52" s="67">
        <f t="shared" si="5"/>
        <v>106.1</v>
      </c>
      <c r="AE52" s="67">
        <f t="shared" si="5"/>
        <v>106.1</v>
      </c>
      <c r="AF52" s="67">
        <f t="shared" si="5"/>
        <v>116.1</v>
      </c>
      <c r="AG52" s="68">
        <f t="shared" si="5"/>
        <v>538.1</v>
      </c>
      <c r="AH52" s="52">
        <f t="shared" si="2"/>
        <v>386.1</v>
      </c>
      <c r="AI52" s="53">
        <f t="shared" si="3"/>
        <v>37.1</v>
      </c>
      <c r="AK52" s="54"/>
    </row>
    <row r="53" spans="1:41" x14ac:dyDescent="0.25">
      <c r="A53" s="49" t="s">
        <v>57</v>
      </c>
      <c r="B53" s="50">
        <v>61</v>
      </c>
      <c r="C53" s="50">
        <v>61</v>
      </c>
      <c r="D53" s="50">
        <v>61</v>
      </c>
      <c r="E53" s="50">
        <v>30</v>
      </c>
      <c r="F53" s="50">
        <v>30</v>
      </c>
      <c r="G53" s="50">
        <v>48</v>
      </c>
      <c r="H53" s="50">
        <v>71</v>
      </c>
      <c r="I53" s="50">
        <v>45</v>
      </c>
      <c r="J53" s="50">
        <v>60</v>
      </c>
      <c r="K53" s="50">
        <v>71</v>
      </c>
      <c r="L53" s="50">
        <v>71</v>
      </c>
      <c r="M53" s="50">
        <v>69.8</v>
      </c>
      <c r="N53" s="50">
        <v>40.9</v>
      </c>
      <c r="O53" s="50">
        <v>28.5</v>
      </c>
      <c r="P53" s="50">
        <v>28.5</v>
      </c>
      <c r="Q53" s="50">
        <v>91.5</v>
      </c>
      <c r="R53" s="50">
        <v>97.5</v>
      </c>
      <c r="S53" s="50">
        <v>97.5</v>
      </c>
      <c r="T53" s="50">
        <v>70.8</v>
      </c>
      <c r="U53" s="50">
        <v>49</v>
      </c>
      <c r="V53" s="50">
        <v>0</v>
      </c>
      <c r="W53" s="50">
        <v>0</v>
      </c>
      <c r="X53" s="50">
        <v>28.8</v>
      </c>
      <c r="Y53" s="50">
        <v>75.900000000000006</v>
      </c>
      <c r="Z53" s="50">
        <v>94</v>
      </c>
      <c r="AA53" s="50">
        <v>94</v>
      </c>
      <c r="AB53" s="50">
        <v>94.3</v>
      </c>
      <c r="AC53" s="50">
        <v>81.2</v>
      </c>
      <c r="AD53" s="50">
        <v>81.2</v>
      </c>
      <c r="AE53" s="50">
        <v>81.2</v>
      </c>
      <c r="AF53" s="50">
        <v>65</v>
      </c>
      <c r="AG53" s="56">
        <v>144</v>
      </c>
      <c r="AH53" s="52">
        <f t="shared" si="2"/>
        <v>97.5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33</v>
      </c>
      <c r="C54" s="72">
        <v>33</v>
      </c>
      <c r="D54" s="72">
        <v>33</v>
      </c>
      <c r="E54" s="72">
        <v>30</v>
      </c>
      <c r="F54" s="72">
        <v>30</v>
      </c>
      <c r="G54" s="72">
        <v>35</v>
      </c>
      <c r="H54" s="72">
        <v>35</v>
      </c>
      <c r="I54" s="72">
        <v>34</v>
      </c>
      <c r="J54" s="72">
        <v>35</v>
      </c>
      <c r="K54" s="72">
        <v>35</v>
      </c>
      <c r="L54" s="72">
        <v>35</v>
      </c>
      <c r="M54" s="72">
        <v>20.5</v>
      </c>
      <c r="N54" s="72">
        <v>20.3</v>
      </c>
      <c r="O54" s="72">
        <v>20.399999999999999</v>
      </c>
      <c r="P54" s="72">
        <v>20.399999999999999</v>
      </c>
      <c r="Q54" s="72">
        <v>35.200000000000003</v>
      </c>
      <c r="R54" s="50">
        <v>35.200000000000003</v>
      </c>
      <c r="S54" s="50">
        <v>35.200000000000003</v>
      </c>
      <c r="T54" s="50">
        <v>24.7</v>
      </c>
      <c r="U54" s="50">
        <v>28.3</v>
      </c>
      <c r="V54" s="50">
        <v>0</v>
      </c>
      <c r="W54" s="50">
        <v>0</v>
      </c>
      <c r="X54" s="50">
        <v>20.3</v>
      </c>
      <c r="Y54" s="50">
        <v>20</v>
      </c>
      <c r="Z54" s="50">
        <v>60</v>
      </c>
      <c r="AA54" s="50">
        <v>35</v>
      </c>
      <c r="AB54" s="72">
        <v>24.8</v>
      </c>
      <c r="AC54" s="72">
        <v>24.9</v>
      </c>
      <c r="AD54" s="72">
        <v>21.9</v>
      </c>
      <c r="AE54" s="72">
        <v>21.9</v>
      </c>
      <c r="AF54" s="72">
        <v>22</v>
      </c>
      <c r="AG54" s="61">
        <v>70</v>
      </c>
      <c r="AH54" s="52">
        <f t="shared" si="2"/>
        <v>60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45</v>
      </c>
      <c r="C55" s="72">
        <v>45</v>
      </c>
      <c r="D55" s="72">
        <v>45</v>
      </c>
      <c r="E55" s="72">
        <v>32.5</v>
      </c>
      <c r="F55" s="72">
        <v>32.5</v>
      </c>
      <c r="G55" s="72">
        <v>23</v>
      </c>
      <c r="H55" s="72">
        <v>34.299999999999997</v>
      </c>
      <c r="I55" s="72">
        <v>21</v>
      </c>
      <c r="J55" s="72">
        <v>34.299999999999997</v>
      </c>
      <c r="K55" s="72">
        <v>34.299999999999997</v>
      </c>
      <c r="L55" s="72">
        <v>46</v>
      </c>
      <c r="M55" s="72">
        <v>34.200000000000003</v>
      </c>
      <c r="N55" s="72">
        <v>23</v>
      </c>
      <c r="O55" s="72">
        <v>0</v>
      </c>
      <c r="P55" s="72">
        <v>45.6</v>
      </c>
      <c r="Q55" s="72">
        <v>45.6</v>
      </c>
      <c r="R55" s="50">
        <v>45.6</v>
      </c>
      <c r="S55" s="50">
        <v>45.6</v>
      </c>
      <c r="T55" s="50">
        <v>34.200000000000003</v>
      </c>
      <c r="U55" s="50">
        <v>46.4</v>
      </c>
      <c r="V55" s="50">
        <v>22.4</v>
      </c>
      <c r="W55" s="50">
        <v>22.8</v>
      </c>
      <c r="X55" s="50">
        <v>16.2</v>
      </c>
      <c r="Y55" s="50">
        <v>16</v>
      </c>
      <c r="Z55" s="50">
        <v>45</v>
      </c>
      <c r="AA55" s="50">
        <v>34</v>
      </c>
      <c r="AB55" s="72">
        <v>34.700000000000003</v>
      </c>
      <c r="AC55" s="72">
        <v>34.5</v>
      </c>
      <c r="AD55" s="72">
        <v>34.299999999999997</v>
      </c>
      <c r="AE55" s="72">
        <v>34.299999999999997</v>
      </c>
      <c r="AF55" s="72">
        <v>34</v>
      </c>
      <c r="AG55" s="61">
        <v>69</v>
      </c>
      <c r="AH55" s="52">
        <f t="shared" si="2"/>
        <v>46.4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32.5</v>
      </c>
      <c r="C56" s="72">
        <v>32.5</v>
      </c>
      <c r="D56" s="72">
        <v>32.5</v>
      </c>
      <c r="E56" s="72">
        <v>32.5</v>
      </c>
      <c r="F56" s="72">
        <v>32.5</v>
      </c>
      <c r="G56" s="72">
        <v>32.5</v>
      </c>
      <c r="H56" s="72">
        <v>32.5</v>
      </c>
      <c r="I56" s="72">
        <v>32.5</v>
      </c>
      <c r="J56" s="72">
        <v>32.5</v>
      </c>
      <c r="K56" s="72">
        <v>32.5</v>
      </c>
      <c r="L56" s="72">
        <v>32.5</v>
      </c>
      <c r="M56" s="72">
        <v>32.5</v>
      </c>
      <c r="N56" s="72">
        <v>32.5</v>
      </c>
      <c r="O56" s="72">
        <v>32.5</v>
      </c>
      <c r="P56" s="72">
        <v>32.5</v>
      </c>
      <c r="Q56" s="72">
        <v>32.5</v>
      </c>
      <c r="R56" s="50">
        <v>35</v>
      </c>
      <c r="S56" s="50">
        <v>35</v>
      </c>
      <c r="T56" s="50">
        <v>35</v>
      </c>
      <c r="U56" s="50">
        <v>33</v>
      </c>
      <c r="V56" s="50">
        <v>33.5</v>
      </c>
      <c r="W56" s="50">
        <v>33.299999999999997</v>
      </c>
      <c r="X56" s="50">
        <v>33.799999999999997</v>
      </c>
      <c r="Y56" s="50">
        <v>33.799999999999997</v>
      </c>
      <c r="Z56" s="50">
        <v>33.799999999999997</v>
      </c>
      <c r="AA56" s="50">
        <v>33.799999999999997</v>
      </c>
      <c r="AB56" s="72">
        <v>34.299999999999997</v>
      </c>
      <c r="AC56" s="72">
        <v>34.299999999999997</v>
      </c>
      <c r="AD56" s="72">
        <v>34.299999999999997</v>
      </c>
      <c r="AE56" s="72">
        <v>34.299999999999997</v>
      </c>
      <c r="AF56" s="72">
        <v>34.299999999999997</v>
      </c>
      <c r="AG56" s="61">
        <v>60</v>
      </c>
      <c r="AH56" s="52">
        <f t="shared" si="2"/>
        <v>35</v>
      </c>
      <c r="AI56" s="53">
        <f t="shared" si="3"/>
        <v>32.5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15</v>
      </c>
      <c r="K57" s="72">
        <v>15</v>
      </c>
      <c r="L57" s="72">
        <v>15</v>
      </c>
      <c r="M57" s="72">
        <v>10</v>
      </c>
      <c r="N57" s="72">
        <v>10</v>
      </c>
      <c r="O57" s="72">
        <v>10</v>
      </c>
      <c r="P57" s="72">
        <v>10</v>
      </c>
      <c r="Q57" s="72">
        <v>10</v>
      </c>
      <c r="R57" s="50">
        <v>15</v>
      </c>
      <c r="S57" s="50">
        <v>15</v>
      </c>
      <c r="T57" s="50">
        <v>15</v>
      </c>
      <c r="U57" s="50">
        <v>10</v>
      </c>
      <c r="V57" s="50">
        <v>10</v>
      </c>
      <c r="W57" s="50">
        <v>10</v>
      </c>
      <c r="X57" s="50">
        <v>10</v>
      </c>
      <c r="Y57" s="50">
        <v>8.8000000000000007</v>
      </c>
      <c r="Z57" s="50">
        <v>8.8000000000000007</v>
      </c>
      <c r="AA57" s="50">
        <v>8.8000000000000007</v>
      </c>
      <c r="AB57" s="72">
        <v>9.6</v>
      </c>
      <c r="AC57" s="72">
        <v>9.6</v>
      </c>
      <c r="AD57" s="72">
        <v>9.6</v>
      </c>
      <c r="AE57" s="72">
        <v>0</v>
      </c>
      <c r="AF57" s="72">
        <v>0</v>
      </c>
      <c r="AG57" s="61">
        <v>30</v>
      </c>
      <c r="AH57" s="52">
        <f t="shared" si="2"/>
        <v>15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10</v>
      </c>
      <c r="O58" s="72">
        <v>10</v>
      </c>
      <c r="P58" s="72">
        <v>10</v>
      </c>
      <c r="Q58" s="72">
        <v>10</v>
      </c>
      <c r="R58" s="72">
        <v>10</v>
      </c>
      <c r="S58" s="72">
        <v>10</v>
      </c>
      <c r="T58" s="72">
        <v>10</v>
      </c>
      <c r="U58" s="72">
        <v>10</v>
      </c>
      <c r="V58" s="72">
        <v>10</v>
      </c>
      <c r="W58" s="72">
        <v>0</v>
      </c>
      <c r="X58" s="72">
        <v>0</v>
      </c>
      <c r="Y58" s="72">
        <v>0</v>
      </c>
      <c r="Z58" s="50">
        <v>0</v>
      </c>
      <c r="AA58" s="50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61">
        <v>25</v>
      </c>
      <c r="AH58" s="52">
        <f t="shared" si="2"/>
        <v>10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11.5</v>
      </c>
      <c r="C61" s="72">
        <v>11.5</v>
      </c>
      <c r="D61" s="72">
        <v>11.5</v>
      </c>
      <c r="E61" s="72">
        <v>11.5</v>
      </c>
      <c r="F61" s="72">
        <v>11.5</v>
      </c>
      <c r="G61" s="72">
        <v>11.5</v>
      </c>
      <c r="H61" s="72">
        <v>11.5</v>
      </c>
      <c r="I61" s="72">
        <v>11.5</v>
      </c>
      <c r="J61" s="72">
        <v>11.5</v>
      </c>
      <c r="K61" s="72">
        <v>11.5</v>
      </c>
      <c r="L61" s="72">
        <v>11.5</v>
      </c>
      <c r="M61" s="72">
        <v>11.5</v>
      </c>
      <c r="N61" s="72">
        <v>11.5</v>
      </c>
      <c r="O61" s="72">
        <v>11.5</v>
      </c>
      <c r="P61" s="72">
        <v>11.5</v>
      </c>
      <c r="Q61" s="72">
        <v>11.5</v>
      </c>
      <c r="R61" s="72">
        <v>11.5</v>
      </c>
      <c r="S61" s="72">
        <v>11.5</v>
      </c>
      <c r="T61" s="72">
        <v>11.5</v>
      </c>
      <c r="U61" s="72">
        <v>11.5</v>
      </c>
      <c r="V61" s="72">
        <v>11.5</v>
      </c>
      <c r="W61" s="72">
        <v>11.5</v>
      </c>
      <c r="X61" s="72">
        <v>11.5</v>
      </c>
      <c r="Y61" s="72">
        <v>11.5</v>
      </c>
      <c r="Z61" s="72">
        <v>11.5</v>
      </c>
      <c r="AA61" s="72">
        <v>11.5</v>
      </c>
      <c r="AB61" s="72">
        <v>11.5</v>
      </c>
      <c r="AC61" s="72">
        <v>11.5</v>
      </c>
      <c r="AD61" s="72">
        <v>11.5</v>
      </c>
      <c r="AE61" s="72">
        <v>11.5</v>
      </c>
      <c r="AF61" s="72">
        <v>11.5</v>
      </c>
      <c r="AG61" s="61">
        <v>14.1</v>
      </c>
      <c r="AH61" s="52">
        <f t="shared" si="2"/>
        <v>11.5</v>
      </c>
      <c r="AI61" s="53">
        <f t="shared" si="3"/>
        <v>11.5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3.6</v>
      </c>
      <c r="C62" s="72">
        <v>3.6</v>
      </c>
      <c r="D62" s="72">
        <v>3.6</v>
      </c>
      <c r="E62" s="72">
        <v>3.6</v>
      </c>
      <c r="F62" s="72">
        <v>3.6</v>
      </c>
      <c r="G62" s="72">
        <v>3.6</v>
      </c>
      <c r="H62" s="72">
        <v>3.6</v>
      </c>
      <c r="I62" s="72">
        <v>3.6</v>
      </c>
      <c r="J62" s="72">
        <v>3.6</v>
      </c>
      <c r="K62" s="72">
        <v>3.6</v>
      </c>
      <c r="L62" s="72">
        <v>3.6</v>
      </c>
      <c r="M62" s="72">
        <v>3.6</v>
      </c>
      <c r="N62" s="72">
        <v>3.6</v>
      </c>
      <c r="O62" s="72">
        <v>3.6</v>
      </c>
      <c r="P62" s="72">
        <v>3.6</v>
      </c>
      <c r="Q62" s="72">
        <v>3.6</v>
      </c>
      <c r="R62" s="72">
        <v>3.6</v>
      </c>
      <c r="S62" s="72">
        <v>3.6</v>
      </c>
      <c r="T62" s="72">
        <v>3.6</v>
      </c>
      <c r="U62" s="72">
        <v>3.6</v>
      </c>
      <c r="V62" s="72">
        <v>3.6</v>
      </c>
      <c r="W62" s="72">
        <v>3.6</v>
      </c>
      <c r="X62" s="72">
        <v>3.6</v>
      </c>
      <c r="Y62" s="72">
        <v>3.6</v>
      </c>
      <c r="Z62" s="72">
        <v>3.6</v>
      </c>
      <c r="AA62" s="72">
        <v>3.6</v>
      </c>
      <c r="AB62" s="72">
        <v>3.6</v>
      </c>
      <c r="AC62" s="72">
        <v>3.6</v>
      </c>
      <c r="AD62" s="72">
        <v>3.6</v>
      </c>
      <c r="AE62" s="72">
        <v>3.6</v>
      </c>
      <c r="AF62" s="72">
        <v>3.6</v>
      </c>
      <c r="AG62" s="61">
        <v>14</v>
      </c>
      <c r="AH62" s="52">
        <f t="shared" si="2"/>
        <v>3.6</v>
      </c>
      <c r="AI62" s="53">
        <f t="shared" si="3"/>
        <v>3.6</v>
      </c>
      <c r="AK62" s="54"/>
    </row>
    <row r="63" spans="1:41" x14ac:dyDescent="0.25">
      <c r="A63" s="60" t="s">
        <v>67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3</v>
      </c>
      <c r="T63" s="72">
        <v>3</v>
      </c>
      <c r="U63" s="72">
        <v>3</v>
      </c>
      <c r="V63" s="72">
        <v>3</v>
      </c>
      <c r="W63" s="72">
        <v>3</v>
      </c>
      <c r="X63" s="72">
        <v>3</v>
      </c>
      <c r="Y63" s="72">
        <v>3</v>
      </c>
      <c r="Z63" s="72">
        <v>3</v>
      </c>
      <c r="AA63" s="72">
        <v>3</v>
      </c>
      <c r="AB63" s="72">
        <v>3</v>
      </c>
      <c r="AC63" s="72">
        <v>3</v>
      </c>
      <c r="AD63" s="72">
        <v>3</v>
      </c>
      <c r="AE63" s="72">
        <v>3</v>
      </c>
      <c r="AF63" s="72">
        <v>3</v>
      </c>
      <c r="AG63" s="61">
        <v>10.050000000000001</v>
      </c>
      <c r="AH63" s="52">
        <f t="shared" si="2"/>
        <v>3</v>
      </c>
      <c r="AI63" s="53">
        <f t="shared" si="3"/>
        <v>3</v>
      </c>
      <c r="AK63" s="54"/>
    </row>
    <row r="64" spans="1:41" x14ac:dyDescent="0.25">
      <c r="A64" s="60" t="s">
        <v>68</v>
      </c>
      <c r="B64" s="72">
        <v>2.2999999999999998</v>
      </c>
      <c r="C64" s="72">
        <v>2.2999999999999998</v>
      </c>
      <c r="D64" s="72">
        <v>2.2999999999999998</v>
      </c>
      <c r="E64" s="72">
        <v>2.2999999999999998</v>
      </c>
      <c r="F64" s="72">
        <v>2.2999999999999998</v>
      </c>
      <c r="G64" s="72">
        <v>2.2999999999999998</v>
      </c>
      <c r="H64" s="72">
        <v>2.2999999999999998</v>
      </c>
      <c r="I64" s="72">
        <v>2.2999999999999998</v>
      </c>
      <c r="J64" s="72">
        <v>2.2999999999999998</v>
      </c>
      <c r="K64" s="72">
        <v>2.2999999999999998</v>
      </c>
      <c r="L64" s="72">
        <v>2.2999999999999998</v>
      </c>
      <c r="M64" s="72">
        <v>2.2999999999999998</v>
      </c>
      <c r="N64" s="72">
        <v>2.2999999999999998</v>
      </c>
      <c r="O64" s="72">
        <v>2.2999999999999998</v>
      </c>
      <c r="P64" s="72">
        <v>2.2999999999999998</v>
      </c>
      <c r="Q64" s="72">
        <v>2.2999999999999998</v>
      </c>
      <c r="R64" s="72">
        <v>2.2999999999999998</v>
      </c>
      <c r="S64" s="72">
        <v>2.2999999999999998</v>
      </c>
      <c r="T64" s="72">
        <v>2.2999999999999998</v>
      </c>
      <c r="U64" s="72">
        <v>2.2999999999999998</v>
      </c>
      <c r="V64" s="72">
        <v>2.2999999999999998</v>
      </c>
      <c r="W64" s="72">
        <v>2.2999999999999998</v>
      </c>
      <c r="X64" s="72">
        <v>2.2999999999999998</v>
      </c>
      <c r="Y64" s="72">
        <v>2.2999999999999998</v>
      </c>
      <c r="Z64" s="72">
        <v>2.2999999999999998</v>
      </c>
      <c r="AA64" s="72">
        <v>2.2999999999999998</v>
      </c>
      <c r="AB64" s="72">
        <v>2.2999999999999998</v>
      </c>
      <c r="AC64" s="72">
        <v>2.2999999999999998</v>
      </c>
      <c r="AD64" s="72">
        <v>2.2999999999999998</v>
      </c>
      <c r="AE64" s="72">
        <v>2.2999999999999998</v>
      </c>
      <c r="AF64" s="72">
        <v>2.2999999999999998</v>
      </c>
      <c r="AG64" s="61">
        <v>6.2</v>
      </c>
      <c r="AH64" s="52">
        <f t="shared" si="2"/>
        <v>2.2999999999999998</v>
      </c>
      <c r="AI64" s="53">
        <f t="shared" si="3"/>
        <v>2.2999999999999998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v>224.14</v>
      </c>
      <c r="C66" s="67">
        <f t="shared" ref="C66:AG66" si="6">SUM(C53:C65)</f>
        <v>210.44</v>
      </c>
      <c r="D66" s="67">
        <f t="shared" si="6"/>
        <v>210.44</v>
      </c>
      <c r="E66" s="67">
        <f t="shared" si="6"/>
        <v>163.94</v>
      </c>
      <c r="F66" s="67">
        <f t="shared" si="6"/>
        <v>163.94</v>
      </c>
      <c r="G66" s="67">
        <f t="shared" si="6"/>
        <v>177.44</v>
      </c>
      <c r="H66" s="67">
        <f t="shared" si="6"/>
        <v>211.74</v>
      </c>
      <c r="I66" s="67">
        <f t="shared" si="6"/>
        <v>171.44</v>
      </c>
      <c r="J66" s="67">
        <f t="shared" si="6"/>
        <v>215.74</v>
      </c>
      <c r="K66" s="67">
        <f t="shared" si="6"/>
        <v>226.74</v>
      </c>
      <c r="L66" s="67">
        <f t="shared" ref="L66" si="7">SUM(L53:L65)</f>
        <v>238.44</v>
      </c>
      <c r="M66" s="67">
        <f t="shared" si="6"/>
        <v>205.94</v>
      </c>
      <c r="N66" s="67">
        <f t="shared" si="6"/>
        <v>175.64</v>
      </c>
      <c r="O66" s="67">
        <f t="shared" si="6"/>
        <v>140.34</v>
      </c>
      <c r="P66" s="67">
        <f t="shared" si="6"/>
        <v>185.94</v>
      </c>
      <c r="Q66" s="67">
        <f t="shared" si="6"/>
        <v>263.74</v>
      </c>
      <c r="R66" s="67">
        <f t="shared" si="6"/>
        <v>277.24</v>
      </c>
      <c r="S66" s="67">
        <f t="shared" si="6"/>
        <v>277.24</v>
      </c>
      <c r="T66" s="67">
        <f t="shared" si="6"/>
        <v>228.64</v>
      </c>
      <c r="U66" s="67">
        <f t="shared" si="6"/>
        <v>215.64</v>
      </c>
      <c r="V66" s="67">
        <f t="shared" si="6"/>
        <v>114.84</v>
      </c>
      <c r="W66" s="67">
        <f t="shared" si="6"/>
        <v>105.03999999999999</v>
      </c>
      <c r="X66" s="67">
        <f t="shared" si="6"/>
        <v>148.04</v>
      </c>
      <c r="Y66" s="67">
        <f t="shared" si="6"/>
        <v>193.44</v>
      </c>
      <c r="Z66" s="67">
        <v>290.54000000000008</v>
      </c>
      <c r="AA66" s="67">
        <f t="shared" si="6"/>
        <v>244.54000000000002</v>
      </c>
      <c r="AB66" s="67">
        <f t="shared" si="6"/>
        <v>236.64000000000001</v>
      </c>
      <c r="AC66" s="67">
        <f t="shared" si="6"/>
        <v>223.43999999999997</v>
      </c>
      <c r="AD66" s="67">
        <f t="shared" si="6"/>
        <v>220.23999999999998</v>
      </c>
      <c r="AE66" s="67">
        <f t="shared" si="6"/>
        <v>210.64</v>
      </c>
      <c r="AF66" s="67">
        <f t="shared" si="6"/>
        <v>194.24</v>
      </c>
      <c r="AG66" s="68">
        <f t="shared" si="6"/>
        <v>489.91</v>
      </c>
      <c r="AH66" s="52">
        <f t="shared" si="2"/>
        <v>290.54000000000008</v>
      </c>
      <c r="AI66" s="53">
        <f t="shared" si="3"/>
        <v>105.03999999999999</v>
      </c>
      <c r="AK66" s="54"/>
    </row>
    <row r="67" spans="1:40" x14ac:dyDescent="0.25">
      <c r="A67" s="49" t="s">
        <v>71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60</v>
      </c>
      <c r="AK67" s="54"/>
    </row>
    <row r="68" spans="1:40" x14ac:dyDescent="0.25">
      <c r="A68" s="60" t="s">
        <v>72</v>
      </c>
      <c r="B68" s="72">
        <v>28</v>
      </c>
      <c r="C68" s="72">
        <v>28</v>
      </c>
      <c r="D68" s="72">
        <v>28</v>
      </c>
      <c r="E68" s="72">
        <v>28</v>
      </c>
      <c r="F68" s="72">
        <v>28</v>
      </c>
      <c r="G68" s="72">
        <v>28</v>
      </c>
      <c r="H68" s="72">
        <v>28</v>
      </c>
      <c r="I68" s="72">
        <v>28</v>
      </c>
      <c r="J68" s="72">
        <v>28</v>
      </c>
      <c r="K68" s="72">
        <v>28</v>
      </c>
      <c r="L68" s="72">
        <v>28</v>
      </c>
      <c r="M68" s="72">
        <v>28.4</v>
      </c>
      <c r="N68" s="72">
        <v>28.6</v>
      </c>
      <c r="O68" s="72">
        <v>28.7</v>
      </c>
      <c r="P68" s="72">
        <v>28.7</v>
      </c>
      <c r="Q68" s="72">
        <v>28.7</v>
      </c>
      <c r="R68" s="72">
        <v>28.7</v>
      </c>
      <c r="S68" s="72">
        <v>28.7</v>
      </c>
      <c r="T68" s="72">
        <v>28.7</v>
      </c>
      <c r="U68" s="72">
        <v>28.7</v>
      </c>
      <c r="V68" s="72">
        <v>28.7</v>
      </c>
      <c r="W68" s="72">
        <v>28.4</v>
      </c>
      <c r="X68" s="72">
        <v>28.4</v>
      </c>
      <c r="Y68" s="72">
        <v>28.4</v>
      </c>
      <c r="Z68" s="72">
        <v>28.4</v>
      </c>
      <c r="AA68" s="72">
        <v>28.4</v>
      </c>
      <c r="AB68" s="72">
        <v>28.4</v>
      </c>
      <c r="AC68" s="72">
        <v>28.4</v>
      </c>
      <c r="AD68" s="72">
        <v>28.4</v>
      </c>
      <c r="AE68" s="72">
        <v>28.4</v>
      </c>
      <c r="AF68" s="72">
        <v>28.4</v>
      </c>
      <c r="AG68" s="61">
        <v>32</v>
      </c>
      <c r="AH68" s="52">
        <f t="shared" si="2"/>
        <v>28.7</v>
      </c>
      <c r="AI68" s="53">
        <f t="shared" si="3"/>
        <v>28</v>
      </c>
      <c r="AK68" s="54"/>
    </row>
    <row r="69" spans="1:40" ht="15.75" thickBot="1" x14ac:dyDescent="0.3">
      <c r="A69" s="78" t="s">
        <v>73</v>
      </c>
      <c r="B69" s="74">
        <v>10.199999999999999</v>
      </c>
      <c r="C69" s="74">
        <v>10.199999999999999</v>
      </c>
      <c r="D69" s="74">
        <v>10.199999999999999</v>
      </c>
      <c r="E69" s="74">
        <v>10.199999999999999</v>
      </c>
      <c r="F69" s="74">
        <v>10.199999999999999</v>
      </c>
      <c r="G69" s="74">
        <v>10.199999999999999</v>
      </c>
      <c r="H69" s="74">
        <v>10.199999999999999</v>
      </c>
      <c r="I69" s="74">
        <v>10.199999999999999</v>
      </c>
      <c r="J69" s="74">
        <v>10.199999999999999</v>
      </c>
      <c r="K69" s="74">
        <v>10.199999999999999</v>
      </c>
      <c r="L69" s="74">
        <v>10.199999999999999</v>
      </c>
      <c r="M69" s="74">
        <v>10.3</v>
      </c>
      <c r="N69" s="74">
        <v>10.4</v>
      </c>
      <c r="O69" s="74">
        <v>10.4</v>
      </c>
      <c r="P69" s="74">
        <v>10.4</v>
      </c>
      <c r="Q69" s="74">
        <v>10.4</v>
      </c>
      <c r="R69" s="74">
        <v>10.4</v>
      </c>
      <c r="S69" s="74">
        <v>10.4</v>
      </c>
      <c r="T69" s="74">
        <v>10.4</v>
      </c>
      <c r="U69" s="74">
        <v>10.4</v>
      </c>
      <c r="V69" s="74">
        <v>10.4</v>
      </c>
      <c r="W69" s="74">
        <v>10.4</v>
      </c>
      <c r="X69" s="74">
        <v>10.4</v>
      </c>
      <c r="Y69" s="74">
        <v>10.4</v>
      </c>
      <c r="Z69" s="74">
        <v>10.4</v>
      </c>
      <c r="AA69" s="74">
        <v>10.4</v>
      </c>
      <c r="AB69" s="74">
        <v>10.4</v>
      </c>
      <c r="AC69" s="74">
        <v>10.4</v>
      </c>
      <c r="AD69" s="74">
        <v>10.4</v>
      </c>
      <c r="AE69" s="74">
        <v>10.4</v>
      </c>
      <c r="AF69" s="74">
        <v>10.4</v>
      </c>
      <c r="AG69" s="75">
        <v>14</v>
      </c>
      <c r="AH69" s="52">
        <f t="shared" si="2"/>
        <v>10.4</v>
      </c>
      <c r="AI69" s="53">
        <f t="shared" si="3"/>
        <v>10.199999999999999</v>
      </c>
      <c r="AK69" s="54"/>
    </row>
    <row r="70" spans="1:40" ht="15.75" thickBot="1" x14ac:dyDescent="0.3">
      <c r="A70" s="81" t="s">
        <v>74</v>
      </c>
      <c r="B70" s="67">
        <v>98.2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v>0</v>
      </c>
      <c r="M70" s="67">
        <f t="shared" ref="M70:AF70" si="8">M67+M68+M69</f>
        <v>98.7</v>
      </c>
      <c r="N70" s="67">
        <f t="shared" si="8"/>
        <v>99</v>
      </c>
      <c r="O70" s="67">
        <f t="shared" si="8"/>
        <v>99.100000000000009</v>
      </c>
      <c r="P70" s="67">
        <f t="shared" si="8"/>
        <v>99.100000000000009</v>
      </c>
      <c r="Q70" s="67">
        <f t="shared" si="8"/>
        <v>99.100000000000009</v>
      </c>
      <c r="R70" s="67">
        <f t="shared" si="8"/>
        <v>99.100000000000009</v>
      </c>
      <c r="S70" s="67">
        <f t="shared" si="8"/>
        <v>99.100000000000009</v>
      </c>
      <c r="T70" s="67">
        <f t="shared" si="8"/>
        <v>99.100000000000009</v>
      </c>
      <c r="U70" s="67">
        <f t="shared" si="8"/>
        <v>99.100000000000009</v>
      </c>
      <c r="V70" s="67">
        <f t="shared" si="8"/>
        <v>99.100000000000009</v>
      </c>
      <c r="W70" s="67">
        <f t="shared" si="8"/>
        <v>98.800000000000011</v>
      </c>
      <c r="X70" s="67">
        <f t="shared" si="8"/>
        <v>98.800000000000011</v>
      </c>
      <c r="Y70" s="67">
        <f t="shared" si="8"/>
        <v>98.800000000000011</v>
      </c>
      <c r="Z70" s="67">
        <v>98.800000000000011</v>
      </c>
      <c r="AA70" s="67">
        <f t="shared" si="8"/>
        <v>98.800000000000011</v>
      </c>
      <c r="AB70" s="67">
        <f t="shared" si="8"/>
        <v>98.800000000000011</v>
      </c>
      <c r="AC70" s="67">
        <f t="shared" si="8"/>
        <v>98.800000000000011</v>
      </c>
      <c r="AD70" s="67">
        <f t="shared" si="8"/>
        <v>98.800000000000011</v>
      </c>
      <c r="AE70" s="67">
        <f t="shared" si="8"/>
        <v>98.800000000000011</v>
      </c>
      <c r="AF70" s="67">
        <f t="shared" si="8"/>
        <v>98.800000000000011</v>
      </c>
      <c r="AG70" s="68">
        <f>SUM(AG67:AG69)</f>
        <v>106</v>
      </c>
      <c r="AH70" s="52">
        <f t="shared" si="2"/>
        <v>99.100000000000009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53</v>
      </c>
      <c r="C71" s="50">
        <v>70</v>
      </c>
      <c r="D71" s="50">
        <v>70</v>
      </c>
      <c r="E71" s="50">
        <v>65</v>
      </c>
      <c r="F71" s="50">
        <v>67</v>
      </c>
      <c r="G71" s="50">
        <v>68</v>
      </c>
      <c r="H71" s="50">
        <v>68</v>
      </c>
      <c r="I71" s="50">
        <v>68</v>
      </c>
      <c r="J71" s="50">
        <v>68</v>
      </c>
      <c r="K71" s="50">
        <v>68</v>
      </c>
      <c r="L71" s="50">
        <v>54</v>
      </c>
      <c r="M71" s="50">
        <v>65.900000000000006</v>
      </c>
      <c r="N71" s="50">
        <v>66.2</v>
      </c>
      <c r="O71" s="50">
        <v>66.099999999999994</v>
      </c>
      <c r="P71" s="50">
        <v>66.099999999999994</v>
      </c>
      <c r="Q71" s="50">
        <v>71</v>
      </c>
      <c r="R71" s="50">
        <v>74</v>
      </c>
      <c r="S71" s="50">
        <v>76</v>
      </c>
      <c r="T71" s="50">
        <v>75</v>
      </c>
      <c r="U71" s="50">
        <v>72</v>
      </c>
      <c r="V71" s="50">
        <v>73.2</v>
      </c>
      <c r="W71" s="50">
        <v>73</v>
      </c>
      <c r="X71" s="50">
        <v>67.099999999999994</v>
      </c>
      <c r="Y71" s="50">
        <v>67.900000000000006</v>
      </c>
      <c r="Z71" s="50">
        <v>70</v>
      </c>
      <c r="AA71" s="50">
        <v>72</v>
      </c>
      <c r="AB71" s="50">
        <v>69.400000000000006</v>
      </c>
      <c r="AC71" s="50">
        <v>61</v>
      </c>
      <c r="AD71" s="50">
        <v>67</v>
      </c>
      <c r="AE71" s="50">
        <v>65</v>
      </c>
      <c r="AF71" s="50">
        <v>62</v>
      </c>
      <c r="AG71" s="56"/>
      <c r="AH71" s="52">
        <f t="shared" si="2"/>
        <v>76</v>
      </c>
      <c r="AI71" s="53">
        <f t="shared" si="3"/>
        <v>53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349</v>
      </c>
      <c r="C73" s="72">
        <v>320</v>
      </c>
      <c r="D73" s="72">
        <v>300</v>
      </c>
      <c r="E73" s="72">
        <v>334</v>
      </c>
      <c r="F73" s="72">
        <v>327</v>
      </c>
      <c r="G73" s="72">
        <v>350</v>
      </c>
      <c r="H73" s="72">
        <v>321</v>
      </c>
      <c r="I73" s="72">
        <v>321</v>
      </c>
      <c r="J73" s="72">
        <v>321</v>
      </c>
      <c r="K73" s="72">
        <v>321</v>
      </c>
      <c r="L73" s="72">
        <v>350</v>
      </c>
      <c r="M73" s="72">
        <v>363.5</v>
      </c>
      <c r="N73" s="72">
        <v>397.3</v>
      </c>
      <c r="O73" s="72">
        <v>421.8</v>
      </c>
      <c r="P73" s="72">
        <v>465</v>
      </c>
      <c r="Q73" s="72">
        <v>502</v>
      </c>
      <c r="R73" s="72">
        <v>499</v>
      </c>
      <c r="S73" s="72">
        <v>459</v>
      </c>
      <c r="T73" s="72">
        <v>484</v>
      </c>
      <c r="U73" s="72">
        <v>530</v>
      </c>
      <c r="V73" s="72">
        <v>505.4</v>
      </c>
      <c r="W73" s="72">
        <v>503.3</v>
      </c>
      <c r="X73" s="72">
        <v>416</v>
      </c>
      <c r="Y73" s="72">
        <v>391</v>
      </c>
      <c r="Z73" s="72">
        <v>172</v>
      </c>
      <c r="AA73" s="72">
        <v>192</v>
      </c>
      <c r="AB73" s="72">
        <v>252.4</v>
      </c>
      <c r="AC73" s="72">
        <v>253</v>
      </c>
      <c r="AD73" s="72">
        <v>284</v>
      </c>
      <c r="AE73" s="72">
        <v>190</v>
      </c>
      <c r="AF73" s="72">
        <v>290</v>
      </c>
      <c r="AG73" s="82"/>
      <c r="AH73" s="52">
        <f t="shared" si="2"/>
        <v>530</v>
      </c>
      <c r="AI73" s="53">
        <f t="shared" si="3"/>
        <v>172</v>
      </c>
      <c r="AK73" s="54"/>
    </row>
    <row r="74" spans="1:40" x14ac:dyDescent="0.25">
      <c r="A74" s="60" t="s">
        <v>78</v>
      </c>
      <c r="B74" s="72">
        <v>59</v>
      </c>
      <c r="C74" s="72">
        <v>59</v>
      </c>
      <c r="D74" s="72">
        <v>59</v>
      </c>
      <c r="E74" s="83">
        <v>55</v>
      </c>
      <c r="F74" s="83">
        <v>55</v>
      </c>
      <c r="G74" s="83">
        <v>55</v>
      </c>
      <c r="H74" s="83">
        <v>55</v>
      </c>
      <c r="I74" s="83">
        <v>55</v>
      </c>
      <c r="J74" s="83">
        <v>55</v>
      </c>
      <c r="K74" s="83">
        <v>55</v>
      </c>
      <c r="L74" s="83">
        <v>55</v>
      </c>
      <c r="M74" s="83">
        <v>52</v>
      </c>
      <c r="N74" s="83">
        <v>52</v>
      </c>
      <c r="O74" s="83">
        <v>52</v>
      </c>
      <c r="P74" s="83">
        <v>52</v>
      </c>
      <c r="Q74" s="83">
        <v>62</v>
      </c>
      <c r="R74" s="83">
        <v>62</v>
      </c>
      <c r="S74" s="83">
        <v>62.7</v>
      </c>
      <c r="T74" s="83">
        <v>62.7</v>
      </c>
      <c r="U74" s="83">
        <v>66</v>
      </c>
      <c r="V74" s="83">
        <v>58.7</v>
      </c>
      <c r="W74" s="83">
        <v>58</v>
      </c>
      <c r="X74" s="83">
        <v>58</v>
      </c>
      <c r="Y74" s="83">
        <v>51.3</v>
      </c>
      <c r="Z74" s="72">
        <v>56</v>
      </c>
      <c r="AA74" s="72">
        <v>56</v>
      </c>
      <c r="AB74" s="72">
        <v>58.6</v>
      </c>
      <c r="AC74" s="72">
        <v>57.3</v>
      </c>
      <c r="AD74" s="72">
        <v>57</v>
      </c>
      <c r="AE74" s="72">
        <v>56</v>
      </c>
      <c r="AF74" s="72">
        <v>68</v>
      </c>
      <c r="AG74" s="82"/>
      <c r="AH74" s="52">
        <f t="shared" si="2"/>
        <v>68</v>
      </c>
      <c r="AI74" s="53">
        <f t="shared" si="3"/>
        <v>51.3</v>
      </c>
      <c r="AK74" s="54"/>
    </row>
    <row r="75" spans="1:40" x14ac:dyDescent="0.25">
      <c r="A75" s="60" t="s">
        <v>79</v>
      </c>
      <c r="B75" s="50">
        <v>30</v>
      </c>
      <c r="C75" s="50">
        <v>31.4</v>
      </c>
      <c r="D75" s="50">
        <v>31.4</v>
      </c>
      <c r="E75" s="50">
        <v>30</v>
      </c>
      <c r="F75" s="50">
        <v>30</v>
      </c>
      <c r="G75" s="50">
        <v>30</v>
      </c>
      <c r="H75" s="50">
        <v>30</v>
      </c>
      <c r="I75" s="50">
        <v>30</v>
      </c>
      <c r="J75" s="50">
        <v>30</v>
      </c>
      <c r="K75" s="50">
        <v>30</v>
      </c>
      <c r="L75" s="50">
        <v>30</v>
      </c>
      <c r="M75" s="50">
        <v>31.7</v>
      </c>
      <c r="N75" s="50">
        <v>32.299999999999997</v>
      </c>
      <c r="O75" s="50">
        <v>74.2</v>
      </c>
      <c r="P75" s="50">
        <v>74.2</v>
      </c>
      <c r="Q75" s="50">
        <v>33</v>
      </c>
      <c r="R75" s="50">
        <v>33</v>
      </c>
      <c r="S75" s="50">
        <v>32.4</v>
      </c>
      <c r="T75" s="50">
        <v>35</v>
      </c>
      <c r="U75" s="50">
        <v>35.700000000000003</v>
      </c>
      <c r="V75" s="50">
        <v>30.2</v>
      </c>
      <c r="W75" s="50">
        <v>28.9</v>
      </c>
      <c r="X75" s="50">
        <v>27.2</v>
      </c>
      <c r="Y75" s="50">
        <v>26.1</v>
      </c>
      <c r="Z75" s="50">
        <v>26</v>
      </c>
      <c r="AA75" s="50">
        <v>26</v>
      </c>
      <c r="AB75" s="50">
        <v>24.8</v>
      </c>
      <c r="AC75" s="50">
        <v>67.2</v>
      </c>
      <c r="AD75" s="50">
        <v>67</v>
      </c>
      <c r="AE75" s="50">
        <v>65</v>
      </c>
      <c r="AF75" s="50">
        <v>29</v>
      </c>
      <c r="AG75" s="82"/>
      <c r="AH75" s="52">
        <f t="shared" ref="AH75:AH117" si="9">MAX(B75:AF75)</f>
        <v>74.2</v>
      </c>
      <c r="AI75" s="53">
        <f t="shared" ref="AI75:AI117" si="10">MIN(B75:AF75)</f>
        <v>24.8</v>
      </c>
      <c r="AK75" s="54"/>
    </row>
    <row r="76" spans="1:40" x14ac:dyDescent="0.25">
      <c r="A76" s="60" t="s">
        <v>80</v>
      </c>
      <c r="B76" s="84">
        <v>0</v>
      </c>
      <c r="C76" s="84">
        <v>0</v>
      </c>
      <c r="D76" s="84">
        <v>0</v>
      </c>
      <c r="E76" s="84">
        <v>0</v>
      </c>
      <c r="F76" s="84">
        <v>0</v>
      </c>
      <c r="G76" s="84">
        <v>0</v>
      </c>
      <c r="H76" s="84">
        <v>0</v>
      </c>
      <c r="I76" s="84">
        <v>0</v>
      </c>
      <c r="J76" s="84">
        <v>0</v>
      </c>
      <c r="K76" s="84">
        <v>0</v>
      </c>
      <c r="L76" s="84">
        <v>0</v>
      </c>
      <c r="M76" s="84">
        <v>0</v>
      </c>
      <c r="N76" s="84">
        <v>0</v>
      </c>
      <c r="O76" s="84">
        <v>0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9"/>
        <v>5</v>
      </c>
      <c r="AI76" s="53">
        <f t="shared" si="10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9"/>
        <v>0</v>
      </c>
      <c r="AI77" s="53">
        <f t="shared" si="10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9"/>
        <v>0</v>
      </c>
      <c r="AI79" s="53">
        <f t="shared" si="10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9"/>
        <v>0</v>
      </c>
      <c r="AI80" s="53">
        <f t="shared" si="10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1">SUMIF(B71:B81,"&gt;0")</f>
        <v>491</v>
      </c>
      <c r="C82" s="67">
        <f t="shared" si="11"/>
        <v>480.4</v>
      </c>
      <c r="D82" s="67">
        <f t="shared" si="11"/>
        <v>460.4</v>
      </c>
      <c r="E82" s="67">
        <f t="shared" si="11"/>
        <v>484</v>
      </c>
      <c r="F82" s="67">
        <f t="shared" si="11"/>
        <v>479</v>
      </c>
      <c r="G82" s="67">
        <f t="shared" si="11"/>
        <v>503</v>
      </c>
      <c r="H82" s="67">
        <f t="shared" si="11"/>
        <v>474</v>
      </c>
      <c r="I82" s="67">
        <f t="shared" si="11"/>
        <v>474</v>
      </c>
      <c r="J82" s="67">
        <f t="shared" si="11"/>
        <v>474</v>
      </c>
      <c r="K82" s="67">
        <f t="shared" si="11"/>
        <v>474</v>
      </c>
      <c r="L82" s="67">
        <f t="shared" ref="L82" si="12">SUMIF(L71:L81,"&gt;0")</f>
        <v>489</v>
      </c>
      <c r="M82" s="67">
        <f t="shared" si="11"/>
        <v>513.1</v>
      </c>
      <c r="N82" s="67">
        <f t="shared" si="11"/>
        <v>547.79999999999995</v>
      </c>
      <c r="O82" s="67">
        <f t="shared" si="11"/>
        <v>614.1</v>
      </c>
      <c r="P82" s="67">
        <f t="shared" si="11"/>
        <v>662.30000000000007</v>
      </c>
      <c r="Q82" s="67">
        <f t="shared" si="11"/>
        <v>673</v>
      </c>
      <c r="R82" s="67">
        <f t="shared" si="11"/>
        <v>673</v>
      </c>
      <c r="S82" s="67">
        <f t="shared" si="11"/>
        <v>635.1</v>
      </c>
      <c r="T82" s="67">
        <f t="shared" si="11"/>
        <v>661.7</v>
      </c>
      <c r="U82" s="67">
        <f t="shared" si="11"/>
        <v>708.7</v>
      </c>
      <c r="V82" s="67">
        <f t="shared" si="11"/>
        <v>672.50000000000011</v>
      </c>
      <c r="W82" s="67">
        <f t="shared" si="11"/>
        <v>668.19999999999993</v>
      </c>
      <c r="X82" s="67">
        <f t="shared" si="11"/>
        <v>573.30000000000007</v>
      </c>
      <c r="Y82" s="67">
        <f t="shared" si="11"/>
        <v>541.29999999999995</v>
      </c>
      <c r="Z82" s="67">
        <v>329</v>
      </c>
      <c r="AA82" s="67">
        <f t="shared" si="11"/>
        <v>351</v>
      </c>
      <c r="AB82" s="67">
        <f t="shared" si="11"/>
        <v>410.20000000000005</v>
      </c>
      <c r="AC82" s="67">
        <f t="shared" si="11"/>
        <v>443.5</v>
      </c>
      <c r="AD82" s="67">
        <f t="shared" si="11"/>
        <v>480</v>
      </c>
      <c r="AE82" s="67">
        <f t="shared" si="11"/>
        <v>381</v>
      </c>
      <c r="AF82" s="67">
        <f t="shared" si="11"/>
        <v>454</v>
      </c>
      <c r="AG82" s="95">
        <f>SUM(AG71:AG81)</f>
        <v>0</v>
      </c>
      <c r="AH82" s="52">
        <f t="shared" si="9"/>
        <v>708.7</v>
      </c>
      <c r="AI82" s="53">
        <f t="shared" si="10"/>
        <v>329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3">B48+B52+B70+B66+B82+B86</f>
        <v>1370.54</v>
      </c>
      <c r="C87" s="102">
        <f t="shared" si="13"/>
        <v>1248.04</v>
      </c>
      <c r="D87" s="102">
        <f t="shared" si="13"/>
        <v>1228.04</v>
      </c>
      <c r="E87" s="102">
        <f t="shared" si="13"/>
        <v>1205.1399999999999</v>
      </c>
      <c r="F87" s="102">
        <f t="shared" si="13"/>
        <v>1200.1399999999999</v>
      </c>
      <c r="G87" s="102">
        <f t="shared" si="13"/>
        <v>1237.6399999999999</v>
      </c>
      <c r="H87" s="102">
        <f t="shared" si="13"/>
        <v>1242.94</v>
      </c>
      <c r="I87" s="102">
        <f t="shared" si="13"/>
        <v>1202.6399999999999</v>
      </c>
      <c r="J87" s="102">
        <f t="shared" si="13"/>
        <v>1246.94</v>
      </c>
      <c r="K87" s="102">
        <f t="shared" si="13"/>
        <v>1257.94</v>
      </c>
      <c r="L87" s="102">
        <f t="shared" ref="L87" si="14">L48+L52+L70+L66+L82+L86</f>
        <v>1284.6399999999999</v>
      </c>
      <c r="M87" s="102">
        <f t="shared" si="13"/>
        <v>1349.94</v>
      </c>
      <c r="N87" s="102">
        <f t="shared" si="13"/>
        <v>1354.6399999999999</v>
      </c>
      <c r="O87" s="102">
        <f t="shared" si="13"/>
        <v>1350.74</v>
      </c>
      <c r="P87" s="102">
        <f t="shared" si="13"/>
        <v>1429.54</v>
      </c>
      <c r="Q87" s="102">
        <f t="shared" si="13"/>
        <v>1568.04</v>
      </c>
      <c r="R87" s="102">
        <f t="shared" si="13"/>
        <v>1531.54</v>
      </c>
      <c r="S87" s="102">
        <f t="shared" si="13"/>
        <v>1493.6399999999999</v>
      </c>
      <c r="T87" s="102">
        <f t="shared" si="13"/>
        <v>1471.6399999999999</v>
      </c>
      <c r="U87" s="102">
        <f t="shared" si="13"/>
        <v>1495.6399999999999</v>
      </c>
      <c r="V87" s="102">
        <f t="shared" si="13"/>
        <v>1358.64</v>
      </c>
      <c r="W87" s="102">
        <f t="shared" si="13"/>
        <v>1354.2399999999998</v>
      </c>
      <c r="X87" s="102">
        <f t="shared" si="13"/>
        <v>1377.3400000000001</v>
      </c>
      <c r="Y87" s="102">
        <f t="shared" si="13"/>
        <v>1425.74</v>
      </c>
      <c r="Z87" s="102">
        <v>1539.5400000000002</v>
      </c>
      <c r="AA87" s="102">
        <f t="shared" si="13"/>
        <v>1525.54</v>
      </c>
      <c r="AB87" s="102">
        <f t="shared" si="13"/>
        <v>1454.8400000000001</v>
      </c>
      <c r="AC87" s="102">
        <f t="shared" si="13"/>
        <v>1396.94</v>
      </c>
      <c r="AD87" s="102">
        <f t="shared" si="13"/>
        <v>1350.24</v>
      </c>
      <c r="AE87" s="102">
        <f t="shared" si="13"/>
        <v>1241.6399999999999</v>
      </c>
      <c r="AF87" s="102">
        <f t="shared" si="13"/>
        <v>1308.24</v>
      </c>
      <c r="AG87" s="68">
        <f t="shared" si="13"/>
        <v>2065.09</v>
      </c>
      <c r="AH87" s="52">
        <f>MAX(B87:AF87)</f>
        <v>1568.04</v>
      </c>
      <c r="AI87" s="53">
        <f>MIN(B87:AF87)</f>
        <v>1200.1399999999999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>
        <v>0</v>
      </c>
      <c r="C88" s="104"/>
      <c r="D88" s="104"/>
      <c r="E88" s="104"/>
      <c r="F88" s="104"/>
      <c r="G88" s="104"/>
      <c r="H88" s="104"/>
      <c r="I88" s="104">
        <v>50</v>
      </c>
      <c r="J88" s="104">
        <v>150</v>
      </c>
      <c r="K88" s="104">
        <v>150</v>
      </c>
      <c r="L88" s="104">
        <v>150</v>
      </c>
      <c r="M88" s="104">
        <v>175</v>
      </c>
      <c r="N88" s="104">
        <v>175</v>
      </c>
      <c r="O88" s="104">
        <v>175</v>
      </c>
      <c r="P88" s="104"/>
      <c r="Q88" s="104"/>
      <c r="R88" s="104"/>
      <c r="S88" s="104"/>
      <c r="T88" s="104"/>
      <c r="U88" s="104"/>
      <c r="V88" s="104">
        <v>150</v>
      </c>
      <c r="W88" s="104">
        <v>160</v>
      </c>
      <c r="X88" s="104">
        <v>180</v>
      </c>
      <c r="Y88" s="104">
        <v>200</v>
      </c>
      <c r="Z88" s="104">
        <v>200</v>
      </c>
      <c r="AA88" s="104">
        <v>200</v>
      </c>
      <c r="AB88" s="104">
        <v>200</v>
      </c>
      <c r="AC88" s="104">
        <v>220</v>
      </c>
      <c r="AD88" s="104">
        <v>200</v>
      </c>
      <c r="AE88" s="104">
        <v>200</v>
      </c>
      <c r="AF88" s="104">
        <v>100</v>
      </c>
      <c r="AG88" s="95"/>
      <c r="AH88" s="52">
        <f t="shared" si="9"/>
        <v>220</v>
      </c>
      <c r="AI88" s="53">
        <f t="shared" si="10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5">B87+B88</f>
        <v>1370.54</v>
      </c>
      <c r="C89" s="102">
        <f t="shared" si="15"/>
        <v>1248.04</v>
      </c>
      <c r="D89" s="102">
        <f t="shared" si="15"/>
        <v>1228.04</v>
      </c>
      <c r="E89" s="102">
        <f t="shared" si="15"/>
        <v>1205.1399999999999</v>
      </c>
      <c r="F89" s="102">
        <f t="shared" si="15"/>
        <v>1200.1399999999999</v>
      </c>
      <c r="G89" s="102">
        <f t="shared" si="15"/>
        <v>1237.6399999999999</v>
      </c>
      <c r="H89" s="102">
        <f t="shared" si="15"/>
        <v>1242.94</v>
      </c>
      <c r="I89" s="102">
        <f t="shared" si="15"/>
        <v>1252.6399999999999</v>
      </c>
      <c r="J89" s="102">
        <f t="shared" si="15"/>
        <v>1396.94</v>
      </c>
      <c r="K89" s="102">
        <f t="shared" si="15"/>
        <v>1407.94</v>
      </c>
      <c r="L89" s="102">
        <f t="shared" ref="L89" si="16">L87+L88</f>
        <v>1434.6399999999999</v>
      </c>
      <c r="M89" s="102">
        <f t="shared" si="15"/>
        <v>1524.94</v>
      </c>
      <c r="N89" s="102">
        <f t="shared" si="15"/>
        <v>1529.6399999999999</v>
      </c>
      <c r="O89" s="102">
        <f t="shared" si="15"/>
        <v>1525.74</v>
      </c>
      <c r="P89" s="102">
        <f t="shared" si="15"/>
        <v>1429.54</v>
      </c>
      <c r="Q89" s="102">
        <f t="shared" si="15"/>
        <v>1568.04</v>
      </c>
      <c r="R89" s="102">
        <f t="shared" si="15"/>
        <v>1531.54</v>
      </c>
      <c r="S89" s="102">
        <f t="shared" si="15"/>
        <v>1493.6399999999999</v>
      </c>
      <c r="T89" s="102">
        <f t="shared" si="15"/>
        <v>1471.6399999999999</v>
      </c>
      <c r="U89" s="102">
        <f t="shared" si="15"/>
        <v>1495.6399999999999</v>
      </c>
      <c r="V89" s="102">
        <f t="shared" si="15"/>
        <v>1508.64</v>
      </c>
      <c r="W89" s="102">
        <f t="shared" si="15"/>
        <v>1514.2399999999998</v>
      </c>
      <c r="X89" s="102">
        <f t="shared" si="15"/>
        <v>1557.3400000000001</v>
      </c>
      <c r="Y89" s="102">
        <f t="shared" si="15"/>
        <v>1625.74</v>
      </c>
      <c r="Z89" s="102">
        <v>1739.5400000000002</v>
      </c>
      <c r="AA89" s="102">
        <f t="shared" si="15"/>
        <v>1725.54</v>
      </c>
      <c r="AB89" s="102">
        <f t="shared" si="15"/>
        <v>1654.8400000000001</v>
      </c>
      <c r="AC89" s="102">
        <f t="shared" si="15"/>
        <v>1616.94</v>
      </c>
      <c r="AD89" s="102">
        <f t="shared" si="15"/>
        <v>1550.24</v>
      </c>
      <c r="AE89" s="102">
        <f t="shared" si="15"/>
        <v>1441.6399999999999</v>
      </c>
      <c r="AF89" s="102">
        <f t="shared" si="15"/>
        <v>1408.24</v>
      </c>
      <c r="AG89" s="95">
        <f>AG86+AG82+AG70+AG66+AG48+AG88</f>
        <v>1526.99</v>
      </c>
      <c r="AH89" s="52">
        <f t="shared" si="9"/>
        <v>1739.5400000000002</v>
      </c>
      <c r="AI89" s="53">
        <f t="shared" si="10"/>
        <v>1200.1399999999999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17">B89-B97</f>
        <v>1370.54</v>
      </c>
      <c r="C90" s="102">
        <f t="shared" si="17"/>
        <v>1248.04</v>
      </c>
      <c r="D90" s="102">
        <f t="shared" si="17"/>
        <v>1228.04</v>
      </c>
      <c r="E90" s="102">
        <f t="shared" si="17"/>
        <v>1205.1399999999999</v>
      </c>
      <c r="F90" s="102">
        <f t="shared" si="17"/>
        <v>1200.1399999999999</v>
      </c>
      <c r="G90" s="102">
        <f t="shared" si="17"/>
        <v>1237.6399999999999</v>
      </c>
      <c r="H90" s="102">
        <f t="shared" si="17"/>
        <v>1242.94</v>
      </c>
      <c r="I90" s="102">
        <f t="shared" si="17"/>
        <v>1252.6399999999999</v>
      </c>
      <c r="J90" s="102">
        <f t="shared" si="17"/>
        <v>1396.94</v>
      </c>
      <c r="K90" s="102">
        <f t="shared" si="17"/>
        <v>1407.94</v>
      </c>
      <c r="L90" s="102">
        <f t="shared" ref="L90" si="18">L89-L97</f>
        <v>1434.6399999999999</v>
      </c>
      <c r="M90" s="102">
        <f t="shared" si="17"/>
        <v>1524.94</v>
      </c>
      <c r="N90" s="102">
        <f t="shared" si="17"/>
        <v>1529.6399999999999</v>
      </c>
      <c r="O90" s="102">
        <f t="shared" si="17"/>
        <v>1525.74</v>
      </c>
      <c r="P90" s="102">
        <f t="shared" si="17"/>
        <v>1429.54</v>
      </c>
      <c r="Q90" s="102">
        <f t="shared" si="17"/>
        <v>1568.04</v>
      </c>
      <c r="R90" s="102">
        <f t="shared" si="17"/>
        <v>1531.54</v>
      </c>
      <c r="S90" s="102">
        <f t="shared" si="17"/>
        <v>1493.6399999999999</v>
      </c>
      <c r="T90" s="102">
        <f t="shared" si="17"/>
        <v>1471.6399999999999</v>
      </c>
      <c r="U90" s="102">
        <f t="shared" si="17"/>
        <v>1495.6399999999999</v>
      </c>
      <c r="V90" s="102">
        <f t="shared" si="17"/>
        <v>1508.64</v>
      </c>
      <c r="W90" s="102">
        <f t="shared" si="17"/>
        <v>1514.2399999999998</v>
      </c>
      <c r="X90" s="102">
        <f t="shared" si="17"/>
        <v>1557.3400000000001</v>
      </c>
      <c r="Y90" s="102">
        <f t="shared" si="17"/>
        <v>1625.74</v>
      </c>
      <c r="Z90" s="102">
        <v>1739.5400000000002</v>
      </c>
      <c r="AA90" s="102">
        <f t="shared" si="17"/>
        <v>1725.54</v>
      </c>
      <c r="AB90" s="102">
        <f t="shared" si="17"/>
        <v>1654.8400000000001</v>
      </c>
      <c r="AC90" s="102">
        <f t="shared" si="17"/>
        <v>1616.94</v>
      </c>
      <c r="AD90" s="102">
        <f t="shared" si="17"/>
        <v>1550.24</v>
      </c>
      <c r="AE90" s="102">
        <f t="shared" si="17"/>
        <v>1441.6399999999999</v>
      </c>
      <c r="AF90" s="102">
        <f t="shared" si="17"/>
        <v>1408.24</v>
      </c>
      <c r="AG90" s="95"/>
      <c r="AH90" s="52">
        <f t="shared" si="9"/>
        <v>1739.5400000000002</v>
      </c>
      <c r="AI90" s="53">
        <f t="shared" si="10"/>
        <v>1200.1399999999999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19">B82-B97</f>
        <v>491</v>
      </c>
      <c r="C98" s="67">
        <f t="shared" si="19"/>
        <v>480.4</v>
      </c>
      <c r="D98" s="67">
        <f t="shared" si="19"/>
        <v>460.4</v>
      </c>
      <c r="E98" s="67">
        <f t="shared" si="19"/>
        <v>484</v>
      </c>
      <c r="F98" s="67">
        <f t="shared" si="19"/>
        <v>479</v>
      </c>
      <c r="G98" s="67">
        <f t="shared" si="19"/>
        <v>503</v>
      </c>
      <c r="H98" s="67">
        <f t="shared" si="19"/>
        <v>474</v>
      </c>
      <c r="I98" s="67">
        <f t="shared" si="19"/>
        <v>474</v>
      </c>
      <c r="J98" s="67">
        <f t="shared" si="19"/>
        <v>474</v>
      </c>
      <c r="K98" s="67">
        <f t="shared" si="19"/>
        <v>474</v>
      </c>
      <c r="L98" s="67">
        <f t="shared" si="19"/>
        <v>489</v>
      </c>
      <c r="M98" s="67">
        <f t="shared" si="19"/>
        <v>513.1</v>
      </c>
      <c r="N98" s="67">
        <f t="shared" si="19"/>
        <v>547.79999999999995</v>
      </c>
      <c r="O98" s="67">
        <f t="shared" si="19"/>
        <v>614.1</v>
      </c>
      <c r="P98" s="67">
        <f t="shared" si="19"/>
        <v>662.30000000000007</v>
      </c>
      <c r="Q98" s="67">
        <f t="shared" si="19"/>
        <v>673</v>
      </c>
      <c r="R98" s="67">
        <f t="shared" si="19"/>
        <v>673</v>
      </c>
      <c r="S98" s="67">
        <f t="shared" si="19"/>
        <v>635.1</v>
      </c>
      <c r="T98" s="67">
        <f t="shared" si="19"/>
        <v>661.7</v>
      </c>
      <c r="U98" s="67">
        <f t="shared" si="19"/>
        <v>708.7</v>
      </c>
      <c r="V98" s="67">
        <f t="shared" si="19"/>
        <v>672.50000000000011</v>
      </c>
      <c r="W98" s="67">
        <f t="shared" si="19"/>
        <v>668.19999999999993</v>
      </c>
      <c r="X98" s="67">
        <f t="shared" si="19"/>
        <v>573.30000000000007</v>
      </c>
      <c r="Y98" s="67">
        <f t="shared" si="19"/>
        <v>541.29999999999995</v>
      </c>
      <c r="Z98" s="67">
        <v>329</v>
      </c>
      <c r="AA98" s="67">
        <f t="shared" si="19"/>
        <v>351</v>
      </c>
      <c r="AB98" s="67">
        <f t="shared" si="19"/>
        <v>410.20000000000005</v>
      </c>
      <c r="AC98" s="67">
        <f t="shared" si="19"/>
        <v>443.5</v>
      </c>
      <c r="AD98" s="67">
        <f t="shared" si="19"/>
        <v>480</v>
      </c>
      <c r="AE98" s="67">
        <f t="shared" si="19"/>
        <v>381</v>
      </c>
      <c r="AF98" s="67">
        <f t="shared" si="19"/>
        <v>454</v>
      </c>
      <c r="AG98" s="95"/>
      <c r="AH98" s="52">
        <f t="shared" si="9"/>
        <v>708.7</v>
      </c>
      <c r="AI98" s="53">
        <f t="shared" si="10"/>
        <v>329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49.98</v>
      </c>
      <c r="C99" s="108">
        <v>49.96</v>
      </c>
      <c r="D99" s="108">
        <v>50.1</v>
      </c>
      <c r="E99" s="108">
        <v>50.1</v>
      </c>
      <c r="F99" s="108">
        <v>50.1</v>
      </c>
      <c r="G99" s="108">
        <v>50.1</v>
      </c>
      <c r="H99" s="108">
        <v>49.95</v>
      </c>
      <c r="I99" s="108">
        <v>49.95</v>
      </c>
      <c r="J99" s="108">
        <v>49.95</v>
      </c>
      <c r="K99" s="108">
        <v>49.95</v>
      </c>
      <c r="L99" s="108">
        <v>50.1</v>
      </c>
      <c r="M99" s="108">
        <v>49.957000000000001</v>
      </c>
      <c r="N99" s="108">
        <v>50.012</v>
      </c>
      <c r="O99" s="108">
        <v>49.9</v>
      </c>
      <c r="P99" s="108">
        <v>49.930999999999997</v>
      </c>
      <c r="Q99" s="108">
        <v>49.933</v>
      </c>
      <c r="R99" s="108">
        <v>49.948999999999998</v>
      </c>
      <c r="S99" s="108">
        <v>50.036999999999999</v>
      </c>
      <c r="T99" s="108">
        <v>49.941000000000003</v>
      </c>
      <c r="U99" s="108">
        <v>49.997999999999998</v>
      </c>
      <c r="V99" s="108">
        <v>49.875999999999998</v>
      </c>
      <c r="W99" s="108">
        <v>49.915999999999997</v>
      </c>
      <c r="X99" s="108">
        <v>49.892000000000003</v>
      </c>
      <c r="Y99" s="108">
        <v>50.03</v>
      </c>
      <c r="Z99" s="108">
        <v>49.982999999999997</v>
      </c>
      <c r="AA99" s="108">
        <v>49.982999999999997</v>
      </c>
      <c r="AB99" s="108">
        <v>50.133000000000003</v>
      </c>
      <c r="AC99" s="108">
        <v>49.927</v>
      </c>
      <c r="AD99" s="108">
        <v>49.9</v>
      </c>
      <c r="AE99" s="108">
        <v>50.05</v>
      </c>
      <c r="AF99" s="108">
        <v>49.9</v>
      </c>
      <c r="AG99" s="109"/>
      <c r="AH99" s="52">
        <f t="shared" si="9"/>
        <v>50.133000000000003</v>
      </c>
      <c r="AI99" s="53">
        <f t="shared" si="10"/>
        <v>49.875999999999998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128</v>
      </c>
      <c r="C100" s="72">
        <v>128</v>
      </c>
      <c r="D100" s="72">
        <v>129</v>
      </c>
      <c r="E100" s="72">
        <v>129</v>
      </c>
      <c r="F100" s="72">
        <v>129</v>
      </c>
      <c r="G100" s="72">
        <v>129</v>
      </c>
      <c r="H100" s="72">
        <v>127.8</v>
      </c>
      <c r="I100" s="72">
        <v>127.8</v>
      </c>
      <c r="J100" s="72">
        <v>127.8</v>
      </c>
      <c r="K100" s="72">
        <v>127.5</v>
      </c>
      <c r="L100" s="72">
        <v>127.5</v>
      </c>
      <c r="M100" s="72">
        <v>127.5</v>
      </c>
      <c r="N100" s="72">
        <v>128</v>
      </c>
      <c r="O100" s="72">
        <v>128</v>
      </c>
      <c r="P100" s="72">
        <v>126</v>
      </c>
      <c r="Q100" s="72">
        <v>125</v>
      </c>
      <c r="R100" s="72">
        <v>125</v>
      </c>
      <c r="S100" s="72">
        <v>124.3</v>
      </c>
      <c r="T100" s="72">
        <v>127.4</v>
      </c>
      <c r="U100" s="72">
        <v>127.2</v>
      </c>
      <c r="V100" s="72">
        <v>127.3</v>
      </c>
      <c r="W100" s="72">
        <v>127.9</v>
      </c>
      <c r="X100" s="72">
        <v>128.5</v>
      </c>
      <c r="Y100" s="72">
        <v>128.19999999999999</v>
      </c>
      <c r="Z100" s="72">
        <v>127.9</v>
      </c>
      <c r="AA100" s="72">
        <v>127.9</v>
      </c>
      <c r="AB100" s="72">
        <v>130.1</v>
      </c>
      <c r="AC100" s="72">
        <v>132.1</v>
      </c>
      <c r="AD100" s="72">
        <v>132.1</v>
      </c>
      <c r="AE100" s="72">
        <v>132.1</v>
      </c>
      <c r="AF100" s="72">
        <v>132.1</v>
      </c>
      <c r="AG100" s="111"/>
      <c r="AH100" s="52">
        <f t="shared" si="9"/>
        <v>132.1</v>
      </c>
      <c r="AI100" s="53">
        <f t="shared" si="10"/>
        <v>124.3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</v>
      </c>
      <c r="C101" s="72">
        <v>132</v>
      </c>
      <c r="D101" s="72">
        <v>133</v>
      </c>
      <c r="E101" s="72">
        <v>133</v>
      </c>
      <c r="F101" s="72">
        <v>133</v>
      </c>
      <c r="G101" s="72">
        <v>133</v>
      </c>
      <c r="H101" s="72">
        <v>131.30000000000001</v>
      </c>
      <c r="I101" s="72">
        <v>131.30000000000001</v>
      </c>
      <c r="J101" s="72">
        <v>131.30000000000001</v>
      </c>
      <c r="K101" s="72">
        <v>129.4</v>
      </c>
      <c r="L101" s="72">
        <v>129.19999999999999</v>
      </c>
      <c r="M101" s="72">
        <v>129.19999999999999</v>
      </c>
      <c r="N101" s="72">
        <v>128.69999999999999</v>
      </c>
      <c r="O101" s="72">
        <v>128.69999999999999</v>
      </c>
      <c r="P101" s="72">
        <v>128.69999999999999</v>
      </c>
      <c r="Q101" s="72">
        <v>128.69999999999999</v>
      </c>
      <c r="R101" s="72">
        <v>128</v>
      </c>
      <c r="S101" s="72">
        <v>128.19999999999999</v>
      </c>
      <c r="T101" s="72">
        <v>129.6</v>
      </c>
      <c r="U101" s="72">
        <v>129.4</v>
      </c>
      <c r="V101" s="72">
        <v>129.4</v>
      </c>
      <c r="W101" s="72">
        <v>129.80000000000001</v>
      </c>
      <c r="X101" s="72">
        <v>130.6</v>
      </c>
      <c r="Y101" s="72">
        <v>130</v>
      </c>
      <c r="Z101" s="72">
        <v>129.9</v>
      </c>
      <c r="AA101" s="72">
        <v>129.9</v>
      </c>
      <c r="AB101" s="72">
        <v>132.30000000000001</v>
      </c>
      <c r="AC101" s="72">
        <v>133.80000000000001</v>
      </c>
      <c r="AD101" s="72">
        <v>133.80000000000001</v>
      </c>
      <c r="AE101" s="72">
        <v>133.80000000000001</v>
      </c>
      <c r="AF101" s="72">
        <v>133.80000000000001</v>
      </c>
      <c r="AG101" s="111"/>
      <c r="AH101" s="52">
        <f t="shared" si="9"/>
        <v>133.80000000000001</v>
      </c>
      <c r="AI101" s="53">
        <f t="shared" si="10"/>
        <v>128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</v>
      </c>
      <c r="C102" s="72">
        <v>130</v>
      </c>
      <c r="D102" s="72">
        <v>130.6</v>
      </c>
      <c r="E102" s="72">
        <v>130.6</v>
      </c>
      <c r="F102" s="72">
        <v>130.6</v>
      </c>
      <c r="G102" s="72">
        <v>130.6</v>
      </c>
      <c r="H102" s="72">
        <v>131.1</v>
      </c>
      <c r="I102" s="72">
        <v>131.1</v>
      </c>
      <c r="J102" s="72">
        <v>131.1</v>
      </c>
      <c r="K102" s="72">
        <v>128</v>
      </c>
      <c r="L102" s="72">
        <v>127.8</v>
      </c>
      <c r="M102" s="72">
        <v>127.8</v>
      </c>
      <c r="N102" s="72">
        <v>124.7</v>
      </c>
      <c r="O102" s="72">
        <v>124.7</v>
      </c>
      <c r="P102" s="72">
        <v>124.7</v>
      </c>
      <c r="Q102" s="72">
        <v>124.7</v>
      </c>
      <c r="R102" s="72">
        <v>126</v>
      </c>
      <c r="S102" s="72">
        <v>125.8</v>
      </c>
      <c r="T102" s="72">
        <v>129.4</v>
      </c>
      <c r="U102" s="72">
        <v>120.8</v>
      </c>
      <c r="V102" s="72">
        <v>127.1</v>
      </c>
      <c r="W102" s="72">
        <v>127.7</v>
      </c>
      <c r="X102" s="72">
        <v>131</v>
      </c>
      <c r="Y102" s="72">
        <v>127.3</v>
      </c>
      <c r="Z102" s="72">
        <v>133.30000000000001</v>
      </c>
      <c r="AA102" s="72">
        <v>133.30000000000001</v>
      </c>
      <c r="AB102" s="72">
        <v>131.4</v>
      </c>
      <c r="AC102" s="72">
        <v>131.4</v>
      </c>
      <c r="AD102" s="72">
        <v>131.4</v>
      </c>
      <c r="AE102" s="72">
        <v>131.4</v>
      </c>
      <c r="AF102" s="72">
        <v>131.4</v>
      </c>
      <c r="AG102" s="111"/>
      <c r="AH102" s="52">
        <f t="shared" si="9"/>
        <v>133.30000000000001</v>
      </c>
      <c r="AI102" s="53">
        <f t="shared" si="10"/>
        <v>120.8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</v>
      </c>
      <c r="C104" s="113">
        <v>132.80000000000001</v>
      </c>
      <c r="D104" s="113">
        <v>135</v>
      </c>
      <c r="E104" s="113">
        <v>135</v>
      </c>
      <c r="F104" s="113">
        <v>135</v>
      </c>
      <c r="G104" s="113">
        <v>135</v>
      </c>
      <c r="H104" s="113">
        <v>134.19999999999999</v>
      </c>
      <c r="I104" s="113">
        <v>135</v>
      </c>
      <c r="J104" s="113">
        <v>135.9</v>
      </c>
      <c r="K104" s="113">
        <v>134</v>
      </c>
      <c r="L104" s="113">
        <v>133.9</v>
      </c>
      <c r="M104" s="113">
        <v>133.9</v>
      </c>
      <c r="N104" s="113">
        <v>131.4</v>
      </c>
      <c r="O104" s="113">
        <v>131.4</v>
      </c>
      <c r="P104" s="113">
        <v>131.4</v>
      </c>
      <c r="Q104" s="113">
        <v>131.4</v>
      </c>
      <c r="R104" s="113">
        <v>132.80000000000001</v>
      </c>
      <c r="S104" s="113">
        <v>133</v>
      </c>
      <c r="T104" s="113">
        <v>131.4</v>
      </c>
      <c r="U104" s="113">
        <v>132.69999999999999</v>
      </c>
      <c r="V104" s="113">
        <v>129.5</v>
      </c>
      <c r="W104" s="113">
        <v>130.69999999999999</v>
      </c>
      <c r="X104" s="113">
        <v>134.30000000000001</v>
      </c>
      <c r="Y104" s="113">
        <v>133.80000000000001</v>
      </c>
      <c r="Z104" s="113">
        <v>132.30000000000001</v>
      </c>
      <c r="AA104" s="113">
        <v>132.30000000000001</v>
      </c>
      <c r="AB104" s="113">
        <v>134.80000000000001</v>
      </c>
      <c r="AC104" s="113">
        <v>134.80000000000001</v>
      </c>
      <c r="AD104" s="113">
        <v>134.80000000000001</v>
      </c>
      <c r="AE104" s="113">
        <v>134.80000000000001</v>
      </c>
      <c r="AF104" s="113">
        <v>134.80000000000001</v>
      </c>
      <c r="AG104" s="114"/>
      <c r="AH104" s="52">
        <f t="shared" si="9"/>
        <v>135.9</v>
      </c>
      <c r="AI104" s="53">
        <f t="shared" si="10"/>
        <v>129.5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130</v>
      </c>
      <c r="C105" s="72">
        <v>130</v>
      </c>
      <c r="D105" s="72">
        <v>130</v>
      </c>
      <c r="E105" s="72">
        <v>130</v>
      </c>
      <c r="F105" s="72">
        <v>130</v>
      </c>
      <c r="G105" s="72">
        <v>130</v>
      </c>
      <c r="H105" s="72">
        <v>129</v>
      </c>
      <c r="I105" s="72">
        <v>129</v>
      </c>
      <c r="J105" s="72">
        <v>129</v>
      </c>
      <c r="K105" s="72">
        <v>128.80000000000001</v>
      </c>
      <c r="L105" s="72">
        <v>129.9</v>
      </c>
      <c r="M105" s="72">
        <v>129.9</v>
      </c>
      <c r="N105" s="72">
        <v>128</v>
      </c>
      <c r="O105" s="72">
        <v>128</v>
      </c>
      <c r="P105" s="72">
        <v>128</v>
      </c>
      <c r="Q105" s="72">
        <v>128</v>
      </c>
      <c r="R105" s="72">
        <v>132</v>
      </c>
      <c r="S105" s="72">
        <v>128.19999999999999</v>
      </c>
      <c r="T105" s="72">
        <v>130.1</v>
      </c>
      <c r="U105" s="72">
        <v>131.5</v>
      </c>
      <c r="V105" s="72">
        <v>130.19999999999999</v>
      </c>
      <c r="W105" s="72">
        <v>130.5</v>
      </c>
      <c r="X105" s="72">
        <v>128</v>
      </c>
      <c r="Y105" s="72">
        <v>127.1</v>
      </c>
      <c r="Z105" s="72">
        <v>124.8</v>
      </c>
      <c r="AA105" s="72">
        <v>124.8</v>
      </c>
      <c r="AB105" s="72">
        <v>132.30000000000001</v>
      </c>
      <c r="AC105" s="72">
        <v>132.30000000000001</v>
      </c>
      <c r="AD105" s="72">
        <v>132.30000000000001</v>
      </c>
      <c r="AE105" s="72">
        <v>132.30000000000001</v>
      </c>
      <c r="AF105" s="72">
        <v>132.30000000000001</v>
      </c>
      <c r="AG105" s="111"/>
      <c r="AH105" s="52">
        <f t="shared" si="9"/>
        <v>132.30000000000001</v>
      </c>
      <c r="AI105" s="53">
        <f t="shared" si="10"/>
        <v>124.8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66.3</v>
      </c>
      <c r="C106" s="99">
        <v>66.3</v>
      </c>
      <c r="D106" s="99">
        <v>66.8</v>
      </c>
      <c r="E106" s="99">
        <v>66.8</v>
      </c>
      <c r="F106" s="99">
        <v>66.8</v>
      </c>
      <c r="G106" s="99">
        <v>66.8</v>
      </c>
      <c r="H106" s="99">
        <v>65.7</v>
      </c>
      <c r="I106" s="99">
        <v>65.7</v>
      </c>
      <c r="J106" s="99">
        <v>65.7</v>
      </c>
      <c r="K106" s="99">
        <v>65</v>
      </c>
      <c r="L106" s="99">
        <v>64.8</v>
      </c>
      <c r="M106" s="99">
        <v>64.8</v>
      </c>
      <c r="N106" s="99">
        <v>64.5</v>
      </c>
      <c r="O106" s="99">
        <v>64.5</v>
      </c>
      <c r="P106" s="99">
        <v>64.5</v>
      </c>
      <c r="Q106" s="99">
        <v>64.5</v>
      </c>
      <c r="R106" s="99">
        <v>64.400000000000006</v>
      </c>
      <c r="S106" s="99">
        <v>64.400000000000006</v>
      </c>
      <c r="T106" s="99">
        <v>64.900000000000006</v>
      </c>
      <c r="U106" s="99">
        <v>64.8</v>
      </c>
      <c r="V106" s="99">
        <v>64.8</v>
      </c>
      <c r="W106" s="99">
        <v>65.099999999999994</v>
      </c>
      <c r="X106" s="99">
        <v>65.400000000000006</v>
      </c>
      <c r="Y106" s="99">
        <v>65.099999999999994</v>
      </c>
      <c r="Z106" s="99">
        <v>65</v>
      </c>
      <c r="AA106" s="99">
        <v>65</v>
      </c>
      <c r="AB106" s="99">
        <v>66</v>
      </c>
      <c r="AC106" s="99">
        <v>66</v>
      </c>
      <c r="AD106" s="99">
        <v>66</v>
      </c>
      <c r="AE106" s="99">
        <v>66</v>
      </c>
      <c r="AF106" s="99">
        <v>66</v>
      </c>
      <c r="AG106" s="115"/>
      <c r="AH106" s="52">
        <f t="shared" si="9"/>
        <v>66.8</v>
      </c>
      <c r="AI106" s="53">
        <f t="shared" si="10"/>
        <v>64.400000000000006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 t="s">
        <v>111</v>
      </c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112</v>
      </c>
      <c r="B108" s="118">
        <f t="shared" ref="B108:AF108" si="20">SUM(B18,B24,B27:B28,B56,B58:B59,B61,B63,B109:B113,B135,B141,B147,B156,B158,B170,B177,B180:B181,B188,B190,B192,B196:B198,B200:B202,B207,B213:B214,B216:B218,B226,B231)</f>
        <v>121.6</v>
      </c>
      <c r="C108" s="118">
        <f t="shared" si="20"/>
        <v>115.53999999999999</v>
      </c>
      <c r="D108" s="118">
        <f t="shared" si="20"/>
        <v>111.53999999999999</v>
      </c>
      <c r="E108" s="118">
        <f t="shared" ref="E108:H108" si="21">SUM(E18,E24,E27:E28,E56,E58:E59,E61,E63,E109:E113,E135,E141,E147,E156,E158,E170,E177,E180:E181,E188,E190,E192,E196:E198,E200:E202,E207,E213:E214,E216:E218,E226,E231)</f>
        <v>106.94</v>
      </c>
      <c r="F108" s="118">
        <f t="shared" si="21"/>
        <v>103.84</v>
      </c>
      <c r="G108" s="118">
        <f t="shared" si="21"/>
        <v>106.03999999999999</v>
      </c>
      <c r="H108" s="118">
        <f t="shared" si="21"/>
        <v>151.24</v>
      </c>
      <c r="I108" s="118">
        <f t="shared" si="20"/>
        <v>149.54</v>
      </c>
      <c r="J108" s="118">
        <f t="shared" si="20"/>
        <v>150.54</v>
      </c>
      <c r="K108" s="118">
        <f t="shared" si="20"/>
        <v>151.54000000000002</v>
      </c>
      <c r="L108" s="118">
        <f t="shared" si="20"/>
        <v>248.34</v>
      </c>
      <c r="M108" s="118">
        <f t="shared" si="20"/>
        <v>273.04000000000002</v>
      </c>
      <c r="N108" s="118">
        <f t="shared" si="20"/>
        <v>287.24</v>
      </c>
      <c r="O108" s="118">
        <f t="shared" si="20"/>
        <v>276.54000000000002</v>
      </c>
      <c r="P108" s="118">
        <v>42</v>
      </c>
      <c r="Q108" s="118">
        <f t="shared" si="20"/>
        <v>329.2</v>
      </c>
      <c r="R108" s="118">
        <f t="shared" si="20"/>
        <v>258.09999999999997</v>
      </c>
      <c r="S108" s="118">
        <f t="shared" si="20"/>
        <v>262.5</v>
      </c>
      <c r="T108" s="118">
        <f t="shared" si="20"/>
        <v>267.7</v>
      </c>
      <c r="U108" s="118">
        <f t="shared" si="20"/>
        <v>283.29999999999995</v>
      </c>
      <c r="V108" s="118">
        <f t="shared" si="20"/>
        <v>277.7</v>
      </c>
      <c r="W108" s="118">
        <f t="shared" si="20"/>
        <v>282.7</v>
      </c>
      <c r="X108" s="118">
        <f t="shared" si="20"/>
        <v>297.5</v>
      </c>
      <c r="Y108" s="118">
        <f t="shared" si="20"/>
        <v>300.79999999999995</v>
      </c>
      <c r="Z108" s="118">
        <v>427.29708333333338</v>
      </c>
      <c r="AA108" s="118">
        <f t="shared" si="20"/>
        <v>344</v>
      </c>
      <c r="AB108" s="118">
        <f t="shared" si="20"/>
        <v>251.10000000000002</v>
      </c>
      <c r="AC108" s="118">
        <f t="shared" si="20"/>
        <v>234.8</v>
      </c>
      <c r="AD108" s="118">
        <f t="shared" si="20"/>
        <v>239.9</v>
      </c>
      <c r="AE108" s="118">
        <f t="shared" si="20"/>
        <v>184.4</v>
      </c>
      <c r="AF108" s="118">
        <f t="shared" si="20"/>
        <v>141.4</v>
      </c>
      <c r="AG108" s="119"/>
      <c r="AH108" s="52">
        <f t="shared" si="9"/>
        <v>427.29708333333338</v>
      </c>
      <c r="AI108" s="53">
        <f t="shared" si="10"/>
        <v>42</v>
      </c>
    </row>
    <row r="109" spans="1:88" x14ac:dyDescent="0.25">
      <c r="A109" s="107" t="s">
        <v>113</v>
      </c>
      <c r="B109" s="120">
        <v>-4</v>
      </c>
      <c r="C109" s="120">
        <v>2</v>
      </c>
      <c r="D109" s="120">
        <v>5</v>
      </c>
      <c r="E109" s="120">
        <v>6</v>
      </c>
      <c r="F109" s="120">
        <v>3.4</v>
      </c>
      <c r="G109" s="120">
        <v>2</v>
      </c>
      <c r="H109" s="120">
        <v>-5.0999999999999996</v>
      </c>
      <c r="I109" s="120">
        <v>-7.8</v>
      </c>
      <c r="J109" s="120">
        <v>-7.8</v>
      </c>
      <c r="K109" s="120">
        <v>-7.8</v>
      </c>
      <c r="L109" s="120">
        <v>6.9</v>
      </c>
      <c r="M109" s="120">
        <v>-4.4000000000000004</v>
      </c>
      <c r="N109" s="120">
        <v>-10.199999999999999</v>
      </c>
      <c r="O109" s="120">
        <v>-12.5</v>
      </c>
      <c r="P109" s="120">
        <v>-12.5</v>
      </c>
      <c r="Q109" s="120">
        <v>7.5</v>
      </c>
      <c r="R109" s="120">
        <v>6.6</v>
      </c>
      <c r="S109" s="120">
        <v>7.8</v>
      </c>
      <c r="T109" s="120">
        <v>-3.7</v>
      </c>
      <c r="U109" s="120">
        <v>-0.9</v>
      </c>
      <c r="V109" s="120">
        <v>-13.4</v>
      </c>
      <c r="W109" s="120">
        <v>-8.4</v>
      </c>
      <c r="X109" s="120">
        <v>-2.9</v>
      </c>
      <c r="Y109" s="120">
        <v>-4.0999999999999996</v>
      </c>
      <c r="Z109" s="120">
        <v>16.3</v>
      </c>
      <c r="AA109" s="120">
        <v>16.3</v>
      </c>
      <c r="AB109" s="120">
        <v>7.9</v>
      </c>
      <c r="AC109" s="120">
        <v>11.7</v>
      </c>
      <c r="AD109" s="120">
        <v>8.5</v>
      </c>
      <c r="AE109" s="120">
        <v>12</v>
      </c>
      <c r="AF109" s="120">
        <v>-5</v>
      </c>
      <c r="AG109" s="121">
        <v>75</v>
      </c>
      <c r="AH109" s="52">
        <f t="shared" si="9"/>
        <v>16.3</v>
      </c>
      <c r="AI109" s="53">
        <f t="shared" si="10"/>
        <v>-13.4</v>
      </c>
    </row>
    <row r="110" spans="1:88" x14ac:dyDescent="0.25">
      <c r="A110" s="110" t="s">
        <v>114</v>
      </c>
      <c r="B110" s="187">
        <v>-5</v>
      </c>
      <c r="C110" s="187">
        <v>0</v>
      </c>
      <c r="D110" s="187">
        <v>1</v>
      </c>
      <c r="E110" s="187">
        <v>2.4</v>
      </c>
      <c r="F110" s="187">
        <v>-2.1</v>
      </c>
      <c r="G110" s="187">
        <v>-1.5</v>
      </c>
      <c r="H110" s="187">
        <v>-5.8</v>
      </c>
      <c r="I110" s="187">
        <v>-4.8</v>
      </c>
      <c r="J110" s="187">
        <v>-3.8</v>
      </c>
      <c r="K110" s="187">
        <v>-2.8</v>
      </c>
      <c r="L110" s="187">
        <v>3.5</v>
      </c>
      <c r="M110" s="187">
        <v>-11.7</v>
      </c>
      <c r="N110" s="187">
        <v>-20.8</v>
      </c>
      <c r="O110" s="187">
        <v>-21</v>
      </c>
      <c r="P110" s="187">
        <v>-21</v>
      </c>
      <c r="Q110" s="187">
        <v>12.6</v>
      </c>
      <c r="R110" s="187">
        <v>9.6</v>
      </c>
      <c r="S110" s="187">
        <v>12</v>
      </c>
      <c r="T110" s="187">
        <v>-4.8</v>
      </c>
      <c r="U110" s="187">
        <v>0</v>
      </c>
      <c r="V110" s="187">
        <v>-24.1</v>
      </c>
      <c r="W110" s="187">
        <v>-17.2</v>
      </c>
      <c r="X110" s="187">
        <v>-8.3000000000000007</v>
      </c>
      <c r="Y110" s="187">
        <v>-0.6</v>
      </c>
      <c r="Z110" s="187">
        <v>17.2</v>
      </c>
      <c r="AA110" s="187">
        <v>17.2</v>
      </c>
      <c r="AB110" s="187">
        <v>6.2</v>
      </c>
      <c r="AC110" s="187">
        <v>12</v>
      </c>
      <c r="AD110" s="187">
        <v>9</v>
      </c>
      <c r="AE110" s="187">
        <v>11</v>
      </c>
      <c r="AF110" s="187">
        <v>-6</v>
      </c>
      <c r="AG110" s="121">
        <v>240</v>
      </c>
      <c r="AH110" s="52">
        <f t="shared" si="9"/>
        <v>17.2</v>
      </c>
      <c r="AI110" s="53">
        <f t="shared" si="10"/>
        <v>-24.1</v>
      </c>
    </row>
    <row r="111" spans="1:88" x14ac:dyDescent="0.25">
      <c r="A111" s="110" t="s">
        <v>115</v>
      </c>
      <c r="B111" s="187">
        <v>-45</v>
      </c>
      <c r="C111" s="187">
        <v>-56</v>
      </c>
      <c r="D111" s="187">
        <v>-55</v>
      </c>
      <c r="E111" s="187">
        <v>-62</v>
      </c>
      <c r="F111" s="187">
        <v>-58</v>
      </c>
      <c r="G111" s="187">
        <v>-55</v>
      </c>
      <c r="H111" s="187">
        <f>-38.4-8.5</f>
        <v>-46.9</v>
      </c>
      <c r="I111" s="187">
        <f t="shared" ref="I111:K111" si="22">-38.4-8.5</f>
        <v>-46.9</v>
      </c>
      <c r="J111" s="187">
        <f t="shared" si="22"/>
        <v>-46.9</v>
      </c>
      <c r="K111" s="187">
        <f t="shared" si="22"/>
        <v>-46.9</v>
      </c>
      <c r="L111" s="187">
        <f>-16.1+15.7</f>
        <v>-0.40000000000000213</v>
      </c>
      <c r="M111" s="187">
        <v>48.4</v>
      </c>
      <c r="N111" s="187">
        <v>65.2</v>
      </c>
      <c r="O111" s="187">
        <v>61.5</v>
      </c>
      <c r="P111" s="187">
        <v>61.5</v>
      </c>
      <c r="Q111" s="187">
        <v>61.5</v>
      </c>
      <c r="R111" s="187">
        <v>-2</v>
      </c>
      <c r="S111" s="187">
        <v>-3</v>
      </c>
      <c r="T111" s="187">
        <f>19.2+13</f>
        <v>32.200000000000003</v>
      </c>
      <c r="U111" s="187">
        <f>18+11</f>
        <v>29</v>
      </c>
      <c r="V111" s="187">
        <v>54</v>
      </c>
      <c r="W111" s="187">
        <v>56</v>
      </c>
      <c r="X111" s="187">
        <v>54</v>
      </c>
      <c r="Y111" s="187">
        <f>29.5+23.8</f>
        <v>53.3</v>
      </c>
      <c r="Z111" s="187">
        <v>61</v>
      </c>
      <c r="AA111" s="187">
        <v>61</v>
      </c>
      <c r="AB111" s="187">
        <v>14</v>
      </c>
      <c r="AC111" s="187">
        <v>-3</v>
      </c>
      <c r="AD111" s="187">
        <v>28</v>
      </c>
      <c r="AE111" s="187">
        <v>0</v>
      </c>
      <c r="AF111" s="187">
        <v>-38</v>
      </c>
      <c r="AG111" s="121">
        <v>240</v>
      </c>
      <c r="AH111" s="52">
        <f t="shared" si="9"/>
        <v>65.2</v>
      </c>
      <c r="AI111" s="53">
        <f t="shared" si="10"/>
        <v>-62</v>
      </c>
    </row>
    <row r="112" spans="1:88" x14ac:dyDescent="0.25">
      <c r="A112" s="110" t="s">
        <v>116</v>
      </c>
      <c r="B112" s="187">
        <v>28</v>
      </c>
      <c r="C112" s="187">
        <v>26</v>
      </c>
      <c r="D112" s="187">
        <v>26</v>
      </c>
      <c r="E112" s="187">
        <v>26</v>
      </c>
      <c r="F112" s="187">
        <v>26</v>
      </c>
      <c r="G112" s="187">
        <v>26</v>
      </c>
      <c r="H112" s="187">
        <v>35.200000000000003</v>
      </c>
      <c r="I112" s="187">
        <v>35.200000000000003</v>
      </c>
      <c r="J112" s="187">
        <v>35.200000000000003</v>
      </c>
      <c r="K112" s="187">
        <v>35.200000000000003</v>
      </c>
      <c r="L112" s="187">
        <v>47.4</v>
      </c>
      <c r="M112" s="187">
        <v>46.8</v>
      </c>
      <c r="N112" s="187">
        <v>51</v>
      </c>
      <c r="O112" s="187">
        <v>50.1</v>
      </c>
      <c r="P112" s="187">
        <v>50.1</v>
      </c>
      <c r="Q112" s="187">
        <v>50.1</v>
      </c>
      <c r="R112" s="187">
        <v>40.799999999999997</v>
      </c>
      <c r="S112" s="187">
        <v>39.299999999999997</v>
      </c>
      <c r="T112" s="187">
        <v>43.7</v>
      </c>
      <c r="U112" s="187">
        <v>44.1</v>
      </c>
      <c r="V112" s="187">
        <v>50</v>
      </c>
      <c r="W112" s="187">
        <v>51.4</v>
      </c>
      <c r="X112" s="187">
        <v>49.9</v>
      </c>
      <c r="Y112" s="187">
        <v>51.7</v>
      </c>
      <c r="Z112" s="187">
        <v>54.6</v>
      </c>
      <c r="AA112" s="187">
        <v>54.6</v>
      </c>
      <c r="AB112" s="187">
        <v>51.8</v>
      </c>
      <c r="AC112" s="187">
        <v>49.9</v>
      </c>
      <c r="AD112" s="187">
        <v>47</v>
      </c>
      <c r="AE112" s="187">
        <v>43</v>
      </c>
      <c r="AF112" s="187">
        <v>33</v>
      </c>
      <c r="AG112" s="121">
        <v>60</v>
      </c>
      <c r="AH112" s="52">
        <f t="shared" si="9"/>
        <v>54.6</v>
      </c>
      <c r="AI112" s="53">
        <f t="shared" si="10"/>
        <v>26</v>
      </c>
    </row>
    <row r="113" spans="1:37" x14ac:dyDescent="0.25">
      <c r="A113" s="123" t="s">
        <v>117</v>
      </c>
      <c r="B113" s="124">
        <v>61</v>
      </c>
      <c r="C113" s="124">
        <v>56</v>
      </c>
      <c r="D113" s="124">
        <v>47</v>
      </c>
      <c r="E113" s="124">
        <v>47</v>
      </c>
      <c r="F113" s="124">
        <v>47</v>
      </c>
      <c r="G113" s="124">
        <v>47</v>
      </c>
      <c r="H113" s="124">
        <v>86.3</v>
      </c>
      <c r="I113" s="124">
        <v>86.3</v>
      </c>
      <c r="J113" s="124">
        <v>86.3</v>
      </c>
      <c r="K113" s="124">
        <v>86.3</v>
      </c>
      <c r="L113" s="124">
        <v>103.4</v>
      </c>
      <c r="M113" s="124">
        <v>106.4</v>
      </c>
      <c r="N113" s="124">
        <v>104.5</v>
      </c>
      <c r="O113" s="124">
        <v>100.9</v>
      </c>
      <c r="P113" s="124">
        <v>100.9</v>
      </c>
      <c r="Q113" s="124">
        <v>100.9</v>
      </c>
      <c r="R113" s="124">
        <v>104</v>
      </c>
      <c r="S113" s="124">
        <v>107.3</v>
      </c>
      <c r="T113" s="124">
        <v>101.2</v>
      </c>
      <c r="U113" s="124">
        <v>114</v>
      </c>
      <c r="V113" s="124">
        <v>113.6</v>
      </c>
      <c r="W113" s="124">
        <v>113.5</v>
      </c>
      <c r="X113" s="124">
        <v>116.9</v>
      </c>
      <c r="Y113" s="124">
        <v>112.6</v>
      </c>
      <c r="Z113" s="124">
        <v>117</v>
      </c>
      <c r="AA113" s="124">
        <v>107</v>
      </c>
      <c r="AB113" s="124">
        <v>82.8</v>
      </c>
      <c r="AC113" s="124">
        <v>75.8</v>
      </c>
      <c r="AD113" s="124">
        <v>59</v>
      </c>
      <c r="AE113" s="124">
        <v>30</v>
      </c>
      <c r="AF113" s="124">
        <v>69</v>
      </c>
      <c r="AG113" s="125">
        <v>120</v>
      </c>
      <c r="AH113" s="52">
        <f t="shared" si="9"/>
        <v>117</v>
      </c>
      <c r="AI113" s="53">
        <f t="shared" si="10"/>
        <v>30</v>
      </c>
    </row>
    <row r="114" spans="1:37" x14ac:dyDescent="0.25">
      <c r="A114" s="123" t="s">
        <v>118</v>
      </c>
      <c r="B114" s="124">
        <v>72</v>
      </c>
      <c r="C114" s="124">
        <v>73</v>
      </c>
      <c r="D114" s="124">
        <v>59</v>
      </c>
      <c r="E114" s="124">
        <v>59</v>
      </c>
      <c r="F114" s="124">
        <v>59</v>
      </c>
      <c r="G114" s="124">
        <v>59</v>
      </c>
      <c r="H114" s="124">
        <v>83.6</v>
      </c>
      <c r="I114" s="124">
        <v>83.6</v>
      </c>
      <c r="J114" s="124">
        <v>83.6</v>
      </c>
      <c r="K114" s="124">
        <v>83.6</v>
      </c>
      <c r="L114" s="124">
        <v>86.8</v>
      </c>
      <c r="M114" s="124">
        <v>86</v>
      </c>
      <c r="N114" s="124">
        <v>99</v>
      </c>
      <c r="O114" s="124">
        <v>75.900000000000006</v>
      </c>
      <c r="P114" s="124">
        <v>75.900000000000006</v>
      </c>
      <c r="Q114" s="124">
        <v>75.900000000000006</v>
      </c>
      <c r="R114" s="124">
        <v>112.8</v>
      </c>
      <c r="S114" s="124">
        <v>115</v>
      </c>
      <c r="T114" s="124">
        <v>110</v>
      </c>
      <c r="U114" s="124">
        <v>103</v>
      </c>
      <c r="V114" s="124">
        <v>97</v>
      </c>
      <c r="W114" s="124">
        <v>92.1</v>
      </c>
      <c r="X114" s="124">
        <v>99.4</v>
      </c>
      <c r="Y114" s="124">
        <v>82.8</v>
      </c>
      <c r="Z114" s="124">
        <v>99.1</v>
      </c>
      <c r="AA114" s="124">
        <v>100.7</v>
      </c>
      <c r="AB114" s="124">
        <v>91</v>
      </c>
      <c r="AC114" s="124">
        <v>51.8</v>
      </c>
      <c r="AD114" s="124">
        <v>42</v>
      </c>
      <c r="AE114" s="124">
        <v>17</v>
      </c>
      <c r="AF114" s="124">
        <v>76</v>
      </c>
      <c r="AG114" s="125"/>
      <c r="AH114" s="52">
        <f t="shared" si="9"/>
        <v>115</v>
      </c>
      <c r="AI114" s="53">
        <f t="shared" si="10"/>
        <v>17</v>
      </c>
    </row>
    <row r="115" spans="1:37" x14ac:dyDescent="0.25">
      <c r="A115" s="123" t="s">
        <v>119</v>
      </c>
      <c r="B115" s="124">
        <v>72</v>
      </c>
      <c r="C115" s="124"/>
      <c r="D115" s="124"/>
      <c r="E115" s="124"/>
      <c r="F115" s="124"/>
      <c r="G115" s="124"/>
      <c r="H115" s="124"/>
      <c r="I115" s="124"/>
      <c r="J115" s="124"/>
      <c r="K115" s="124"/>
      <c r="L115" s="124">
        <v>28</v>
      </c>
      <c r="M115" s="124"/>
      <c r="N115" s="124">
        <v>-1.3</v>
      </c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>
        <v>24.7</v>
      </c>
      <c r="AC115" s="124"/>
      <c r="AD115" s="124"/>
      <c r="AE115" s="124">
        <v>29</v>
      </c>
      <c r="AF115" s="124">
        <v>60</v>
      </c>
      <c r="AG115" s="126"/>
      <c r="AH115" s="52">
        <f t="shared" si="9"/>
        <v>72</v>
      </c>
      <c r="AI115" s="53">
        <f t="shared" si="10"/>
        <v>-1.3</v>
      </c>
    </row>
    <row r="116" spans="1:37" x14ac:dyDescent="0.25">
      <c r="A116" s="127" t="s">
        <v>120</v>
      </c>
      <c r="B116" s="113">
        <v>-25</v>
      </c>
      <c r="C116" s="113">
        <v>-23</v>
      </c>
      <c r="D116" s="113">
        <v>-19</v>
      </c>
      <c r="E116" s="113">
        <v>-19</v>
      </c>
      <c r="F116" s="113">
        <v>-19</v>
      </c>
      <c r="G116" s="113">
        <v>-19</v>
      </c>
      <c r="H116" s="113">
        <v>30.9</v>
      </c>
      <c r="I116" s="113">
        <v>30.9</v>
      </c>
      <c r="J116" s="113">
        <v>30.9</v>
      </c>
      <c r="K116" s="113">
        <v>30.9</v>
      </c>
      <c r="L116" s="113">
        <v>-41.6</v>
      </c>
      <c r="M116" s="113">
        <v>-42.8</v>
      </c>
      <c r="N116" s="113">
        <v>-43.7</v>
      </c>
      <c r="O116" s="113">
        <v>-48.1</v>
      </c>
      <c r="P116" s="113">
        <v>-48.1</v>
      </c>
      <c r="Q116" s="113">
        <v>-48.1</v>
      </c>
      <c r="R116" s="113">
        <v>-21.5</v>
      </c>
      <c r="S116" s="113">
        <v>-9.1999999999999993</v>
      </c>
      <c r="T116" s="113">
        <v>-29.7</v>
      </c>
      <c r="U116" s="113">
        <v>-30.9</v>
      </c>
      <c r="V116" s="113">
        <v>-46.3</v>
      </c>
      <c r="W116" s="113">
        <v>-45.8</v>
      </c>
      <c r="X116" s="113">
        <v>-49.6</v>
      </c>
      <c r="Y116" s="113">
        <v>-59</v>
      </c>
      <c r="Z116" s="113">
        <v>-62.3</v>
      </c>
      <c r="AA116" s="113">
        <v>-62.3</v>
      </c>
      <c r="AB116" s="113">
        <v>-23.5</v>
      </c>
      <c r="AC116" s="113">
        <v>-23.3</v>
      </c>
      <c r="AD116" s="113">
        <v>-21</v>
      </c>
      <c r="AE116" s="113">
        <v>-15</v>
      </c>
      <c r="AF116" s="113">
        <v>-12</v>
      </c>
      <c r="AG116" s="126"/>
      <c r="AH116" s="52">
        <f t="shared" si="9"/>
        <v>30.9</v>
      </c>
      <c r="AI116" s="53">
        <f t="shared" si="10"/>
        <v>-62.3</v>
      </c>
    </row>
    <row r="117" spans="1:37" ht="15.75" thickBot="1" x14ac:dyDescent="0.3">
      <c r="A117" s="127" t="s">
        <v>121</v>
      </c>
      <c r="B117" s="113">
        <v>105</v>
      </c>
      <c r="C117" s="113">
        <v>100</v>
      </c>
      <c r="D117" s="113">
        <v>102</v>
      </c>
      <c r="E117" s="113">
        <v>90</v>
      </c>
      <c r="F117" s="113">
        <v>76.400000000000006</v>
      </c>
      <c r="G117" s="113">
        <v>80</v>
      </c>
      <c r="H117" s="113">
        <v>80</v>
      </c>
      <c r="I117" s="113">
        <v>84</v>
      </c>
      <c r="J117" s="113">
        <v>82</v>
      </c>
      <c r="K117" s="113">
        <v>80</v>
      </c>
      <c r="L117" s="113">
        <v>88.4</v>
      </c>
      <c r="M117" s="113">
        <v>100.6</v>
      </c>
      <c r="N117" s="113">
        <v>105</v>
      </c>
      <c r="O117" s="113">
        <v>109.5</v>
      </c>
      <c r="P117" s="113">
        <v>109.5</v>
      </c>
      <c r="Q117" s="113">
        <v>109.5</v>
      </c>
      <c r="R117" s="113">
        <v>85.4</v>
      </c>
      <c r="S117" s="113">
        <v>102</v>
      </c>
      <c r="T117" s="113">
        <v>116.7</v>
      </c>
      <c r="U117" s="113">
        <v>113</v>
      </c>
      <c r="V117" s="113">
        <v>111.6</v>
      </c>
      <c r="W117" s="113">
        <v>109.4</v>
      </c>
      <c r="X117" s="113">
        <v>99.2</v>
      </c>
      <c r="Y117" s="113">
        <v>111</v>
      </c>
      <c r="Z117" s="113">
        <v>105.5</v>
      </c>
      <c r="AA117" s="113">
        <v>109</v>
      </c>
      <c r="AB117" s="113">
        <v>110.9</v>
      </c>
      <c r="AC117" s="113">
        <v>111.2</v>
      </c>
      <c r="AD117" s="113">
        <v>104</v>
      </c>
      <c r="AE117" s="113">
        <v>93</v>
      </c>
      <c r="AF117" s="113">
        <v>97</v>
      </c>
      <c r="AG117" s="126"/>
      <c r="AH117" s="52">
        <f t="shared" si="9"/>
        <v>116.7</v>
      </c>
      <c r="AI117" s="53">
        <f t="shared" si="10"/>
        <v>76.400000000000006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3">SUM(B119:B223)</f>
        <v>0</v>
      </c>
      <c r="C224" s="144">
        <f t="shared" si="23"/>
        <v>0</v>
      </c>
      <c r="D224" s="144">
        <f t="shared" si="23"/>
        <v>0</v>
      </c>
      <c r="E224" s="144">
        <f t="shared" si="23"/>
        <v>0</v>
      </c>
      <c r="F224" s="144">
        <f t="shared" si="23"/>
        <v>0</v>
      </c>
      <c r="G224" s="144">
        <f t="shared" si="23"/>
        <v>0</v>
      </c>
      <c r="H224" s="144">
        <f t="shared" si="23"/>
        <v>0</v>
      </c>
      <c r="I224" s="144">
        <f t="shared" si="23"/>
        <v>0</v>
      </c>
      <c r="J224" s="144">
        <f t="shared" si="23"/>
        <v>0</v>
      </c>
      <c r="K224" s="144">
        <f t="shared" si="23"/>
        <v>0</v>
      </c>
      <c r="L224" s="144">
        <f t="shared" si="23"/>
        <v>0</v>
      </c>
      <c r="M224" s="144">
        <f t="shared" si="23"/>
        <v>0</v>
      </c>
      <c r="N224" s="144">
        <f t="shared" si="23"/>
        <v>0</v>
      </c>
      <c r="O224" s="144">
        <f t="shared" si="23"/>
        <v>0</v>
      </c>
      <c r="P224" s="144">
        <f t="shared" si="23"/>
        <v>0</v>
      </c>
      <c r="Q224" s="144">
        <f t="shared" si="23"/>
        <v>0</v>
      </c>
      <c r="R224" s="144">
        <f t="shared" si="23"/>
        <v>0</v>
      </c>
      <c r="S224" s="144">
        <f t="shared" si="23"/>
        <v>0</v>
      </c>
      <c r="T224" s="144">
        <f t="shared" si="23"/>
        <v>0</v>
      </c>
      <c r="U224" s="144">
        <f t="shared" si="23"/>
        <v>0</v>
      </c>
      <c r="V224" s="144">
        <f t="shared" si="23"/>
        <v>0</v>
      </c>
      <c r="W224" s="144">
        <f t="shared" si="23"/>
        <v>0</v>
      </c>
      <c r="X224" s="144">
        <f t="shared" si="23"/>
        <v>0</v>
      </c>
      <c r="Y224" s="144">
        <f t="shared" si="23"/>
        <v>0</v>
      </c>
      <c r="Z224" s="144">
        <f t="shared" si="23"/>
        <v>0</v>
      </c>
      <c r="AA224" s="144">
        <f t="shared" si="23"/>
        <v>0</v>
      </c>
      <c r="AB224" s="144">
        <f t="shared" si="23"/>
        <v>0</v>
      </c>
      <c r="AC224" s="144">
        <f t="shared" si="23"/>
        <v>0</v>
      </c>
      <c r="AD224" s="144">
        <f t="shared" si="23"/>
        <v>0</v>
      </c>
      <c r="AE224" s="144">
        <f t="shared" si="23"/>
        <v>0</v>
      </c>
      <c r="AF224" s="145">
        <f t="shared" si="23"/>
        <v>0</v>
      </c>
      <c r="AG224" s="146">
        <f t="shared" si="23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4">AF226</f>
        <v>0</v>
      </c>
      <c r="C226" s="149">
        <v>0.3</v>
      </c>
      <c r="D226" s="149">
        <f t="shared" ref="D226:P231" si="25">C226</f>
        <v>0.3</v>
      </c>
      <c r="E226" s="149">
        <f t="shared" si="25"/>
        <v>0.3</v>
      </c>
      <c r="F226" s="149">
        <f t="shared" si="25"/>
        <v>0.3</v>
      </c>
      <c r="G226" s="149">
        <f t="shared" si="25"/>
        <v>0.3</v>
      </c>
      <c r="H226" s="149">
        <f t="shared" si="25"/>
        <v>0.3</v>
      </c>
      <c r="I226" s="149">
        <f t="shared" si="25"/>
        <v>0.3</v>
      </c>
      <c r="J226" s="149">
        <f t="shared" si="25"/>
        <v>0.3</v>
      </c>
      <c r="K226" s="149">
        <f t="shared" si="25"/>
        <v>0.3</v>
      </c>
      <c r="L226" s="149">
        <f t="shared" si="25"/>
        <v>0.3</v>
      </c>
      <c r="M226" s="149">
        <f t="shared" si="25"/>
        <v>0.3</v>
      </c>
      <c r="N226" s="149">
        <f t="shared" si="25"/>
        <v>0.3</v>
      </c>
      <c r="O226" s="149">
        <f t="shared" si="25"/>
        <v>0.3</v>
      </c>
      <c r="P226" s="149">
        <f t="shared" si="25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4"/>
        <v>0</v>
      </c>
      <c r="C227" s="136">
        <v>0.4</v>
      </c>
      <c r="D227" s="136">
        <f t="shared" si="25"/>
        <v>0.4</v>
      </c>
      <c r="E227" s="136">
        <f t="shared" si="25"/>
        <v>0.4</v>
      </c>
      <c r="F227" s="136">
        <f t="shared" si="25"/>
        <v>0.4</v>
      </c>
      <c r="G227" s="136">
        <f t="shared" si="25"/>
        <v>0.4</v>
      </c>
      <c r="H227" s="136">
        <f t="shared" si="25"/>
        <v>0.4</v>
      </c>
      <c r="I227" s="136">
        <f t="shared" si="25"/>
        <v>0.4</v>
      </c>
      <c r="J227" s="136">
        <f t="shared" si="25"/>
        <v>0.4</v>
      </c>
      <c r="K227" s="136">
        <f t="shared" si="25"/>
        <v>0.4</v>
      </c>
      <c r="L227" s="136">
        <f t="shared" si="25"/>
        <v>0.4</v>
      </c>
      <c r="M227" s="136">
        <f t="shared" si="25"/>
        <v>0.4</v>
      </c>
      <c r="N227" s="136">
        <f t="shared" si="25"/>
        <v>0.4</v>
      </c>
      <c r="O227" s="136">
        <f t="shared" si="25"/>
        <v>0.4</v>
      </c>
      <c r="P227" s="136">
        <f t="shared" si="25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4"/>
        <v>0</v>
      </c>
      <c r="C228" s="136">
        <v>1.5</v>
      </c>
      <c r="D228" s="136">
        <f t="shared" si="25"/>
        <v>1.5</v>
      </c>
      <c r="E228" s="136">
        <f t="shared" si="25"/>
        <v>1.5</v>
      </c>
      <c r="F228" s="136">
        <f t="shared" si="25"/>
        <v>1.5</v>
      </c>
      <c r="G228" s="136">
        <f t="shared" si="25"/>
        <v>1.5</v>
      </c>
      <c r="H228" s="136">
        <f t="shared" si="25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5"/>
        <v>1.5</v>
      </c>
      <c r="K228" s="136">
        <f t="shared" ca="1" si="25"/>
        <v>1.5</v>
      </c>
      <c r="L228" s="136">
        <f t="shared" ca="1" si="25"/>
        <v>1.5</v>
      </c>
      <c r="M228" s="136">
        <f t="shared" ca="1" si="25"/>
        <v>1.5</v>
      </c>
      <c r="N228" s="136">
        <f t="shared" ca="1" si="25"/>
        <v>1.5</v>
      </c>
      <c r="O228" s="136">
        <f t="shared" ca="1" si="25"/>
        <v>1.5</v>
      </c>
      <c r="P228" s="136">
        <f t="shared" ca="1" si="25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4"/>
        <v>0</v>
      </c>
      <c r="C229" s="136">
        <v>0.3</v>
      </c>
      <c r="D229" s="136">
        <f t="shared" si="25"/>
        <v>0.3</v>
      </c>
      <c r="E229" s="136">
        <f t="shared" si="25"/>
        <v>0.3</v>
      </c>
      <c r="F229" s="136">
        <f t="shared" si="25"/>
        <v>0.3</v>
      </c>
      <c r="G229" s="136">
        <f t="shared" si="25"/>
        <v>0.3</v>
      </c>
      <c r="H229" s="136">
        <f t="shared" si="25"/>
        <v>0.3</v>
      </c>
      <c r="I229" s="136">
        <f t="shared" si="25"/>
        <v>0.3</v>
      </c>
      <c r="J229" s="136">
        <f t="shared" si="25"/>
        <v>0.3</v>
      </c>
      <c r="K229" s="136">
        <f t="shared" si="25"/>
        <v>0.3</v>
      </c>
      <c r="L229" s="136">
        <f t="shared" si="25"/>
        <v>0.3</v>
      </c>
      <c r="M229" s="136">
        <f t="shared" si="25"/>
        <v>0.3</v>
      </c>
      <c r="N229" s="136">
        <f t="shared" si="25"/>
        <v>0.3</v>
      </c>
      <c r="O229" s="136">
        <f t="shared" si="25"/>
        <v>0.3</v>
      </c>
      <c r="P229" s="136">
        <f t="shared" si="25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4"/>
        <v>0</v>
      </c>
      <c r="C230" s="136">
        <v>0.4</v>
      </c>
      <c r="D230" s="136">
        <f t="shared" si="25"/>
        <v>0.4</v>
      </c>
      <c r="E230" s="136">
        <f t="shared" si="25"/>
        <v>0.4</v>
      </c>
      <c r="F230" s="136">
        <f t="shared" si="25"/>
        <v>0.4</v>
      </c>
      <c r="G230" s="136">
        <f t="shared" si="25"/>
        <v>0.4</v>
      </c>
      <c r="H230" s="136">
        <f t="shared" si="25"/>
        <v>0.4</v>
      </c>
      <c r="I230" s="136">
        <f t="shared" si="25"/>
        <v>0.4</v>
      </c>
      <c r="J230" s="136">
        <f t="shared" si="25"/>
        <v>0.4</v>
      </c>
      <c r="K230" s="136">
        <f t="shared" si="25"/>
        <v>0.4</v>
      </c>
      <c r="L230" s="136">
        <f t="shared" si="25"/>
        <v>0.4</v>
      </c>
      <c r="M230" s="136">
        <f t="shared" si="25"/>
        <v>0.4</v>
      </c>
      <c r="N230" s="136">
        <f t="shared" si="25"/>
        <v>0.4</v>
      </c>
      <c r="O230" s="136">
        <f t="shared" si="25"/>
        <v>0.4</v>
      </c>
      <c r="P230" s="136">
        <f t="shared" si="25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4"/>
        <v>0</v>
      </c>
      <c r="C231" s="140">
        <v>0.64</v>
      </c>
      <c r="D231" s="140">
        <f t="shared" si="25"/>
        <v>0.64</v>
      </c>
      <c r="E231" s="140">
        <f t="shared" si="25"/>
        <v>0.64</v>
      </c>
      <c r="F231" s="140">
        <f t="shared" si="25"/>
        <v>0.64</v>
      </c>
      <c r="G231" s="140">
        <f t="shared" si="25"/>
        <v>0.64</v>
      </c>
      <c r="H231" s="140">
        <f t="shared" si="25"/>
        <v>0.64</v>
      </c>
      <c r="I231" s="140">
        <f t="shared" si="25"/>
        <v>0.64</v>
      </c>
      <c r="J231" s="140">
        <f t="shared" si="25"/>
        <v>0.64</v>
      </c>
      <c r="K231" s="140">
        <f t="shared" si="25"/>
        <v>0.64</v>
      </c>
      <c r="L231" s="140">
        <f t="shared" si="25"/>
        <v>0.64</v>
      </c>
      <c r="M231" s="140">
        <f t="shared" si="25"/>
        <v>0.64</v>
      </c>
      <c r="N231" s="140">
        <f t="shared" si="25"/>
        <v>0.64</v>
      </c>
      <c r="O231" s="140">
        <f t="shared" si="25"/>
        <v>0.64</v>
      </c>
      <c r="P231" s="140">
        <f t="shared" si="25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6">SUM(B226:B231)</f>
        <v>0</v>
      </c>
      <c r="C232" s="144">
        <f t="shared" si="26"/>
        <v>3.54</v>
      </c>
      <c r="D232" s="144">
        <f t="shared" si="26"/>
        <v>3.54</v>
      </c>
      <c r="E232" s="144">
        <f t="shared" si="26"/>
        <v>3.54</v>
      </c>
      <c r="F232" s="144">
        <f t="shared" si="26"/>
        <v>3.54</v>
      </c>
      <c r="G232" s="144">
        <f t="shared" si="26"/>
        <v>3.54</v>
      </c>
      <c r="H232" s="144">
        <f t="shared" si="26"/>
        <v>3.54</v>
      </c>
      <c r="I232" s="144">
        <f t="shared" ca="1" si="26"/>
        <v>3.54</v>
      </c>
      <c r="J232" s="144">
        <f t="shared" ca="1" si="26"/>
        <v>3.54</v>
      </c>
      <c r="K232" s="144">
        <f t="shared" ca="1" si="26"/>
        <v>3.54</v>
      </c>
      <c r="L232" s="144">
        <f t="shared" ca="1" si="26"/>
        <v>3.54</v>
      </c>
      <c r="M232" s="144">
        <f t="shared" ca="1" si="26"/>
        <v>3.54</v>
      </c>
      <c r="N232" s="144">
        <f t="shared" ca="1" si="26"/>
        <v>3.54</v>
      </c>
      <c r="O232" s="144">
        <f t="shared" ca="1" si="26"/>
        <v>3.54</v>
      </c>
      <c r="P232" s="144">
        <f t="shared" ca="1" si="26"/>
        <v>3.54</v>
      </c>
      <c r="Q232" s="144">
        <f t="shared" si="26"/>
        <v>0</v>
      </c>
      <c r="R232" s="144">
        <f t="shared" si="26"/>
        <v>0</v>
      </c>
      <c r="S232" s="144">
        <f t="shared" si="26"/>
        <v>0</v>
      </c>
      <c r="T232" s="144">
        <f t="shared" si="26"/>
        <v>0</v>
      </c>
      <c r="U232" s="144">
        <f t="shared" si="26"/>
        <v>0</v>
      </c>
      <c r="V232" s="144">
        <f t="shared" si="26"/>
        <v>0</v>
      </c>
      <c r="W232" s="144">
        <f t="shared" si="26"/>
        <v>0</v>
      </c>
      <c r="X232" s="144">
        <f t="shared" si="26"/>
        <v>0</v>
      </c>
      <c r="Y232" s="144">
        <f t="shared" si="26"/>
        <v>0</v>
      </c>
      <c r="Z232" s="144">
        <f t="shared" si="26"/>
        <v>0</v>
      </c>
      <c r="AA232" s="144">
        <f t="shared" si="26"/>
        <v>0</v>
      </c>
      <c r="AB232" s="144">
        <f t="shared" si="26"/>
        <v>0</v>
      </c>
      <c r="AC232" s="144">
        <f t="shared" si="26"/>
        <v>0</v>
      </c>
      <c r="AD232" s="144">
        <f t="shared" si="26"/>
        <v>0</v>
      </c>
      <c r="AE232" s="144">
        <f t="shared" si="26"/>
        <v>0</v>
      </c>
      <c r="AF232" s="144">
        <f t="shared" si="26"/>
        <v>0</v>
      </c>
      <c r="AG232" s="154">
        <f t="shared" si="26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1529.6399999999999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27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2079/12/27)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2079/12/27)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7">B89</f>
        <v>1370.54</v>
      </c>
      <c r="U246" s="180">
        <f t="shared" si="27"/>
        <v>1248.04</v>
      </c>
      <c r="V246" s="180">
        <f t="shared" si="27"/>
        <v>1228.04</v>
      </c>
      <c r="W246" s="180">
        <f t="shared" si="27"/>
        <v>1205.1399999999999</v>
      </c>
      <c r="X246" s="180">
        <f t="shared" si="27"/>
        <v>1200.1399999999999</v>
      </c>
      <c r="Y246" s="180">
        <f t="shared" si="27"/>
        <v>1237.6399999999999</v>
      </c>
      <c r="Z246" s="180">
        <f t="shared" si="27"/>
        <v>1242.94</v>
      </c>
      <c r="AA246" s="180">
        <f t="shared" si="27"/>
        <v>1252.6399999999999</v>
      </c>
      <c r="AB246" s="180">
        <f t="shared" si="27"/>
        <v>1396.94</v>
      </c>
      <c r="AC246" s="180">
        <f t="shared" si="27"/>
        <v>1407.94</v>
      </c>
      <c r="AD246" s="180">
        <f t="shared" si="27"/>
        <v>1434.6399999999999</v>
      </c>
      <c r="AE246" s="180">
        <f t="shared" si="27"/>
        <v>1524.94</v>
      </c>
      <c r="AF246" s="180">
        <f t="shared" si="27"/>
        <v>1529.6399999999999</v>
      </c>
      <c r="AG246" s="180">
        <f t="shared" si="27"/>
        <v>1525.74</v>
      </c>
      <c r="AH246" s="180">
        <f t="shared" si="27"/>
        <v>1429.54</v>
      </c>
      <c r="AI246" s="180">
        <f t="shared" si="27"/>
        <v>1568.04</v>
      </c>
      <c r="AJ246" s="180">
        <f t="shared" si="27"/>
        <v>1531.54</v>
      </c>
      <c r="AK246" s="180">
        <f t="shared" si="27"/>
        <v>1493.6399999999999</v>
      </c>
      <c r="AL246" s="180">
        <f t="shared" si="27"/>
        <v>1471.6399999999999</v>
      </c>
      <c r="AM246" s="180">
        <f t="shared" si="27"/>
        <v>1495.6399999999999</v>
      </c>
      <c r="AN246" s="180">
        <f t="shared" si="27"/>
        <v>1508.64</v>
      </c>
      <c r="AO246" s="180">
        <f t="shared" si="27"/>
        <v>1514.2399999999998</v>
      </c>
      <c r="AP246" s="180">
        <f t="shared" si="27"/>
        <v>1557.3400000000001</v>
      </c>
      <c r="AQ246" s="180">
        <f t="shared" si="27"/>
        <v>1625.74</v>
      </c>
      <c r="AR246" s="180">
        <f t="shared" si="27"/>
        <v>1739.5400000000002</v>
      </c>
      <c r="AS246" s="180">
        <f t="shared" si="27"/>
        <v>1725.54</v>
      </c>
      <c r="AT246" s="180">
        <f t="shared" si="27"/>
        <v>1654.8400000000001</v>
      </c>
      <c r="AU246" s="180">
        <f t="shared" si="27"/>
        <v>1616.94</v>
      </c>
      <c r="AV246" s="180">
        <f t="shared" si="27"/>
        <v>1550.24</v>
      </c>
      <c r="AW246" s="180">
        <f t="shared" si="27"/>
        <v>1441.6399999999999</v>
      </c>
      <c r="AX246" s="180">
        <f t="shared" si="27"/>
        <v>1408.24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8">C231</f>
        <v>0.64</v>
      </c>
      <c r="C267" s="183">
        <f t="shared" si="28"/>
        <v>0.64</v>
      </c>
      <c r="D267" s="183">
        <f t="shared" si="28"/>
        <v>0.64</v>
      </c>
      <c r="E267" s="183">
        <f t="shared" si="28"/>
        <v>0.64</v>
      </c>
      <c r="F267" s="183">
        <f t="shared" si="28"/>
        <v>0.64</v>
      </c>
      <c r="G267" s="183">
        <f t="shared" si="28"/>
        <v>0.64</v>
      </c>
      <c r="H267" s="183">
        <f t="shared" si="28"/>
        <v>0.64</v>
      </c>
      <c r="I267" s="183">
        <f t="shared" si="28"/>
        <v>0.64</v>
      </c>
      <c r="J267" s="183">
        <f t="shared" si="28"/>
        <v>0.64</v>
      </c>
      <c r="K267" s="183">
        <f t="shared" si="28"/>
        <v>0.64</v>
      </c>
      <c r="L267" s="183">
        <f t="shared" si="28"/>
        <v>0.64</v>
      </c>
      <c r="M267" s="183">
        <f t="shared" si="28"/>
        <v>0.64</v>
      </c>
      <c r="N267" s="183">
        <f t="shared" si="28"/>
        <v>0.64</v>
      </c>
      <c r="O267" s="183">
        <f t="shared" si="28"/>
        <v>0.64</v>
      </c>
      <c r="P267" s="183">
        <f t="shared" si="28"/>
        <v>0</v>
      </c>
      <c r="Q267" s="183">
        <f t="shared" si="28"/>
        <v>0</v>
      </c>
      <c r="R267" s="183">
        <f t="shared" si="28"/>
        <v>0</v>
      </c>
      <c r="S267" s="183">
        <f t="shared" si="28"/>
        <v>0</v>
      </c>
      <c r="T267" s="183">
        <f t="shared" si="28"/>
        <v>0</v>
      </c>
      <c r="U267" s="183">
        <f t="shared" si="28"/>
        <v>0</v>
      </c>
      <c r="V267" s="183">
        <f t="shared" si="28"/>
        <v>0</v>
      </c>
      <c r="W267" s="183">
        <f t="shared" si="28"/>
        <v>0</v>
      </c>
      <c r="X267" s="183">
        <f t="shared" si="28"/>
        <v>0</v>
      </c>
      <c r="Y267" s="183">
        <f t="shared" si="28"/>
        <v>0</v>
      </c>
      <c r="Z267" s="183">
        <f t="shared" si="28"/>
        <v>0</v>
      </c>
      <c r="AA267" s="183">
        <f t="shared" si="28"/>
        <v>0</v>
      </c>
      <c r="AB267" s="183">
        <f t="shared" si="28"/>
        <v>0</v>
      </c>
      <c r="AC267" s="183">
        <f t="shared" si="28"/>
        <v>0</v>
      </c>
      <c r="AD267" s="183">
        <f t="shared" si="28"/>
        <v>0</v>
      </c>
      <c r="AE267" s="183">
        <f t="shared" si="28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9">IF(B235&lt;100,"",B235-520)</f>
        <v/>
      </c>
      <c r="C268" s="184" t="str">
        <f t="shared" si="29"/>
        <v/>
      </c>
      <c r="D268" s="184" t="str">
        <f t="shared" si="29"/>
        <v/>
      </c>
      <c r="E268" s="184" t="str">
        <f t="shared" si="29"/>
        <v/>
      </c>
      <c r="F268" s="184" t="str">
        <f t="shared" si="29"/>
        <v/>
      </c>
      <c r="G268" s="184" t="str">
        <f t="shared" si="29"/>
        <v/>
      </c>
      <c r="H268" s="184" t="str">
        <f t="shared" si="29"/>
        <v/>
      </c>
      <c r="I268" s="184" t="str">
        <f t="shared" si="29"/>
        <v/>
      </c>
      <c r="J268" s="184" t="str">
        <f t="shared" si="29"/>
        <v/>
      </c>
      <c r="K268" s="184" t="str">
        <f t="shared" si="29"/>
        <v/>
      </c>
      <c r="L268" s="184" t="str">
        <f t="shared" si="29"/>
        <v/>
      </c>
      <c r="M268" s="184" t="str">
        <f t="shared" si="29"/>
        <v/>
      </c>
      <c r="N268" s="184" t="str">
        <f t="shared" si="29"/>
        <v/>
      </c>
      <c r="O268" s="184" t="str">
        <f t="shared" si="29"/>
        <v/>
      </c>
      <c r="P268" s="184" t="str">
        <f t="shared" si="29"/>
        <v/>
      </c>
      <c r="Q268" s="184" t="str">
        <f t="shared" si="29"/>
        <v/>
      </c>
      <c r="R268" s="184" t="str">
        <f t="shared" si="29"/>
        <v/>
      </c>
      <c r="S268" s="184" t="str">
        <f t="shared" si="29"/>
        <v/>
      </c>
      <c r="T268" s="184" t="str">
        <f t="shared" si="29"/>
        <v/>
      </c>
      <c r="U268" s="184" t="str">
        <f t="shared" si="29"/>
        <v/>
      </c>
      <c r="V268" s="184" t="str">
        <f t="shared" si="29"/>
        <v/>
      </c>
      <c r="W268" s="184" t="str">
        <f t="shared" si="29"/>
        <v/>
      </c>
      <c r="X268" s="184" t="str">
        <f t="shared" si="29"/>
        <v/>
      </c>
      <c r="Y268" s="184" t="str">
        <f t="shared" si="29"/>
        <v/>
      </c>
      <c r="Z268" s="184" t="str">
        <f t="shared" si="29"/>
        <v/>
      </c>
      <c r="AA268" s="184" t="str">
        <f t="shared" si="29"/>
        <v/>
      </c>
      <c r="AB268" s="184" t="str">
        <f t="shared" si="29"/>
        <v/>
      </c>
      <c r="AC268" s="184" t="str">
        <f t="shared" si="29"/>
        <v/>
      </c>
      <c r="AD268" s="184" t="str">
        <f t="shared" si="29"/>
        <v/>
      </c>
      <c r="AE268" s="184" t="str">
        <f t="shared" si="29"/>
        <v/>
      </c>
      <c r="AF268" s="184" t="str">
        <f t="shared" si="29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0">IF(B236&lt;100,"",B236-620)</f>
        <v/>
      </c>
      <c r="C269" s="184" t="str">
        <f t="shared" si="30"/>
        <v/>
      </c>
      <c r="D269" s="184" t="str">
        <f t="shared" si="30"/>
        <v/>
      </c>
      <c r="E269" s="184" t="str">
        <f t="shared" si="30"/>
        <v/>
      </c>
      <c r="F269" s="184" t="str">
        <f t="shared" si="30"/>
        <v/>
      </c>
      <c r="G269" s="184" t="str">
        <f t="shared" si="30"/>
        <v/>
      </c>
      <c r="H269" s="184" t="str">
        <f t="shared" si="30"/>
        <v/>
      </c>
      <c r="I269" s="184" t="str">
        <f t="shared" si="30"/>
        <v/>
      </c>
      <c r="J269" s="184" t="str">
        <f t="shared" si="30"/>
        <v/>
      </c>
      <c r="K269" s="184" t="str">
        <f t="shared" si="30"/>
        <v/>
      </c>
      <c r="L269" s="184" t="str">
        <f t="shared" si="30"/>
        <v/>
      </c>
      <c r="M269" s="184" t="str">
        <f t="shared" si="30"/>
        <v/>
      </c>
      <c r="N269" s="184" t="str">
        <f t="shared" si="30"/>
        <v/>
      </c>
      <c r="O269" s="184" t="str">
        <f t="shared" si="30"/>
        <v/>
      </c>
      <c r="P269" s="184" t="str">
        <f t="shared" si="30"/>
        <v/>
      </c>
      <c r="Q269" s="184" t="str">
        <f t="shared" si="30"/>
        <v/>
      </c>
      <c r="R269" s="184" t="str">
        <f t="shared" si="30"/>
        <v/>
      </c>
      <c r="S269" s="184" t="str">
        <f t="shared" si="30"/>
        <v/>
      </c>
      <c r="T269" s="184" t="str">
        <f t="shared" si="30"/>
        <v/>
      </c>
      <c r="U269" s="184" t="str">
        <f t="shared" si="30"/>
        <v/>
      </c>
      <c r="V269" s="184" t="str">
        <f t="shared" si="30"/>
        <v/>
      </c>
      <c r="W269" s="184" t="str">
        <f t="shared" si="30"/>
        <v/>
      </c>
      <c r="X269" s="184" t="str">
        <f t="shared" si="30"/>
        <v/>
      </c>
      <c r="Y269" s="184" t="str">
        <f t="shared" si="30"/>
        <v/>
      </c>
      <c r="Z269" s="184" t="str">
        <f t="shared" si="30"/>
        <v/>
      </c>
      <c r="AA269" s="184" t="str">
        <f t="shared" si="30"/>
        <v/>
      </c>
      <c r="AB269" s="184" t="str">
        <f t="shared" si="30"/>
        <v/>
      </c>
      <c r="AC269" s="184" t="str">
        <f t="shared" si="30"/>
        <v/>
      </c>
      <c r="AD269" s="184" t="str">
        <f t="shared" si="30"/>
        <v/>
      </c>
      <c r="AE269" s="184" t="str">
        <f t="shared" si="30"/>
        <v/>
      </c>
      <c r="AF269" s="184" t="str">
        <f t="shared" si="30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1">IF(B237&lt;100,"",B237-330)</f>
        <v/>
      </c>
      <c r="C270" s="184" t="str">
        <f t="shared" si="31"/>
        <v/>
      </c>
      <c r="D270" s="184" t="str">
        <f t="shared" si="31"/>
        <v/>
      </c>
      <c r="E270" s="184" t="str">
        <f t="shared" si="31"/>
        <v/>
      </c>
      <c r="F270" s="184" t="str">
        <f t="shared" si="31"/>
        <v/>
      </c>
      <c r="G270" s="184" t="str">
        <f t="shared" si="31"/>
        <v/>
      </c>
      <c r="H270" s="184" t="str">
        <f t="shared" si="31"/>
        <v/>
      </c>
      <c r="I270" s="184" t="str">
        <f t="shared" si="31"/>
        <v/>
      </c>
      <c r="J270" s="184" t="str">
        <f t="shared" si="31"/>
        <v/>
      </c>
      <c r="K270" s="184" t="str">
        <f t="shared" si="31"/>
        <v/>
      </c>
      <c r="L270" s="184" t="str">
        <f t="shared" si="31"/>
        <v/>
      </c>
      <c r="M270" s="184" t="str">
        <f t="shared" si="31"/>
        <v/>
      </c>
      <c r="N270" s="184" t="str">
        <f t="shared" si="31"/>
        <v/>
      </c>
      <c r="O270" s="184" t="str">
        <f t="shared" si="31"/>
        <v/>
      </c>
      <c r="P270" s="184" t="str">
        <f t="shared" si="31"/>
        <v/>
      </c>
      <c r="Q270" s="184" t="str">
        <f t="shared" si="31"/>
        <v/>
      </c>
      <c r="R270" s="184" t="str">
        <f t="shared" si="31"/>
        <v/>
      </c>
      <c r="S270" s="184" t="str">
        <f t="shared" si="31"/>
        <v/>
      </c>
      <c r="T270" s="184" t="str">
        <f t="shared" si="31"/>
        <v/>
      </c>
      <c r="U270" s="184" t="str">
        <f t="shared" si="31"/>
        <v/>
      </c>
      <c r="V270" s="184" t="str">
        <f t="shared" si="31"/>
        <v/>
      </c>
      <c r="W270" s="184" t="str">
        <f t="shared" si="31"/>
        <v/>
      </c>
      <c r="X270" s="184" t="str">
        <f t="shared" si="31"/>
        <v/>
      </c>
      <c r="Y270" s="184" t="str">
        <f t="shared" si="31"/>
        <v/>
      </c>
      <c r="Z270" s="184" t="str">
        <f t="shared" si="31"/>
        <v/>
      </c>
      <c r="AA270" s="184" t="str">
        <f t="shared" si="31"/>
        <v/>
      </c>
      <c r="AB270" s="184" t="str">
        <f t="shared" si="31"/>
        <v/>
      </c>
      <c r="AC270" s="184" t="str">
        <f t="shared" si="31"/>
        <v/>
      </c>
      <c r="AD270" s="184" t="str">
        <f t="shared" si="31"/>
        <v/>
      </c>
      <c r="AE270" s="184" t="str">
        <f t="shared" si="31"/>
        <v/>
      </c>
      <c r="AF270" s="184" t="str">
        <f t="shared" si="31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2">IF(B238&lt;100,"",B238-1500)</f>
        <v/>
      </c>
      <c r="C271" s="184" t="str">
        <f t="shared" si="32"/>
        <v/>
      </c>
      <c r="D271" s="184" t="str">
        <f t="shared" si="32"/>
        <v/>
      </c>
      <c r="E271" s="184" t="str">
        <f t="shared" si="32"/>
        <v/>
      </c>
      <c r="F271" s="184" t="str">
        <f t="shared" si="32"/>
        <v/>
      </c>
      <c r="G271" s="184" t="str">
        <f t="shared" si="32"/>
        <v/>
      </c>
      <c r="H271" s="184" t="str">
        <f t="shared" si="32"/>
        <v/>
      </c>
      <c r="I271" s="184" t="str">
        <f t="shared" si="32"/>
        <v/>
      </c>
      <c r="J271" s="184" t="str">
        <f t="shared" si="32"/>
        <v/>
      </c>
      <c r="K271" s="184" t="str">
        <f t="shared" si="32"/>
        <v/>
      </c>
      <c r="L271" s="184" t="str">
        <f t="shared" si="32"/>
        <v/>
      </c>
      <c r="M271" s="184" t="str">
        <f t="shared" si="32"/>
        <v/>
      </c>
      <c r="N271" s="184" t="str">
        <f t="shared" si="32"/>
        <v/>
      </c>
      <c r="O271" s="184" t="str">
        <f t="shared" si="32"/>
        <v/>
      </c>
      <c r="P271" s="184" t="str">
        <f t="shared" si="32"/>
        <v/>
      </c>
      <c r="Q271" s="184" t="str">
        <f t="shared" si="32"/>
        <v/>
      </c>
      <c r="R271" s="184" t="str">
        <f t="shared" si="32"/>
        <v/>
      </c>
      <c r="S271" s="184" t="str">
        <f t="shared" si="32"/>
        <v/>
      </c>
      <c r="T271" s="184" t="str">
        <f t="shared" si="32"/>
        <v/>
      </c>
      <c r="U271" s="184" t="str">
        <f t="shared" si="32"/>
        <v/>
      </c>
      <c r="V271" s="184" t="str">
        <f t="shared" si="32"/>
        <v/>
      </c>
      <c r="W271" s="184" t="str">
        <f t="shared" si="32"/>
        <v/>
      </c>
      <c r="X271" s="184" t="str">
        <f t="shared" si="32"/>
        <v/>
      </c>
      <c r="Y271" s="184" t="str">
        <f t="shared" si="32"/>
        <v/>
      </c>
      <c r="Z271" s="184" t="str">
        <f t="shared" si="32"/>
        <v/>
      </c>
      <c r="AA271" s="184" t="str">
        <f t="shared" si="32"/>
        <v/>
      </c>
      <c r="AB271" s="184" t="str">
        <f t="shared" si="32"/>
        <v/>
      </c>
      <c r="AC271" s="184" t="str">
        <f t="shared" si="32"/>
        <v/>
      </c>
      <c r="AD271" s="184" t="str">
        <f t="shared" si="32"/>
        <v/>
      </c>
      <c r="AE271" s="184" t="str">
        <f t="shared" si="32"/>
        <v/>
      </c>
      <c r="AF271" s="184" t="str">
        <f t="shared" si="32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2275" priority="409">
      <formula>B$9&gt;=20/24</formula>
    </cfRule>
    <cfRule type="expression" dxfId="2274" priority="410">
      <formula>AND(B$9&gt;=14/24,B$9&lt;20/24)</formula>
    </cfRule>
    <cfRule type="expression" dxfId="2273" priority="411">
      <formula>AND(B$9&gt;=8/24,B$9&lt;14/24)</formula>
    </cfRule>
    <cfRule type="expression" dxfId="2272" priority="412">
      <formula>B$9&lt;8/24</formula>
    </cfRule>
  </conditionalFormatting>
  <conditionalFormatting sqref="AL4:AL6">
    <cfRule type="iconSet" priority="40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2271" priority="40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2270" priority="406">
      <formula>$AH12=0</formula>
    </cfRule>
  </conditionalFormatting>
  <conditionalFormatting sqref="A114">
    <cfRule type="expression" dxfId="2269" priority="405">
      <formula>$AH114=0</formula>
    </cfRule>
  </conditionalFormatting>
  <conditionalFormatting sqref="AL42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2268" priority="403">
      <formula>$AH45=0</formula>
    </cfRule>
  </conditionalFormatting>
  <conditionalFormatting sqref="A98">
    <cfRule type="expression" dxfId="2267" priority="402">
      <formula>$AH98=0</formula>
    </cfRule>
  </conditionalFormatting>
  <conditionalFormatting sqref="A18">
    <cfRule type="expression" dxfId="2266" priority="401">
      <formula>$AH18=0</formula>
    </cfRule>
  </conditionalFormatting>
  <conditionalFormatting sqref="A196:A201">
    <cfRule type="expression" dxfId="2265" priority="400">
      <formula>$AH196=0</formula>
    </cfRule>
  </conditionalFormatting>
  <conditionalFormatting sqref="A190:A195">
    <cfRule type="expression" dxfId="2264" priority="399">
      <formula>$AH190=0</formula>
    </cfRule>
  </conditionalFormatting>
  <conditionalFormatting sqref="A58">
    <cfRule type="expression" dxfId="2263" priority="398">
      <formula>$AH58=0</formula>
    </cfRule>
  </conditionalFormatting>
  <conditionalFormatting sqref="A94">
    <cfRule type="expression" dxfId="2262" priority="397">
      <formula>$AH94=0</formula>
    </cfRule>
  </conditionalFormatting>
  <conditionalFormatting sqref="AD99:AF99 L99:X99">
    <cfRule type="expression" dxfId="2261" priority="393">
      <formula>L$9&gt;=20/24</formula>
    </cfRule>
    <cfRule type="expression" dxfId="2260" priority="394">
      <formula>AND(L$9&gt;=14/24,L$9&lt;20/24)</formula>
    </cfRule>
    <cfRule type="expression" dxfId="2259" priority="395">
      <formula>AND(L$9&gt;=8/24,L$9&lt;14/24)</formula>
    </cfRule>
    <cfRule type="expression" dxfId="2258" priority="396">
      <formula>L$9&lt;8/24</formula>
    </cfRule>
  </conditionalFormatting>
  <conditionalFormatting sqref="AL43">
    <cfRule type="iconSet" priority="3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257" priority="415">
      <formula>C$9&gt;=20/24</formula>
    </cfRule>
    <cfRule type="expression" dxfId="2256" priority="416">
      <formula>AND(C$9&gt;=14/24,C$9&lt;20/24)</formula>
    </cfRule>
    <cfRule type="expression" dxfId="2255" priority="417">
      <formula>AND(C$9&gt;=8/24,C$9&lt;14/24)</formula>
    </cfRule>
    <cfRule type="expression" dxfId="2254" priority="418">
      <formula>C$9&lt;8/24</formula>
    </cfRule>
  </conditionalFormatting>
  <conditionalFormatting sqref="A233">
    <cfRule type="expression" dxfId="2253" priority="419">
      <formula>$AH233=0</formula>
    </cfRule>
  </conditionalFormatting>
  <conditionalFormatting sqref="AG245">
    <cfRule type="expression" dxfId="2252" priority="420">
      <formula>B$9&gt;=20/24</formula>
    </cfRule>
    <cfRule type="expression" dxfId="2251" priority="421">
      <formula>AND(B$9&gt;=14/24,B$9&lt;20/24)</formula>
    </cfRule>
    <cfRule type="expression" dxfId="2250" priority="422">
      <formula>AND(B$9&gt;=8/24,B$9&lt;14/24)</formula>
    </cfRule>
    <cfRule type="expression" dxfId="2249" priority="423">
      <formula>B$9&lt;8/24</formula>
    </cfRule>
  </conditionalFormatting>
  <conditionalFormatting sqref="S8">
    <cfRule type="expression" dxfId="2248" priority="388">
      <formula>U$9&gt;=20/24</formula>
    </cfRule>
    <cfRule type="expression" dxfId="2247" priority="389">
      <formula>AND(U$9&gt;=14/24,U$9&lt;20/24)</formula>
    </cfRule>
    <cfRule type="expression" dxfId="2246" priority="390">
      <formula>AND(U$9&gt;=8/24,U$9&lt;14/24)</formula>
    </cfRule>
    <cfRule type="expression" dxfId="2245" priority="391">
      <formula>U$9&lt;8/24</formula>
    </cfRule>
  </conditionalFormatting>
  <conditionalFormatting sqref="AB8">
    <cfRule type="expression" dxfId="2244" priority="384">
      <formula>AD$9&gt;=20/24</formula>
    </cfRule>
    <cfRule type="expression" dxfId="2243" priority="385">
      <formula>AND(AD$9&gt;=14/24,AD$9&lt;20/24)</formula>
    </cfRule>
    <cfRule type="expression" dxfId="2242" priority="386">
      <formula>AND(AD$9&gt;=8/24,AD$9&lt;14/24)</formula>
    </cfRule>
    <cfRule type="expression" dxfId="2241" priority="387">
      <formula>AD$9&lt;8/24</formula>
    </cfRule>
  </conditionalFormatting>
  <conditionalFormatting sqref="AH245:AX245">
    <cfRule type="expression" dxfId="2240" priority="424">
      <formula>AG$9&gt;=20/24</formula>
    </cfRule>
    <cfRule type="expression" dxfId="2239" priority="425">
      <formula>AND(AG$9&gt;=14/24,AG$9&lt;20/24)</formula>
    </cfRule>
    <cfRule type="expression" dxfId="2238" priority="426">
      <formula>AND(AG$9&gt;=8/24,AG$9&lt;14/24)</formula>
    </cfRule>
    <cfRule type="expression" dxfId="2237" priority="427">
      <formula>AG$9&lt;8/24</formula>
    </cfRule>
  </conditionalFormatting>
  <conditionalFormatting sqref="T245">
    <cfRule type="expression" dxfId="2236" priority="428">
      <formula>AX$9&gt;=20/24</formula>
    </cfRule>
    <cfRule type="expression" dxfId="2235" priority="429">
      <formula>AND(AX$9&gt;=14/24,AX$9&lt;20/24)</formula>
    </cfRule>
    <cfRule type="expression" dxfId="2234" priority="430">
      <formula>AND(AX$9&gt;=8/24,AX$9&lt;14/24)</formula>
    </cfRule>
    <cfRule type="expression" dxfId="2233" priority="431">
      <formula>AX$9&lt;8/24</formula>
    </cfRule>
  </conditionalFormatting>
  <conditionalFormatting sqref="A115:A116">
    <cfRule type="expression" dxfId="2232" priority="383">
      <formula>$AH115=0</formula>
    </cfRule>
  </conditionalFormatting>
  <conditionalFormatting sqref="E71:K71 M54:Q55 M71:AF71 AB54:AF57">
    <cfRule type="expression" dxfId="2231" priority="379">
      <formula>E$9&gt;=20/24</formula>
    </cfRule>
    <cfRule type="expression" dxfId="2230" priority="380">
      <formula>AND(E$9&gt;=14/24,E$9&lt;20/24)</formula>
    </cfRule>
    <cfRule type="expression" dxfId="2229" priority="381">
      <formula>AND(E$9&gt;=8/24,E$9&lt;14/24)</formula>
    </cfRule>
    <cfRule type="expression" dxfId="2228" priority="382">
      <formula>E$9&lt;8/24</formula>
    </cfRule>
  </conditionalFormatting>
  <conditionalFormatting sqref="M53:Q53 AB53:AF53">
    <cfRule type="expression" dxfId="2227" priority="375">
      <formula>M$9&gt;=20/24</formula>
    </cfRule>
    <cfRule type="expression" dxfId="2226" priority="376">
      <formula>AND(M$9&gt;=14/24,M$9&lt;20/24)</formula>
    </cfRule>
    <cfRule type="expression" dxfId="2225" priority="377">
      <formula>AND(M$9&gt;=8/24,M$9&lt;14/24)</formula>
    </cfRule>
    <cfRule type="expression" dxfId="2224" priority="378">
      <formula>M$9&lt;8/24</formula>
    </cfRule>
  </conditionalFormatting>
  <conditionalFormatting sqref="M53:Q55 AB53:AF57">
    <cfRule type="expression" dxfId="2223" priority="374">
      <formula>M53&gt;$AG53</formula>
    </cfRule>
  </conditionalFormatting>
  <conditionalFormatting sqref="D86:K86 X96:AF96 X47:AF47 M73:O73 M86:AF86 E73:K73 N72:O72 N100:X106 P72:Y73 Z72:AF74 Z67:AF69">
    <cfRule type="expression" dxfId="2222" priority="370">
      <formula>D$9&gt;=20/24</formula>
    </cfRule>
    <cfRule type="expression" dxfId="2221" priority="371">
      <formula>AND(D$9&gt;=14/24,D$9&lt;20/24)</formula>
    </cfRule>
    <cfRule type="expression" dxfId="2220" priority="372">
      <formula>AND(D$9&gt;=8/24,D$9&lt;14/24)</formula>
    </cfRule>
    <cfRule type="expression" dxfId="2219" priority="373">
      <formula>D$9&lt;8/24</formula>
    </cfRule>
  </conditionalFormatting>
  <conditionalFormatting sqref="X47:AF47 Z67:AF69">
    <cfRule type="expression" dxfId="2218" priority="369">
      <formula>X47&gt;$AG47</formula>
    </cfRule>
  </conditionalFormatting>
  <conditionalFormatting sqref="R53:Y57 Z53:AA58">
    <cfRule type="expression" dxfId="2217" priority="365">
      <formula>R$9&gt;=20/24</formula>
    </cfRule>
    <cfRule type="expression" dxfId="2216" priority="366">
      <formula>AND(R$9&gt;=14/24,R$9&lt;20/24)</formula>
    </cfRule>
    <cfRule type="expression" dxfId="2215" priority="367">
      <formula>AND(R$9&gt;=8/24,R$9&lt;14/24)</formula>
    </cfRule>
    <cfRule type="expression" dxfId="2214" priority="368">
      <formula>R$9&lt;8/24</formula>
    </cfRule>
  </conditionalFormatting>
  <conditionalFormatting sqref="R53:Y57 Z53:AA58">
    <cfRule type="expression" dxfId="2213" priority="364">
      <formula>R53&gt;$AG53</formula>
    </cfRule>
  </conditionalFormatting>
  <conditionalFormatting sqref="C97:AF97 D88:AF88">
    <cfRule type="expression" dxfId="2212" priority="360">
      <formula>C$9&gt;=20/24</formula>
    </cfRule>
    <cfRule type="expression" dxfId="2211" priority="361">
      <formula>AND(C$9&gt;=14/24,C$9&lt;20/24)</formula>
    </cfRule>
    <cfRule type="expression" dxfId="2210" priority="362">
      <formula>AND(C$9&gt;=8/24,C$9&lt;14/24)</formula>
    </cfRule>
    <cfRule type="expression" dxfId="2209" priority="363">
      <formula>C$9&lt;8/24</formula>
    </cfRule>
  </conditionalFormatting>
  <conditionalFormatting sqref="T47:W47">
    <cfRule type="expression" dxfId="2208" priority="356">
      <formula>T$9&gt;=20/24</formula>
    </cfRule>
    <cfRule type="expression" dxfId="2207" priority="357">
      <formula>AND(T$9&gt;=14/24,T$9&lt;20/24)</formula>
    </cfRule>
    <cfRule type="expression" dxfId="2206" priority="358">
      <formula>AND(T$9&gt;=8/24,T$9&lt;14/24)</formula>
    </cfRule>
    <cfRule type="expression" dxfId="2205" priority="359">
      <formula>T$9&lt;8/24</formula>
    </cfRule>
  </conditionalFormatting>
  <conditionalFormatting sqref="T47:W47">
    <cfRule type="expression" dxfId="2204" priority="355">
      <formula>T47&gt;$AG47</formula>
    </cfRule>
  </conditionalFormatting>
  <conditionalFormatting sqref="E54:K55">
    <cfRule type="expression" dxfId="2203" priority="351">
      <formula>E$9&gt;=20/24</formula>
    </cfRule>
    <cfRule type="expression" dxfId="2202" priority="352">
      <formula>AND(E$9&gt;=14/24,E$9&lt;20/24)</formula>
    </cfRule>
    <cfRule type="expression" dxfId="2201" priority="353">
      <formula>AND(E$9&gt;=8/24,E$9&lt;14/24)</formula>
    </cfRule>
    <cfRule type="expression" dxfId="2200" priority="354">
      <formula>E$9&lt;8/24</formula>
    </cfRule>
  </conditionalFormatting>
  <conditionalFormatting sqref="E53:K53">
    <cfRule type="expression" dxfId="2199" priority="347">
      <formula>E$9&gt;=20/24</formula>
    </cfRule>
    <cfRule type="expression" dxfId="2198" priority="348">
      <formula>AND(E$9&gt;=14/24,E$9&lt;20/24)</formula>
    </cfRule>
    <cfRule type="expression" dxfId="2197" priority="349">
      <formula>AND(E$9&gt;=8/24,E$9&lt;14/24)</formula>
    </cfRule>
    <cfRule type="expression" dxfId="2196" priority="350">
      <formula>E$9&lt;8/24</formula>
    </cfRule>
  </conditionalFormatting>
  <conditionalFormatting sqref="E53:K55">
    <cfRule type="expression" dxfId="2195" priority="346">
      <formula>E53&gt;$AG53</formula>
    </cfRule>
  </conditionalFormatting>
  <conditionalFormatting sqref="AG70 AG87 L100:M106 W67:Y69">
    <cfRule type="expression" dxfId="2194" priority="342">
      <formula>L$9&gt;=20/24</formula>
    </cfRule>
    <cfRule type="expression" dxfId="2193" priority="343">
      <formula>AND(L$9&gt;=14/24,L$9&lt;20/24)</formula>
    </cfRule>
    <cfRule type="expression" dxfId="2192" priority="344">
      <formula>AND(L$9&gt;=8/24,L$9&lt;14/24)</formula>
    </cfRule>
    <cfRule type="expression" dxfId="2191" priority="345">
      <formula>L$9&lt;8/24</formula>
    </cfRule>
  </conditionalFormatting>
  <conditionalFormatting sqref="AG48 AG66 AG70 W67:Y69">
    <cfRule type="expression" dxfId="2190" priority="341">
      <formula>W48&gt;$AG48</formula>
    </cfRule>
  </conditionalFormatting>
  <conditionalFormatting sqref="AB58:AF58">
    <cfRule type="expression" dxfId="2189" priority="337">
      <formula>AB$9&gt;=20/24</formula>
    </cfRule>
    <cfRule type="expression" dxfId="2188" priority="338">
      <formula>AND(AB$9&gt;=14/24,AB$9&lt;20/24)</formula>
    </cfRule>
    <cfRule type="expression" dxfId="2187" priority="339">
      <formula>AND(AB$9&gt;=8/24,AB$9&lt;14/24)</formula>
    </cfRule>
    <cfRule type="expression" dxfId="2186" priority="340">
      <formula>AB$9&lt;8/24</formula>
    </cfRule>
  </conditionalFormatting>
  <conditionalFormatting sqref="AB58:AF58">
    <cfRule type="expression" dxfId="2185" priority="336">
      <formula>AB58&gt;$AG58</formula>
    </cfRule>
  </conditionalFormatting>
  <conditionalFormatting sqref="A43">
    <cfRule type="expression" dxfId="2184" priority="335">
      <formula>$AH43=0</formula>
    </cfRule>
  </conditionalFormatting>
  <conditionalFormatting sqref="X91:AF95">
    <cfRule type="expression" dxfId="2183" priority="331">
      <formula>X$9&gt;=20/24</formula>
    </cfRule>
    <cfRule type="expression" dxfId="2182" priority="332">
      <formula>AND(X$9&gt;=14/24,X$9&lt;20/24)</formula>
    </cfRule>
    <cfRule type="expression" dxfId="2181" priority="333">
      <formula>AND(X$9&gt;=8/24,X$9&lt;14/24)</formula>
    </cfRule>
    <cfRule type="expression" dxfId="2180" priority="334">
      <formula>X$9&lt;8/24</formula>
    </cfRule>
  </conditionalFormatting>
  <conditionalFormatting sqref="AL45 AL41 AL22:AL32 AL38:AL39 AL7:AL15 AL17:AL20 AL34:AL36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M49:R49 R50:R51 S49:AF51">
    <cfRule type="expression" dxfId="2179" priority="327">
      <formula>M$9&gt;=20/24</formula>
    </cfRule>
    <cfRule type="expression" dxfId="2178" priority="328">
      <formula>AND(M$9&gt;=14/24,M$9&lt;20/24)</formula>
    </cfRule>
    <cfRule type="expression" dxfId="2177" priority="329">
      <formula>AND(M$9&gt;=8/24,M$9&lt;14/24)</formula>
    </cfRule>
    <cfRule type="expression" dxfId="2176" priority="330">
      <formula>M$9&lt;8/24</formula>
    </cfRule>
  </conditionalFormatting>
  <conditionalFormatting sqref="M49:R49 R50:R51 S49:AF51">
    <cfRule type="expression" dxfId="2175" priority="326">
      <formula>M49&gt;$AG49</formula>
    </cfRule>
  </conditionalFormatting>
  <conditionalFormatting sqref="AG52">
    <cfRule type="expression" dxfId="2174" priority="322">
      <formula>AG$9&gt;=20/24</formula>
    </cfRule>
    <cfRule type="expression" dxfId="2173" priority="323">
      <formula>AND(AG$9&gt;=14/24,AG$9&lt;20/24)</formula>
    </cfRule>
    <cfRule type="expression" dxfId="2172" priority="324">
      <formula>AND(AG$9&gt;=8/24,AG$9&lt;14/24)</formula>
    </cfRule>
    <cfRule type="expression" dxfId="2171" priority="325">
      <formula>AG$9&lt;8/24</formula>
    </cfRule>
  </conditionalFormatting>
  <conditionalFormatting sqref="AG52">
    <cfRule type="expression" dxfId="2170" priority="321">
      <formula>AG52&gt;$AG52</formula>
    </cfRule>
  </conditionalFormatting>
  <conditionalFormatting sqref="C107:AF107">
    <cfRule type="expression" dxfId="2169" priority="317">
      <formula>C$9&gt;=20/24</formula>
    </cfRule>
    <cfRule type="expression" dxfId="2168" priority="318">
      <formula>AND(C$9&gt;=14/24,C$9&lt;20/24)</formula>
    </cfRule>
    <cfRule type="expression" dxfId="2167" priority="319">
      <formula>AND(C$9&gt;=8/24,C$9&lt;14/24)</formula>
    </cfRule>
    <cfRule type="expression" dxfId="2166" priority="320">
      <formula>C$9&lt;8/24</formula>
    </cfRule>
  </conditionalFormatting>
  <conditionalFormatting sqref="AL40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165" priority="315">
      <formula>$AH40=0</formula>
    </cfRule>
  </conditionalFormatting>
  <conditionalFormatting sqref="A90">
    <cfRule type="expression" dxfId="2164" priority="313">
      <formula>$AH90=0</formula>
    </cfRule>
  </conditionalFormatting>
  <conditionalFormatting sqref="A87">
    <cfRule type="expression" dxfId="2163" priority="314">
      <formula>$AH87=0</formula>
    </cfRule>
  </conditionalFormatting>
  <conditionalFormatting sqref="D110:AF110">
    <cfRule type="expression" dxfId="2162" priority="309">
      <formula>D$9&gt;=20/24</formula>
    </cfRule>
    <cfRule type="expression" dxfId="2161" priority="310">
      <formula>AND(D$9&gt;=14/24,D$9&lt;20/24)</formula>
    </cfRule>
    <cfRule type="expression" dxfId="2160" priority="311">
      <formula>AND(D$9&gt;=8/24,D$9&lt;14/24)</formula>
    </cfRule>
    <cfRule type="expression" dxfId="2159" priority="312">
      <formula>D$9&lt;8/24</formula>
    </cfRule>
  </conditionalFormatting>
  <conditionalFormatting sqref="A110">
    <cfRule type="expression" dxfId="2158" priority="308">
      <formula>$AH110=0</formula>
    </cfRule>
  </conditionalFormatting>
  <conditionalFormatting sqref="A21">
    <cfRule type="expression" dxfId="2157" priority="306">
      <formula>$AH21=0</formula>
    </cfRule>
  </conditionalFormatting>
  <conditionalFormatting sqref="AL21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156" priority="304">
      <formula>$AH37=0</formula>
    </cfRule>
  </conditionalFormatting>
  <conditionalFormatting sqref="AL37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2155" priority="300">
      <formula>Y$9&gt;=20/24</formula>
    </cfRule>
    <cfRule type="expression" dxfId="2154" priority="301">
      <formula>AND(Y$9&gt;=14/24,Y$9&lt;20/24)</formula>
    </cfRule>
    <cfRule type="expression" dxfId="2153" priority="302">
      <formula>AND(Y$9&gt;=8/24,Y$9&lt;14/24)</formula>
    </cfRule>
    <cfRule type="expression" dxfId="2152" priority="303">
      <formula>Y$9&lt;8/24</formula>
    </cfRule>
  </conditionalFormatting>
  <conditionalFormatting sqref="Y100:AF106">
    <cfRule type="expression" dxfId="2151" priority="296">
      <formula>Y$9&gt;=20/24</formula>
    </cfRule>
    <cfRule type="expression" dxfId="2150" priority="297">
      <formula>AND(Y$9&gt;=14/24,Y$9&lt;20/24)</formula>
    </cfRule>
    <cfRule type="expression" dxfId="2149" priority="298">
      <formula>AND(Y$9&gt;=8/24,Y$9&lt;14/24)</formula>
    </cfRule>
    <cfRule type="expression" dxfId="2148" priority="299">
      <formula>Y$9&lt;8/24</formula>
    </cfRule>
  </conditionalFormatting>
  <conditionalFormatting sqref="C109 C111:C116 Z34:AF43 Z18:AF32">
    <cfRule type="expression" dxfId="2147" priority="292">
      <formula>C$9&gt;=20/24</formula>
    </cfRule>
    <cfRule type="expression" dxfId="2146" priority="293">
      <formula>AND(C$9&gt;=14/24,C$9&lt;20/24)</formula>
    </cfRule>
    <cfRule type="expression" dxfId="2145" priority="294">
      <formula>AND(C$9&gt;=8/24,C$9&lt;14/24)</formula>
    </cfRule>
    <cfRule type="expression" dxfId="2144" priority="295">
      <formula>C$9&lt;8/24</formula>
    </cfRule>
  </conditionalFormatting>
  <conditionalFormatting sqref="C47:S47">
    <cfRule type="expression" dxfId="2143" priority="288">
      <formula>C$9&gt;=20/24</formula>
    </cfRule>
    <cfRule type="expression" dxfId="2142" priority="289">
      <formula>AND(C$9&gt;=14/24,C$9&lt;20/24)</formula>
    </cfRule>
    <cfRule type="expression" dxfId="2141" priority="290">
      <formula>AND(C$9&gt;=8/24,C$9&lt;14/24)</formula>
    </cfRule>
    <cfRule type="expression" dxfId="2140" priority="291">
      <formula>C$9&lt;8/24</formula>
    </cfRule>
  </conditionalFormatting>
  <conditionalFormatting sqref="C47:S47 Z34:AF43 Z18:AF32">
    <cfRule type="expression" dxfId="2139" priority="287">
      <formula>C18&gt;$AG18</formula>
    </cfRule>
  </conditionalFormatting>
  <conditionalFormatting sqref="C99:K99">
    <cfRule type="expression" dxfId="2138" priority="283">
      <formula>C$9&gt;=20/24</formula>
    </cfRule>
    <cfRule type="expression" dxfId="2137" priority="284">
      <formula>AND(C$9&gt;=14/24,C$9&lt;20/24)</formula>
    </cfRule>
    <cfRule type="expression" dxfId="2136" priority="285">
      <formula>AND(C$9&gt;=8/24,C$9&lt;14/24)</formula>
    </cfRule>
    <cfRule type="expression" dxfId="2135" priority="286">
      <formula>C$9&lt;8/24</formula>
    </cfRule>
  </conditionalFormatting>
  <conditionalFormatting sqref="C86 C96:K96 C83:K85 M83:AF85 M96:W96 E74:K75 C100:K106 M74:X75 Q76:X76 Y74:Y76 Z75:AF76">
    <cfRule type="expression" dxfId="2134" priority="279">
      <formula>C$9&gt;=20/24</formula>
    </cfRule>
    <cfRule type="expression" dxfId="2133" priority="280">
      <formula>AND(C$9&gt;=14/24,C$9&lt;20/24)</formula>
    </cfRule>
    <cfRule type="expression" dxfId="2132" priority="281">
      <formula>AND(C$9&gt;=8/24,C$9&lt;14/24)</formula>
    </cfRule>
    <cfRule type="expression" dxfId="2131" priority="282">
      <formula>C$9&lt;8/24</formula>
    </cfRule>
  </conditionalFormatting>
  <conditionalFormatting sqref="B71:D71 B54:D57 E56:K57">
    <cfRule type="expression" dxfId="2130" priority="202">
      <formula>B$9&gt;=20/24</formula>
    </cfRule>
    <cfRule type="expression" dxfId="2129" priority="203">
      <formula>AND(B$9&gt;=14/24,B$9&lt;20/24)</formula>
    </cfRule>
    <cfRule type="expression" dxfId="2128" priority="204">
      <formula>AND(B$9&gt;=8/24,B$9&lt;14/24)</formula>
    </cfRule>
    <cfRule type="expression" dxfId="2127" priority="205">
      <formula>B$9&lt;8/24</formula>
    </cfRule>
  </conditionalFormatting>
  <conditionalFormatting sqref="C87:K87 C89:K89 C98:AF98 C70:K70 M70:AF70 M89:AF89 M87:AF87">
    <cfRule type="expression" dxfId="2126" priority="269">
      <formula>C$9&gt;=20/24</formula>
    </cfRule>
    <cfRule type="expression" dxfId="2125" priority="270">
      <formula>AND(C$9&gt;=14/24,C$9&lt;20/24)</formula>
    </cfRule>
    <cfRule type="expression" dxfId="2124" priority="271">
      <formula>AND(C$9&gt;=8/24,C$9&lt;14/24)</formula>
    </cfRule>
    <cfRule type="expression" dxfId="2123" priority="272">
      <formula>C$9&lt;8/24</formula>
    </cfRule>
  </conditionalFormatting>
  <conditionalFormatting sqref="C70:K70 C48:AF48 C65:K66 M65:AF66 M70:AF70">
    <cfRule type="expression" dxfId="2122" priority="268">
      <formula>C48&gt;$AG48</formula>
    </cfRule>
  </conditionalFormatting>
  <conditionalFormatting sqref="C82:K82 M82:AF82">
    <cfRule type="expression" dxfId="2121" priority="264">
      <formula>C$9&gt;=20/24</formula>
    </cfRule>
    <cfRule type="expression" dxfId="2120" priority="265">
      <formula>AND(C$9&gt;=14/24,C$9&lt;20/24)</formula>
    </cfRule>
    <cfRule type="expression" dxfId="2119" priority="266">
      <formula>AND(C$9&gt;=8/24,C$9&lt;14/24)</formula>
    </cfRule>
    <cfRule type="expression" dxfId="2118" priority="267">
      <formula>C$9&lt;8/24</formula>
    </cfRule>
  </conditionalFormatting>
  <conditionalFormatting sqref="C91:K95 M91:W95">
    <cfRule type="expression" dxfId="2117" priority="260">
      <formula>C$9&gt;=20/24</formula>
    </cfRule>
    <cfRule type="expression" dxfId="2116" priority="261">
      <formula>AND(C$9&gt;=14/24,C$9&lt;20/24)</formula>
    </cfRule>
    <cfRule type="expression" dxfId="2115" priority="262">
      <formula>AND(C$9&gt;=8/24,C$9&lt;14/24)</formula>
    </cfRule>
    <cfRule type="expression" dxfId="2114" priority="263">
      <formula>C$9&lt;8/24</formula>
    </cfRule>
  </conditionalFormatting>
  <conditionalFormatting sqref="C52:AF52">
    <cfRule type="expression" dxfId="2113" priority="256">
      <formula>C$9&gt;=20/24</formula>
    </cfRule>
    <cfRule type="expression" dxfId="2112" priority="257">
      <formula>AND(C$9&gt;=14/24,C$9&lt;20/24)</formula>
    </cfRule>
    <cfRule type="expression" dxfId="2111" priority="258">
      <formula>AND(C$9&gt;=8/24,C$9&lt;14/24)</formula>
    </cfRule>
    <cfRule type="expression" dxfId="2110" priority="259">
      <formula>C$9&lt;8/24</formula>
    </cfRule>
  </conditionalFormatting>
  <conditionalFormatting sqref="C52:AF52">
    <cfRule type="expression" dxfId="2109" priority="255">
      <formula>C52&gt;$AG52</formula>
    </cfRule>
  </conditionalFormatting>
  <conditionalFormatting sqref="B49:L51 M50:Q51">
    <cfRule type="expression" dxfId="2108" priority="170">
      <formula>B$9&gt;=20/24</formula>
    </cfRule>
    <cfRule type="expression" dxfId="2107" priority="171">
      <formula>AND(B$9&gt;=14/24,B$9&lt;20/24)</formula>
    </cfRule>
    <cfRule type="expression" dxfId="2106" priority="172">
      <formula>AND(B$9&gt;=8/24,B$9&lt;14/24)</formula>
    </cfRule>
    <cfRule type="expression" dxfId="2105" priority="173">
      <formula>B$9&lt;8/24</formula>
    </cfRule>
  </conditionalFormatting>
  <conditionalFormatting sqref="C110">
    <cfRule type="expression" dxfId="2104" priority="247">
      <formula>C$9&gt;=20/24</formula>
    </cfRule>
    <cfRule type="expression" dxfId="2103" priority="248">
      <formula>AND(C$9&gt;=14/24,C$9&lt;20/24)</formula>
    </cfRule>
    <cfRule type="expression" dxfId="2102" priority="249">
      <formula>AND(C$9&gt;=8/24,C$9&lt;14/24)</formula>
    </cfRule>
    <cfRule type="expression" dxfId="2101" priority="250">
      <formula>C$9&lt;8/24</formula>
    </cfRule>
  </conditionalFormatting>
  <conditionalFormatting sqref="Z59:AF64">
    <cfRule type="expression" dxfId="2100" priority="243">
      <formula>Z$9&gt;=20/24</formula>
    </cfRule>
    <cfRule type="expression" dxfId="2099" priority="244">
      <formula>AND(Z$9&gt;=14/24,Z$9&lt;20/24)</formula>
    </cfRule>
    <cfRule type="expression" dxfId="2098" priority="245">
      <formula>AND(Z$9&gt;=8/24,Z$9&lt;14/24)</formula>
    </cfRule>
    <cfRule type="expression" dxfId="2097" priority="246">
      <formula>Z$9&lt;8/24</formula>
    </cfRule>
  </conditionalFormatting>
  <conditionalFormatting sqref="Z59:AF64">
    <cfRule type="expression" dxfId="2096" priority="242">
      <formula>Z59&gt;$AG59</formula>
    </cfRule>
  </conditionalFormatting>
  <conditionalFormatting sqref="P45:AF45 Z13:AF15">
    <cfRule type="expression" dxfId="2095" priority="241">
      <formula>P13&gt;$AG13</formula>
    </cfRule>
  </conditionalFormatting>
  <conditionalFormatting sqref="Z12:AF12">
    <cfRule type="expression" dxfId="2094" priority="237">
      <formula>Z$9&gt;=20/24</formula>
    </cfRule>
    <cfRule type="expression" dxfId="2093" priority="238">
      <formula>AND(Z$9&gt;=14/24,Z$9&lt;20/24)</formula>
    </cfRule>
    <cfRule type="expression" dxfId="2092" priority="239">
      <formula>AND(Z$9&gt;=8/24,Z$9&lt;14/24)</formula>
    </cfRule>
    <cfRule type="expression" dxfId="2091" priority="240">
      <formula>Z$9&lt;8/24</formula>
    </cfRule>
  </conditionalFormatting>
  <conditionalFormatting sqref="Z12:AF12">
    <cfRule type="expression" dxfId="2090" priority="236">
      <formula>Z12&gt;$AG12</formula>
    </cfRule>
  </conditionalFormatting>
  <conditionalFormatting sqref="Z13:AF15">
    <cfRule type="expression" dxfId="2089" priority="232">
      <formula>Z$9&gt;=20/24</formula>
    </cfRule>
    <cfRule type="expression" dxfId="2088" priority="233">
      <formula>AND(Z$9&gt;=14/24,Z$9&lt;20/24)</formula>
    </cfRule>
    <cfRule type="expression" dxfId="2087" priority="234">
      <formula>AND(Z$9&gt;=8/24,Z$9&lt;14/24)</formula>
    </cfRule>
    <cfRule type="expression" dxfId="2086" priority="235">
      <formula>Z$9&lt;8/24</formula>
    </cfRule>
  </conditionalFormatting>
  <conditionalFormatting sqref="P45:AF45">
    <cfRule type="expression" dxfId="2085" priority="228">
      <formula>P$9&gt;=20/24</formula>
    </cfRule>
    <cfRule type="expression" dxfId="2084" priority="229">
      <formula>AND(P$9&gt;=14/24,P$9&lt;20/24)</formula>
    </cfRule>
    <cfRule type="expression" dxfId="2083" priority="230">
      <formula>AND(P$9&gt;=8/24,P$9&lt;14/24)</formula>
    </cfRule>
    <cfRule type="expression" dxfId="2082" priority="231">
      <formula>P$9&lt;8/24</formula>
    </cfRule>
  </conditionalFormatting>
  <conditionalFormatting sqref="Z77:AF81">
    <cfRule type="expression" dxfId="2081" priority="224">
      <formula>Z$9&gt;=20/24</formula>
    </cfRule>
    <cfRule type="expression" dxfId="2080" priority="225">
      <formula>AND(Z$9&gt;=14/24,Z$9&lt;20/24)</formula>
    </cfRule>
    <cfRule type="expression" dxfId="2079" priority="226">
      <formula>AND(Z$9&gt;=8/24,Z$9&lt;14/24)</formula>
    </cfRule>
    <cfRule type="expression" dxfId="2078" priority="227">
      <formula>Z$9&lt;8/24</formula>
    </cfRule>
  </conditionalFormatting>
  <conditionalFormatting sqref="AL78:AN78 AL84:AN84 AN79:AN80">
    <cfRule type="expression" dxfId="2077" priority="220">
      <formula>AL$9&gt;=20/24</formula>
    </cfRule>
    <cfRule type="expression" dxfId="2076" priority="221">
      <formula>AND(AL$9&gt;=14/24,AL$9&lt;20/24)</formula>
    </cfRule>
    <cfRule type="expression" dxfId="2075" priority="222">
      <formula>AND(AL$9&gt;=8/24,AL$9&lt;14/24)</formula>
    </cfRule>
    <cfRule type="expression" dxfId="2074" priority="223">
      <formula>AL$9&lt;8/24</formula>
    </cfRule>
  </conditionalFormatting>
  <conditionalFormatting sqref="AN81:AN82">
    <cfRule type="expression" dxfId="2073" priority="216">
      <formula>AN$9&gt;=20/24</formula>
    </cfRule>
    <cfRule type="expression" dxfId="2072" priority="217">
      <formula>AND(AN$9&gt;=14/24,AN$9&lt;20/24)</formula>
    </cfRule>
    <cfRule type="expression" dxfId="2071" priority="218">
      <formula>AND(AN$9&gt;=8/24,AN$9&lt;14/24)</formula>
    </cfRule>
    <cfRule type="expression" dxfId="2070" priority="219">
      <formula>AN$9&lt;8/24</formula>
    </cfRule>
  </conditionalFormatting>
  <conditionalFormatting sqref="AL79:AM83">
    <cfRule type="expression" dxfId="2069" priority="433">
      <formula>AJ$9&gt;=20/24</formula>
    </cfRule>
    <cfRule type="expression" dxfId="2068" priority="434">
      <formula>AND(AJ$9&gt;=14/24,AJ$9&lt;20/24)</formula>
    </cfRule>
    <cfRule type="expression" dxfId="2067" priority="435">
      <formula>AND(AJ$9&gt;=8/24,AJ$9&lt;14/24)</formula>
    </cfRule>
    <cfRule type="expression" dxfId="2066" priority="436">
      <formula>AJ$9&lt;8/24</formula>
    </cfRule>
  </conditionalFormatting>
  <conditionalFormatting sqref="A117">
    <cfRule type="expression" dxfId="2065" priority="215">
      <formula>$AH117=0</formula>
    </cfRule>
  </conditionalFormatting>
  <conditionalFormatting sqref="B109 B111:B116 B45:O45 B12:Y15 B18:Y32 B34:Y43 B17:AF17">
    <cfRule type="expression" dxfId="2064" priority="211">
      <formula>B$9&gt;=20/24</formula>
    </cfRule>
    <cfRule type="expression" dxfId="2063" priority="212">
      <formula>AND(B$9&gt;=14/24,B$9&lt;20/24)</formula>
    </cfRule>
    <cfRule type="expression" dxfId="2062" priority="213">
      <formula>AND(B$9&gt;=8/24,B$9&lt;14/24)</formula>
    </cfRule>
    <cfRule type="expression" dxfId="2061" priority="214">
      <formula>B$9&lt;8/24</formula>
    </cfRule>
  </conditionalFormatting>
  <conditionalFormatting sqref="B45:O45 B12:Y15 B18:Y32 B34:Y43 B17:AF17">
    <cfRule type="expression" dxfId="2060" priority="210">
      <formula>B12&gt;$AG12</formula>
    </cfRule>
  </conditionalFormatting>
  <conditionalFormatting sqref="B99">
    <cfRule type="expression" dxfId="2059" priority="206">
      <formula>B$9&gt;=20/24</formula>
    </cfRule>
    <cfRule type="expression" dxfId="2058" priority="207">
      <formula>AND(B$9&gt;=14/24,B$9&lt;20/24)</formula>
    </cfRule>
    <cfRule type="expression" dxfId="2057" priority="208">
      <formula>AND(B$9&gt;=8/24,B$9&lt;14/24)</formula>
    </cfRule>
    <cfRule type="expression" dxfId="2056" priority="209">
      <formula>B$9&lt;8/24</formula>
    </cfRule>
  </conditionalFormatting>
  <conditionalFormatting sqref="B53:D53">
    <cfRule type="expression" dxfId="2055" priority="198">
      <formula>B$9&gt;=20/24</formula>
    </cfRule>
    <cfRule type="expression" dxfId="2054" priority="199">
      <formula>AND(B$9&gt;=14/24,B$9&lt;20/24)</formula>
    </cfRule>
    <cfRule type="expression" dxfId="2053" priority="200">
      <formula>AND(B$9&gt;=8/24,B$9&lt;14/24)</formula>
    </cfRule>
    <cfRule type="expression" dxfId="2052" priority="201">
      <formula>B$9&lt;8/24</formula>
    </cfRule>
  </conditionalFormatting>
  <conditionalFormatting sqref="B53:D57 E56:K57">
    <cfRule type="expression" dxfId="2051" priority="197">
      <formula>B53&gt;$AG53</formula>
    </cfRule>
  </conditionalFormatting>
  <conditionalFormatting sqref="B96 B100:B106 B86 B47 B72:D74 B67:K69 E72:K72">
    <cfRule type="expression" dxfId="2050" priority="193">
      <formula>B$9&gt;=20/24</formula>
    </cfRule>
    <cfRule type="expression" dxfId="2049" priority="194">
      <formula>AND(B$9&gt;=14/24,B$9&lt;20/24)</formula>
    </cfRule>
    <cfRule type="expression" dxfId="2048" priority="195">
      <formula>AND(B$9&gt;=8/24,B$9&lt;14/24)</formula>
    </cfRule>
    <cfRule type="expression" dxfId="2047" priority="196">
      <formula>B$9&lt;8/24</formula>
    </cfRule>
  </conditionalFormatting>
  <conditionalFormatting sqref="B47 B67:K69">
    <cfRule type="expression" dxfId="2046" priority="192">
      <formula>B47&gt;$AG47</formula>
    </cfRule>
  </conditionalFormatting>
  <conditionalFormatting sqref="B97 B88:C88">
    <cfRule type="expression" dxfId="2045" priority="188">
      <formula>B$9&gt;=20/24</formula>
    </cfRule>
    <cfRule type="expression" dxfId="2044" priority="189">
      <formula>AND(B$9&gt;=14/24,B$9&lt;20/24)</formula>
    </cfRule>
    <cfRule type="expression" dxfId="2043" priority="190">
      <formula>AND(B$9&gt;=8/24,B$9&lt;14/24)</formula>
    </cfRule>
    <cfRule type="expression" dxfId="2042" priority="191">
      <formula>B$9&lt;8/24</formula>
    </cfRule>
  </conditionalFormatting>
  <conditionalFormatting sqref="B46:AF46">
    <cfRule type="expression" dxfId="2041" priority="184">
      <formula>B$9&gt;=20/24</formula>
    </cfRule>
    <cfRule type="expression" dxfId="2040" priority="185">
      <formula>AND(B$9&gt;=14/24,B$9&lt;20/24)</formula>
    </cfRule>
    <cfRule type="expression" dxfId="2039" priority="186">
      <formula>AND(B$9&gt;=8/24,B$9&lt;14/24)</formula>
    </cfRule>
    <cfRule type="expression" dxfId="2038" priority="187">
      <formula>B$9&lt;8/24</formula>
    </cfRule>
  </conditionalFormatting>
  <conditionalFormatting sqref="B46:AF46">
    <cfRule type="expression" dxfId="2037" priority="183">
      <formula>B46&gt;$AG46</formula>
    </cfRule>
  </conditionalFormatting>
  <conditionalFormatting sqref="B58:K58">
    <cfRule type="expression" dxfId="2036" priority="179">
      <formula>B$9&gt;=20/24</formula>
    </cfRule>
    <cfRule type="expression" dxfId="2035" priority="180">
      <formula>AND(B$9&gt;=14/24,B$9&lt;20/24)</formula>
    </cfRule>
    <cfRule type="expression" dxfId="2034" priority="181">
      <formula>AND(B$9&gt;=8/24,B$9&lt;14/24)</formula>
    </cfRule>
    <cfRule type="expression" dxfId="2033" priority="182">
      <formula>B$9&lt;8/24</formula>
    </cfRule>
  </conditionalFormatting>
  <conditionalFormatting sqref="B58:K58">
    <cfRule type="expression" dxfId="2032" priority="178">
      <formula>B58&gt;$AG58</formula>
    </cfRule>
  </conditionalFormatting>
  <conditionalFormatting sqref="B91:B95">
    <cfRule type="expression" dxfId="2031" priority="174">
      <formula>B$9&gt;=20/24</formula>
    </cfRule>
    <cfRule type="expression" dxfId="2030" priority="175">
      <formula>AND(B$9&gt;=14/24,B$9&lt;20/24)</formula>
    </cfRule>
    <cfRule type="expression" dxfId="2029" priority="176">
      <formula>AND(B$9&gt;=8/24,B$9&lt;14/24)</formula>
    </cfRule>
    <cfRule type="expression" dxfId="2028" priority="177">
      <formula>B$9&lt;8/24</formula>
    </cfRule>
  </conditionalFormatting>
  <conditionalFormatting sqref="B49:L51 M50:Q51">
    <cfRule type="expression" dxfId="2027" priority="169">
      <formula>B49&gt;$AG49</formula>
    </cfRule>
  </conditionalFormatting>
  <conditionalFormatting sqref="B107">
    <cfRule type="expression" dxfId="2026" priority="165">
      <formula>B$9&gt;=20/24</formula>
    </cfRule>
    <cfRule type="expression" dxfId="2025" priority="166">
      <formula>AND(B$9&gt;=14/24,B$9&lt;20/24)</formula>
    </cfRule>
    <cfRule type="expression" dxfId="2024" priority="167">
      <formula>AND(B$9&gt;=8/24,B$9&lt;14/24)</formula>
    </cfRule>
    <cfRule type="expression" dxfId="2023" priority="168">
      <formula>B$9&lt;8/24</formula>
    </cfRule>
  </conditionalFormatting>
  <conditionalFormatting sqref="B110">
    <cfRule type="expression" dxfId="2022" priority="161">
      <formula>B$9&gt;=20/24</formula>
    </cfRule>
    <cfRule type="expression" dxfId="2021" priority="162">
      <formula>AND(B$9&gt;=14/24,B$9&lt;20/24)</formula>
    </cfRule>
    <cfRule type="expression" dxfId="2020" priority="163">
      <formula>AND(B$9&gt;=8/24,B$9&lt;14/24)</formula>
    </cfRule>
    <cfRule type="expression" dxfId="2019" priority="164">
      <formula>B$9&lt;8/24</formula>
    </cfRule>
  </conditionalFormatting>
  <conditionalFormatting sqref="B83:B85 B75:D76 E76:K76">
    <cfRule type="expression" dxfId="2018" priority="157">
      <formula>B$9&gt;=20/24</formula>
    </cfRule>
    <cfRule type="expression" dxfId="2017" priority="158">
      <formula>AND(B$9&gt;=14/24,B$9&lt;20/24)</formula>
    </cfRule>
    <cfRule type="expression" dxfId="2016" priority="159">
      <formula>AND(B$9&gt;=8/24,B$9&lt;14/24)</formula>
    </cfRule>
    <cfRule type="expression" dxfId="2015" priority="160">
      <formula>B$9&lt;8/24</formula>
    </cfRule>
  </conditionalFormatting>
  <conditionalFormatting sqref="B89 B98 B70 B87">
    <cfRule type="expression" dxfId="2014" priority="153">
      <formula>B$9&gt;=20/24</formula>
    </cfRule>
    <cfRule type="expression" dxfId="2013" priority="154">
      <formula>AND(B$9&gt;=14/24,B$9&lt;20/24)</formula>
    </cfRule>
    <cfRule type="expression" dxfId="2012" priority="155">
      <formula>AND(B$9&gt;=8/24,B$9&lt;14/24)</formula>
    </cfRule>
    <cfRule type="expression" dxfId="2011" priority="156">
      <formula>B$9&lt;8/24</formula>
    </cfRule>
  </conditionalFormatting>
  <conditionalFormatting sqref="B48 B65:B66 B70">
    <cfRule type="expression" dxfId="2010" priority="152">
      <formula>B48&gt;$AG48</formula>
    </cfRule>
  </conditionalFormatting>
  <conditionalFormatting sqref="B82">
    <cfRule type="expression" dxfId="2009" priority="148">
      <formula>B$9&gt;=20/24</formula>
    </cfRule>
    <cfRule type="expression" dxfId="2008" priority="149">
      <formula>AND(B$9&gt;=14/24,B$9&lt;20/24)</formula>
    </cfRule>
    <cfRule type="expression" dxfId="2007" priority="150">
      <formula>AND(B$9&gt;=8/24,B$9&lt;14/24)</formula>
    </cfRule>
    <cfRule type="expression" dxfId="2006" priority="151">
      <formula>B$9&lt;8/24</formula>
    </cfRule>
  </conditionalFormatting>
  <conditionalFormatting sqref="B52">
    <cfRule type="expression" dxfId="2005" priority="144">
      <formula>B$9&gt;=20/24</formula>
    </cfRule>
    <cfRule type="expression" dxfId="2004" priority="145">
      <formula>AND(B$9&gt;=14/24,B$9&lt;20/24)</formula>
    </cfRule>
    <cfRule type="expression" dxfId="2003" priority="146">
      <formula>AND(B$9&gt;=8/24,B$9&lt;14/24)</formula>
    </cfRule>
    <cfRule type="expression" dxfId="2002" priority="147">
      <formula>B$9&lt;8/24</formula>
    </cfRule>
  </conditionalFormatting>
  <conditionalFormatting sqref="B52">
    <cfRule type="expression" dxfId="2001" priority="143">
      <formula>B52&gt;$AG52</formula>
    </cfRule>
  </conditionalFormatting>
  <conditionalFormatting sqref="B59:K64">
    <cfRule type="expression" dxfId="2000" priority="135">
      <formula>B$9&gt;=20/24</formula>
    </cfRule>
    <cfRule type="expression" dxfId="1999" priority="136">
      <formula>AND(B$9&gt;=14/24,B$9&lt;20/24)</formula>
    </cfRule>
    <cfRule type="expression" dxfId="1998" priority="137">
      <formula>AND(B$9&gt;=8/24,B$9&lt;14/24)</formula>
    </cfRule>
    <cfRule type="expression" dxfId="1997" priority="138">
      <formula>B$9&lt;8/24</formula>
    </cfRule>
  </conditionalFormatting>
  <conditionalFormatting sqref="B59:K64">
    <cfRule type="expression" dxfId="1996" priority="134">
      <formula>B59&gt;$AG59</formula>
    </cfRule>
  </conditionalFormatting>
  <conditionalFormatting sqref="B77:K81">
    <cfRule type="expression" dxfId="1995" priority="130">
      <formula>B$9&gt;=20/24</formula>
    </cfRule>
    <cfRule type="expression" dxfId="1994" priority="131">
      <formula>AND(B$9&gt;=14/24,B$9&lt;20/24)</formula>
    </cfRule>
    <cfRule type="expression" dxfId="1993" priority="132">
      <formula>AND(B$9&gt;=8/24,B$9&lt;14/24)</formula>
    </cfRule>
    <cfRule type="expression" dxfId="1992" priority="133">
      <formula>B$9&lt;8/24</formula>
    </cfRule>
  </conditionalFormatting>
  <conditionalFormatting sqref="A11">
    <cfRule type="expression" dxfId="1991" priority="129">
      <formula>$AH11=0</formula>
    </cfRule>
  </conditionalFormatting>
  <conditionalFormatting sqref="T11:AF11">
    <cfRule type="expression" dxfId="1990" priority="125">
      <formula>T$9&gt;=20/24</formula>
    </cfRule>
    <cfRule type="expression" dxfId="1989" priority="126">
      <formula>AND(T$9&gt;=14/24,T$9&lt;20/24)</formula>
    </cfRule>
    <cfRule type="expression" dxfId="1988" priority="127">
      <formula>AND(T$9&gt;=8/24,T$9&lt;14/24)</formula>
    </cfRule>
    <cfRule type="expression" dxfId="1987" priority="128">
      <formula>T$9&lt;8/24</formula>
    </cfRule>
  </conditionalFormatting>
  <conditionalFormatting sqref="T11:AF11">
    <cfRule type="expression" dxfId="1986" priority="124">
      <formula>T11&gt;$AG11</formula>
    </cfRule>
  </conditionalFormatting>
  <conditionalFormatting sqref="B11:S11">
    <cfRule type="expression" dxfId="1985" priority="120">
      <formula>B$9&gt;=20/24</formula>
    </cfRule>
    <cfRule type="expression" dxfId="1984" priority="121">
      <formula>AND(B$9&gt;=14/24,B$9&lt;20/24)</formula>
    </cfRule>
    <cfRule type="expression" dxfId="1983" priority="122">
      <formula>AND(B$9&gt;=8/24,B$9&lt;14/24)</formula>
    </cfRule>
    <cfRule type="expression" dxfId="1982" priority="123">
      <formula>B$9&lt;8/24</formula>
    </cfRule>
  </conditionalFormatting>
  <conditionalFormatting sqref="B11:S11">
    <cfRule type="expression" dxfId="1981" priority="119">
      <formula>B11&gt;$AG11</formula>
    </cfRule>
  </conditionalFormatting>
  <conditionalFormatting sqref="A16">
    <cfRule type="expression" dxfId="1980" priority="117">
      <formula>$AH16=0</formula>
    </cfRule>
  </conditionalFormatting>
  <conditionalFormatting sqref="AL16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1979" priority="113">
      <formula>Z$9&gt;=20/24</formula>
    </cfRule>
    <cfRule type="expression" dxfId="1978" priority="114">
      <formula>AND(Z$9&gt;=14/24,Z$9&lt;20/24)</formula>
    </cfRule>
    <cfRule type="expression" dxfId="1977" priority="115">
      <formula>AND(Z$9&gt;=8/24,Z$9&lt;14/24)</formula>
    </cfRule>
    <cfRule type="expression" dxfId="1976" priority="116">
      <formula>Z$9&lt;8/24</formula>
    </cfRule>
  </conditionalFormatting>
  <conditionalFormatting sqref="Z16:AF16">
    <cfRule type="expression" dxfId="1975" priority="112">
      <formula>Z16&gt;$AG16</formula>
    </cfRule>
  </conditionalFormatting>
  <conditionalFormatting sqref="B16:Y16">
    <cfRule type="expression" dxfId="1974" priority="108">
      <formula>B$9&gt;=20/24</formula>
    </cfRule>
    <cfRule type="expression" dxfId="1973" priority="109">
      <formula>AND(B$9&gt;=14/24,B$9&lt;20/24)</formula>
    </cfRule>
    <cfRule type="expression" dxfId="1972" priority="110">
      <formula>AND(B$9&gt;=8/24,B$9&lt;14/24)</formula>
    </cfRule>
    <cfRule type="expression" dxfId="1971" priority="111">
      <formula>B$9&lt;8/24</formula>
    </cfRule>
  </conditionalFormatting>
  <conditionalFormatting sqref="B16:Y16">
    <cfRule type="expression" dxfId="1970" priority="107">
      <formula>B16&gt;$AG16</formula>
    </cfRule>
  </conditionalFormatting>
  <conditionalFormatting sqref="A33">
    <cfRule type="expression" dxfId="1969" priority="105">
      <formula>$AH33=0</formula>
    </cfRule>
  </conditionalFormatting>
  <conditionalFormatting sqref="AL33">
    <cfRule type="iconSet" priority="10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1968" priority="101">
      <formula>Z$9&gt;=20/24</formula>
    </cfRule>
    <cfRule type="expression" dxfId="1967" priority="102">
      <formula>AND(Z$9&gt;=14/24,Z$9&lt;20/24)</formula>
    </cfRule>
    <cfRule type="expression" dxfId="1966" priority="103">
      <formula>AND(Z$9&gt;=8/24,Z$9&lt;14/24)</formula>
    </cfRule>
    <cfRule type="expression" dxfId="1965" priority="104">
      <formula>Z$9&lt;8/24</formula>
    </cfRule>
  </conditionalFormatting>
  <conditionalFormatting sqref="Z33:AF33">
    <cfRule type="expression" dxfId="1964" priority="100">
      <formula>Z33&gt;$AG33</formula>
    </cfRule>
  </conditionalFormatting>
  <conditionalFormatting sqref="B33:Y33">
    <cfRule type="expression" dxfId="1963" priority="96">
      <formula>B$9&gt;=20/24</formula>
    </cfRule>
    <cfRule type="expression" dxfId="1962" priority="97">
      <formula>AND(B$9&gt;=14/24,B$9&lt;20/24)</formula>
    </cfRule>
    <cfRule type="expression" dxfId="1961" priority="98">
      <formula>AND(B$9&gt;=8/24,B$9&lt;14/24)</formula>
    </cfRule>
    <cfRule type="expression" dxfId="1960" priority="99">
      <formula>B$9&lt;8/24</formula>
    </cfRule>
  </conditionalFormatting>
  <conditionalFormatting sqref="B33:Y33">
    <cfRule type="expression" dxfId="1959" priority="95">
      <formula>B33&gt;$AG33</formula>
    </cfRule>
  </conditionalFormatting>
  <conditionalFormatting sqref="A44">
    <cfRule type="expression" dxfId="1958" priority="93">
      <formula>$AH44=0</formula>
    </cfRule>
  </conditionalFormatting>
  <conditionalFormatting sqref="AL44">
    <cfRule type="iconSet" priority="9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1957" priority="92">
      <formula>Z44&gt;$AG44</formula>
    </cfRule>
  </conditionalFormatting>
  <conditionalFormatting sqref="Z44:AF44">
    <cfRule type="expression" dxfId="1956" priority="88">
      <formula>Z$9&gt;=20/24</formula>
    </cfRule>
    <cfRule type="expression" dxfId="1955" priority="89">
      <formula>AND(Z$9&gt;=14/24,Z$9&lt;20/24)</formula>
    </cfRule>
    <cfRule type="expression" dxfId="1954" priority="90">
      <formula>AND(Z$9&gt;=8/24,Z$9&lt;14/24)</formula>
    </cfRule>
    <cfRule type="expression" dxfId="1953" priority="91">
      <formula>Z$9&lt;8/24</formula>
    </cfRule>
  </conditionalFormatting>
  <conditionalFormatting sqref="B44:Y44">
    <cfRule type="expression" dxfId="1952" priority="84">
      <formula>B$9&gt;=20/24</formula>
    </cfRule>
    <cfRule type="expression" dxfId="1951" priority="85">
      <formula>AND(B$9&gt;=14/24,B$9&lt;20/24)</formula>
    </cfRule>
    <cfRule type="expression" dxfId="1950" priority="86">
      <formula>AND(B$9&gt;=8/24,B$9&lt;14/24)</formula>
    </cfRule>
    <cfRule type="expression" dxfId="1949" priority="87">
      <formula>B$9&lt;8/24</formula>
    </cfRule>
  </conditionalFormatting>
  <conditionalFormatting sqref="B44:Y44">
    <cfRule type="expression" dxfId="1948" priority="83">
      <formula>B44&gt;$AG44</formula>
    </cfRule>
  </conditionalFormatting>
  <conditionalFormatting sqref="B117">
    <cfRule type="expression" dxfId="1947" priority="71">
      <formula>B$9&gt;=20/24</formula>
    </cfRule>
    <cfRule type="expression" dxfId="1946" priority="72">
      <formula>AND(B$9&gt;=14/24,B$9&lt;20/24)</formula>
    </cfRule>
    <cfRule type="expression" dxfId="1945" priority="73">
      <formula>AND(B$9&gt;=8/24,B$9&lt;14/24)</formula>
    </cfRule>
    <cfRule type="expression" dxfId="1944" priority="74">
      <formula>B$9&lt;8/24</formula>
    </cfRule>
  </conditionalFormatting>
  <conditionalFormatting sqref="D117:AF117">
    <cfRule type="expression" dxfId="1943" priority="79">
      <formula>D$9&gt;=20/24</formula>
    </cfRule>
    <cfRule type="expression" dxfId="1942" priority="80">
      <formula>AND(D$9&gt;=14/24,D$9&lt;20/24)</formula>
    </cfRule>
    <cfRule type="expression" dxfId="1941" priority="81">
      <formula>AND(D$9&gt;=8/24,D$9&lt;14/24)</formula>
    </cfRule>
    <cfRule type="expression" dxfId="1940" priority="82">
      <formula>D$9&lt;8/24</formula>
    </cfRule>
  </conditionalFormatting>
  <conditionalFormatting sqref="C117">
    <cfRule type="expression" dxfId="1939" priority="75">
      <formula>C$9&gt;=20/24</formula>
    </cfRule>
    <cfRule type="expression" dxfId="1938" priority="76">
      <formula>AND(C$9&gt;=14/24,C$9&lt;20/24)</formula>
    </cfRule>
    <cfRule type="expression" dxfId="1937" priority="77">
      <formula>AND(C$9&gt;=8/24,C$9&lt;14/24)</formula>
    </cfRule>
    <cfRule type="expression" dxfId="1936" priority="78">
      <formula>C$9&lt;8/24</formula>
    </cfRule>
  </conditionalFormatting>
  <conditionalFormatting sqref="L71">
    <cfRule type="expression" dxfId="1935" priority="67">
      <formula>L$9&gt;=20/24</formula>
    </cfRule>
    <cfRule type="expression" dxfId="1934" priority="68">
      <formula>AND(L$9&gt;=14/24,L$9&lt;20/24)</formula>
    </cfRule>
    <cfRule type="expression" dxfId="1933" priority="69">
      <formula>AND(L$9&gt;=8/24,L$9&lt;14/24)</formula>
    </cfRule>
    <cfRule type="expression" dxfId="1932" priority="70">
      <formula>L$9&lt;8/24</formula>
    </cfRule>
  </conditionalFormatting>
  <conditionalFormatting sqref="L86 L73">
    <cfRule type="expression" dxfId="1931" priority="63">
      <formula>L$9&gt;=20/24</formula>
    </cfRule>
    <cfRule type="expression" dxfId="1930" priority="64">
      <formula>AND(L$9&gt;=14/24,L$9&lt;20/24)</formula>
    </cfRule>
    <cfRule type="expression" dxfId="1929" priority="65">
      <formula>AND(L$9&gt;=8/24,L$9&lt;14/24)</formula>
    </cfRule>
    <cfRule type="expression" dxfId="1928" priority="66">
      <formula>L$9&lt;8/24</formula>
    </cfRule>
  </conditionalFormatting>
  <conditionalFormatting sqref="L54:L55">
    <cfRule type="expression" dxfId="1927" priority="55">
      <formula>L$9&gt;=20/24</formula>
    </cfRule>
    <cfRule type="expression" dxfId="1926" priority="56">
      <formula>AND(L$9&gt;=14/24,L$9&lt;20/24)</formula>
    </cfRule>
    <cfRule type="expression" dxfId="1925" priority="57">
      <formula>AND(L$9&gt;=8/24,L$9&lt;14/24)</formula>
    </cfRule>
    <cfRule type="expression" dxfId="1924" priority="58">
      <formula>L$9&lt;8/24</formula>
    </cfRule>
  </conditionalFormatting>
  <conditionalFormatting sqref="L53">
    <cfRule type="expression" dxfId="1923" priority="51">
      <formula>L$9&gt;=20/24</formula>
    </cfRule>
    <cfRule type="expression" dxfId="1922" priority="52">
      <formula>AND(L$9&gt;=14/24,L$9&lt;20/24)</formula>
    </cfRule>
    <cfRule type="expression" dxfId="1921" priority="53">
      <formula>AND(L$9&gt;=8/24,L$9&lt;14/24)</formula>
    </cfRule>
    <cfRule type="expression" dxfId="1920" priority="54">
      <formula>L$9&lt;8/24</formula>
    </cfRule>
  </conditionalFormatting>
  <conditionalFormatting sqref="L53:L55">
    <cfRule type="expression" dxfId="1919" priority="50">
      <formula>L53&gt;$AG53</formula>
    </cfRule>
  </conditionalFormatting>
  <conditionalFormatting sqref="L96 L83:L85 L74:L75">
    <cfRule type="expression" dxfId="1918" priority="46">
      <formula>L$9&gt;=20/24</formula>
    </cfRule>
    <cfRule type="expression" dxfId="1917" priority="47">
      <formula>AND(L$9&gt;=14/24,L$9&lt;20/24)</formula>
    </cfRule>
    <cfRule type="expression" dxfId="1916" priority="48">
      <formula>AND(L$9&gt;=8/24,L$9&lt;14/24)</formula>
    </cfRule>
    <cfRule type="expression" dxfId="1915" priority="49">
      <formula>L$9&lt;8/24</formula>
    </cfRule>
  </conditionalFormatting>
  <conditionalFormatting sqref="L56:Q57">
    <cfRule type="expression" dxfId="1914" priority="25">
      <formula>L$9&gt;=20/24</formula>
    </cfRule>
    <cfRule type="expression" dxfId="1913" priority="26">
      <formula>AND(L$9&gt;=14/24,L$9&lt;20/24)</formula>
    </cfRule>
    <cfRule type="expression" dxfId="1912" priority="27">
      <formula>AND(L$9&gt;=8/24,L$9&lt;14/24)</formula>
    </cfRule>
    <cfRule type="expression" dxfId="1911" priority="28">
      <formula>L$9&lt;8/24</formula>
    </cfRule>
  </conditionalFormatting>
  <conditionalFormatting sqref="L87 L89 L70">
    <cfRule type="expression" dxfId="1910" priority="42">
      <formula>L$9&gt;=20/24</formula>
    </cfRule>
    <cfRule type="expression" dxfId="1909" priority="43">
      <formula>AND(L$9&gt;=14/24,L$9&lt;20/24)</formula>
    </cfRule>
    <cfRule type="expression" dxfId="1908" priority="44">
      <formula>AND(L$9&gt;=8/24,L$9&lt;14/24)</formula>
    </cfRule>
    <cfRule type="expression" dxfId="1907" priority="45">
      <formula>L$9&lt;8/24</formula>
    </cfRule>
  </conditionalFormatting>
  <conditionalFormatting sqref="L70 L65:L66">
    <cfRule type="expression" dxfId="1906" priority="41">
      <formula>L65&gt;$AG65</formula>
    </cfRule>
  </conditionalFormatting>
  <conditionalFormatting sqref="L82">
    <cfRule type="expression" dxfId="1905" priority="37">
      <formula>L$9&gt;=20/24</formula>
    </cfRule>
    <cfRule type="expression" dxfId="1904" priority="38">
      <formula>AND(L$9&gt;=14/24,L$9&lt;20/24)</formula>
    </cfRule>
    <cfRule type="expression" dxfId="1903" priority="39">
      <formula>AND(L$9&gt;=8/24,L$9&lt;14/24)</formula>
    </cfRule>
    <cfRule type="expression" dxfId="1902" priority="40">
      <formula>L$9&lt;8/24</formula>
    </cfRule>
  </conditionalFormatting>
  <conditionalFormatting sqref="L91:L95">
    <cfRule type="expression" dxfId="1901" priority="33">
      <formula>L$9&gt;=20/24</formula>
    </cfRule>
    <cfRule type="expression" dxfId="1900" priority="34">
      <formula>AND(L$9&gt;=14/24,L$9&lt;20/24)</formula>
    </cfRule>
    <cfRule type="expression" dxfId="1899" priority="35">
      <formula>AND(L$9&gt;=8/24,L$9&lt;14/24)</formula>
    </cfRule>
    <cfRule type="expression" dxfId="1898" priority="36">
      <formula>L$9&lt;8/24</formula>
    </cfRule>
  </conditionalFormatting>
  <conditionalFormatting sqref="L56:Q57">
    <cfRule type="expression" dxfId="1897" priority="24">
      <formula>L56&gt;$AG56</formula>
    </cfRule>
  </conditionalFormatting>
  <conditionalFormatting sqref="L72:M72 L67:V69">
    <cfRule type="expression" dxfId="1896" priority="20">
      <formula>L$9&gt;=20/24</formula>
    </cfRule>
    <cfRule type="expression" dxfId="1895" priority="21">
      <formula>AND(L$9&gt;=14/24,L$9&lt;20/24)</formula>
    </cfRule>
    <cfRule type="expression" dxfId="1894" priority="22">
      <formula>AND(L$9&gt;=8/24,L$9&lt;14/24)</formula>
    </cfRule>
    <cfRule type="expression" dxfId="1893" priority="23">
      <formula>L$9&lt;8/24</formula>
    </cfRule>
  </conditionalFormatting>
  <conditionalFormatting sqref="L67:V69">
    <cfRule type="expression" dxfId="1892" priority="19">
      <formula>L67&gt;$AG67</formula>
    </cfRule>
  </conditionalFormatting>
  <conditionalFormatting sqref="L58:Y58">
    <cfRule type="expression" dxfId="1891" priority="15">
      <formula>L$9&gt;=20/24</formula>
    </cfRule>
    <cfRule type="expression" dxfId="1890" priority="16">
      <formula>AND(L$9&gt;=14/24,L$9&lt;20/24)</formula>
    </cfRule>
    <cfRule type="expression" dxfId="1889" priority="17">
      <formula>AND(L$9&gt;=8/24,L$9&lt;14/24)</formula>
    </cfRule>
    <cfRule type="expression" dxfId="1888" priority="18">
      <formula>L$9&lt;8/24</formula>
    </cfRule>
  </conditionalFormatting>
  <conditionalFormatting sqref="L58:Y58">
    <cfRule type="expression" dxfId="1887" priority="14">
      <formula>L58&gt;$AG58</formula>
    </cfRule>
  </conditionalFormatting>
  <conditionalFormatting sqref="L76:P76">
    <cfRule type="expression" dxfId="1886" priority="10">
      <formula>L$9&gt;=20/24</formula>
    </cfRule>
    <cfRule type="expression" dxfId="1885" priority="11">
      <formula>AND(L$9&gt;=14/24,L$9&lt;20/24)</formula>
    </cfRule>
    <cfRule type="expression" dxfId="1884" priority="12">
      <formula>AND(L$9&gt;=8/24,L$9&lt;14/24)</formula>
    </cfRule>
    <cfRule type="expression" dxfId="1883" priority="13">
      <formula>L$9&lt;8/24</formula>
    </cfRule>
  </conditionalFormatting>
  <conditionalFormatting sqref="L59:Y64">
    <cfRule type="expression" dxfId="1882" priority="6">
      <formula>L$9&gt;=20/24</formula>
    </cfRule>
    <cfRule type="expression" dxfId="1881" priority="7">
      <formula>AND(L$9&gt;=14/24,L$9&lt;20/24)</formula>
    </cfRule>
    <cfRule type="expression" dxfId="1880" priority="8">
      <formula>AND(L$9&gt;=8/24,L$9&lt;14/24)</formula>
    </cfRule>
    <cfRule type="expression" dxfId="1879" priority="9">
      <formula>L$9&lt;8/24</formula>
    </cfRule>
  </conditionalFormatting>
  <conditionalFormatting sqref="L59:Y64">
    <cfRule type="expression" dxfId="1878" priority="5">
      <formula>L59&gt;$AG59</formula>
    </cfRule>
  </conditionalFormatting>
  <conditionalFormatting sqref="L77:Y81">
    <cfRule type="expression" dxfId="1877" priority="1">
      <formula>L$9&gt;=20/24</formula>
    </cfRule>
    <cfRule type="expression" dxfId="1876" priority="2">
      <formula>AND(L$9&gt;=14/24,L$9&lt;20/24)</formula>
    </cfRule>
    <cfRule type="expression" dxfId="1875" priority="3">
      <formula>AND(L$9&gt;=8/24,L$9&lt;14/24)</formula>
    </cfRule>
    <cfRule type="expression" dxfId="1874" priority="4">
      <formula>L$9&lt;8/24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1" id="{03181814-076E-4C60-B827-48AA946F5F8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2" id="{286DD33D-9BF2-48C4-B4BA-05CC4E30710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53" id="{37EFBE38-BCBB-4537-86A5-C45EB374C2D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54" id="{08710914-EE01-4E14-9014-40F04A099CE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C90:K90 M90:AF90</xm:sqref>
        </x14:conditionalFormatting>
        <x14:conditionalFormatting xmlns:xm="http://schemas.microsoft.com/office/excel/2006/main">
          <x14:cfRule type="expression" priority="139" id="{62AA0DA9-A3F6-452F-8D2B-18798DBBEBD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0" id="{A8D486D1-9CB6-4F12-960D-05671300705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1" id="{172D650B-A3A9-4294-B74C-EFB4EE681F6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2" id="{F4425F20-E17B-4BEB-807F-72F19FA9357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  <x14:conditionalFormatting xmlns:xm="http://schemas.microsoft.com/office/excel/2006/main">
          <x14:cfRule type="expression" priority="29" id="{F6545FBF-CAA3-4903-81E9-7BA186C6EA72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0" id="{CF8ED458-5C7B-45A7-B665-1FBBF0D3576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" id="{B8C99375-B8CC-4F8E-9A8F-913EE351030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2" id="{28CD8D4A-A226-4260-8F2C-94863945C16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L90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59" activePane="bottomLeft" state="frozen"/>
      <selection activeCell="Z85" sqref="Z85"/>
      <selection pane="bottomLeft" activeCell="U127" sqref="U12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2079/12/28</v>
      </c>
      <c r="C4" s="196"/>
      <c r="D4" s="196"/>
      <c r="E4" s="197" t="str">
        <f ca="1">"2079/"&amp;"12/"&amp;INT(MID(CELL("filename",G6),FIND("]",CELL("filename",G6))+1,200))</f>
        <v>2079/12/28</v>
      </c>
      <c r="F4" s="197"/>
      <c r="G4" s="197"/>
      <c r="H4" s="197" t="str">
        <f ca="1">TEXT(E4,"dddd")</f>
        <v>Thursday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503</v>
      </c>
      <c r="C5" s="33">
        <f t="shared" si="0"/>
        <v>495</v>
      </c>
      <c r="D5" s="33">
        <f t="shared" si="0"/>
        <v>492.09999999999997</v>
      </c>
      <c r="E5" s="33">
        <f t="shared" si="0"/>
        <v>491.79999999999995</v>
      </c>
      <c r="F5" s="33">
        <f t="shared" si="0"/>
        <v>566.70000000000005</v>
      </c>
      <c r="G5" s="33">
        <f t="shared" si="0"/>
        <v>590.5</v>
      </c>
      <c r="H5" s="33">
        <f t="shared" si="0"/>
        <v>564.4</v>
      </c>
      <c r="I5" s="33">
        <f t="shared" si="0"/>
        <v>514</v>
      </c>
      <c r="J5" s="33">
        <f t="shared" si="0"/>
        <v>545.30000000000007</v>
      </c>
      <c r="K5" s="33">
        <f t="shared" si="0"/>
        <v>566.29999999999995</v>
      </c>
      <c r="L5" s="33">
        <f t="shared" si="0"/>
        <v>536</v>
      </c>
      <c r="M5" s="33">
        <f t="shared" si="0"/>
        <v>536</v>
      </c>
      <c r="N5" s="33">
        <f t="shared" si="0"/>
        <v>553</v>
      </c>
      <c r="O5" s="33">
        <f t="shared" si="0"/>
        <v>553</v>
      </c>
      <c r="P5" s="33">
        <f t="shared" si="0"/>
        <v>591.4</v>
      </c>
      <c r="Q5" s="33">
        <f t="shared" si="0"/>
        <v>662.7</v>
      </c>
      <c r="R5" s="33">
        <f t="shared" si="0"/>
        <v>634.79999999999995</v>
      </c>
      <c r="S5" s="33">
        <f t="shared" si="0"/>
        <v>663.40000000000009</v>
      </c>
      <c r="T5" s="33">
        <f t="shared" si="0"/>
        <v>715</v>
      </c>
      <c r="U5" s="33">
        <f t="shared" si="0"/>
        <v>617.5</v>
      </c>
      <c r="V5" s="33">
        <f t="shared" si="0"/>
        <v>607.40000000000009</v>
      </c>
      <c r="W5" s="33">
        <f t="shared" si="0"/>
        <v>668.3</v>
      </c>
      <c r="X5" s="33">
        <f t="shared" si="0"/>
        <v>685.30000000000007</v>
      </c>
      <c r="Y5" s="33">
        <f t="shared" si="0"/>
        <v>630</v>
      </c>
      <c r="Z5" s="33">
        <f t="shared" si="0"/>
        <v>564.5</v>
      </c>
      <c r="AA5" s="33">
        <f t="shared" si="0"/>
        <v>562.5</v>
      </c>
      <c r="AB5" s="33">
        <f t="shared" si="0"/>
        <v>484</v>
      </c>
      <c r="AC5" s="33">
        <f t="shared" si="0"/>
        <v>449</v>
      </c>
      <c r="AD5" s="33">
        <f t="shared" si="0"/>
        <v>506.7</v>
      </c>
      <c r="AE5" s="33">
        <f t="shared" si="0"/>
        <v>528.4</v>
      </c>
      <c r="AF5" s="33">
        <f>B82</f>
        <v>492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1448MW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Load=1037</v>
      </c>
      <c r="B7" s="38">
        <f t="shared" ref="B7:AF7" si="1">B89</f>
        <v>1277.8399999999999</v>
      </c>
      <c r="C7" s="38">
        <f t="shared" si="1"/>
        <v>1190.8399999999999</v>
      </c>
      <c r="D7" s="38">
        <f t="shared" si="1"/>
        <v>1178.8399999999999</v>
      </c>
      <c r="E7" s="38">
        <f t="shared" si="1"/>
        <v>1144.54</v>
      </c>
      <c r="F7" s="38">
        <f t="shared" si="1"/>
        <v>1036.7399999999998</v>
      </c>
      <c r="G7" s="38">
        <f t="shared" si="1"/>
        <v>1110.24</v>
      </c>
      <c r="H7" s="38">
        <f t="shared" si="1"/>
        <v>1150.8399999999999</v>
      </c>
      <c r="I7" s="38">
        <f t="shared" si="1"/>
        <v>1154.7399999999998</v>
      </c>
      <c r="J7" s="38">
        <f t="shared" si="1"/>
        <v>1117.54</v>
      </c>
      <c r="K7" s="38">
        <f t="shared" si="1"/>
        <v>1310.1399999999999</v>
      </c>
      <c r="L7" s="38">
        <f t="shared" si="1"/>
        <v>1448.4399999999998</v>
      </c>
      <c r="M7" s="38">
        <f t="shared" si="1"/>
        <v>1178.1399999999999</v>
      </c>
      <c r="N7" s="38">
        <f>N89</f>
        <v>1178.1399999999999</v>
      </c>
      <c r="O7" s="38">
        <f t="shared" si="1"/>
        <v>1241.04</v>
      </c>
      <c r="P7" s="38">
        <f t="shared" si="1"/>
        <v>1241.04</v>
      </c>
      <c r="Q7" s="38">
        <f t="shared" si="1"/>
        <v>1383.44</v>
      </c>
      <c r="R7" s="38">
        <f t="shared" si="1"/>
        <v>1502.54</v>
      </c>
      <c r="S7" s="38">
        <f t="shared" si="1"/>
        <v>1502.1399999999999</v>
      </c>
      <c r="T7" s="38">
        <f t="shared" si="1"/>
        <v>1510.8600000000001</v>
      </c>
      <c r="U7" s="38">
        <f t="shared" si="1"/>
        <v>1551.44</v>
      </c>
      <c r="V7" s="38">
        <f t="shared" si="1"/>
        <v>1505.1399999999999</v>
      </c>
      <c r="W7" s="38">
        <f t="shared" si="1"/>
        <v>1477.04</v>
      </c>
      <c r="X7" s="38">
        <f t="shared" si="1"/>
        <v>1572.74</v>
      </c>
      <c r="Y7" s="38">
        <f t="shared" si="1"/>
        <v>1632.04</v>
      </c>
      <c r="Z7" s="38">
        <f t="shared" si="1"/>
        <v>1734.94</v>
      </c>
      <c r="AA7" s="38">
        <f t="shared" si="1"/>
        <v>1669.44</v>
      </c>
      <c r="AB7" s="38">
        <f t="shared" si="1"/>
        <v>1629.24</v>
      </c>
      <c r="AC7" s="38">
        <f t="shared" si="1"/>
        <v>1340.04</v>
      </c>
      <c r="AD7" s="38">
        <f t="shared" si="1"/>
        <v>1286.6400000000001</v>
      </c>
      <c r="AE7" s="38">
        <f t="shared" si="1"/>
        <v>1276.44</v>
      </c>
      <c r="AF7" s="38">
        <f t="shared" si="1"/>
        <v>1294.7400000000002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23</v>
      </c>
      <c r="C11" s="50">
        <v>23</v>
      </c>
      <c r="D11" s="50">
        <v>23</v>
      </c>
      <c r="E11" s="50">
        <v>23</v>
      </c>
      <c r="F11" s="50">
        <v>23</v>
      </c>
      <c r="G11" s="50">
        <v>23</v>
      </c>
      <c r="H11" s="50">
        <v>23</v>
      </c>
      <c r="I11" s="50">
        <v>23</v>
      </c>
      <c r="J11" s="50">
        <v>23</v>
      </c>
      <c r="K11" s="50">
        <v>23</v>
      </c>
      <c r="L11" s="50">
        <v>23</v>
      </c>
      <c r="M11" s="50">
        <v>23</v>
      </c>
      <c r="N11" s="50">
        <v>23</v>
      </c>
      <c r="O11" s="50">
        <v>23</v>
      </c>
      <c r="P11" s="50">
        <v>23</v>
      </c>
      <c r="Q11" s="50">
        <v>23</v>
      </c>
      <c r="R11" s="50">
        <v>23</v>
      </c>
      <c r="S11" s="50">
        <v>25.3</v>
      </c>
      <c r="T11" s="50">
        <v>25.3</v>
      </c>
      <c r="U11" s="50">
        <v>23</v>
      </c>
      <c r="V11" s="50">
        <v>23</v>
      </c>
      <c r="W11" s="50">
        <v>23</v>
      </c>
      <c r="X11" s="50">
        <v>23</v>
      </c>
      <c r="Y11" s="50">
        <v>23</v>
      </c>
      <c r="Z11" s="50">
        <v>23</v>
      </c>
      <c r="AA11" s="50">
        <v>23</v>
      </c>
      <c r="AB11" s="50">
        <v>23</v>
      </c>
      <c r="AC11" s="50">
        <v>23</v>
      </c>
      <c r="AD11" s="50">
        <v>23</v>
      </c>
      <c r="AE11" s="50">
        <v>20</v>
      </c>
      <c r="AF11" s="50">
        <v>20</v>
      </c>
      <c r="AG11" s="51">
        <v>86</v>
      </c>
      <c r="AH11" s="52">
        <f t="shared" ref="AH11:AH74" si="2">MAX(B11:AF11)</f>
        <v>25.3</v>
      </c>
      <c r="AI11" s="53">
        <f t="shared" ref="AI11:AI74" si="3">MIN(B11:AF11)</f>
        <v>20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13.6</v>
      </c>
      <c r="C12" s="50">
        <v>13.6</v>
      </c>
      <c r="D12" s="50">
        <v>13.6</v>
      </c>
      <c r="E12" s="50">
        <v>13.6</v>
      </c>
      <c r="F12" s="50">
        <v>13.6</v>
      </c>
      <c r="G12" s="50">
        <v>13.6</v>
      </c>
      <c r="H12" s="50">
        <v>13.6</v>
      </c>
      <c r="I12" s="50">
        <v>13.6</v>
      </c>
      <c r="J12" s="50">
        <v>13.6</v>
      </c>
      <c r="K12" s="50">
        <v>13.6</v>
      </c>
      <c r="L12" s="50">
        <v>13.6</v>
      </c>
      <c r="M12" s="50">
        <v>13.6</v>
      </c>
      <c r="N12" s="50">
        <v>13.6</v>
      </c>
      <c r="O12" s="50">
        <v>13.6</v>
      </c>
      <c r="P12" s="50">
        <v>13.6</v>
      </c>
      <c r="Q12" s="50">
        <v>13.6</v>
      </c>
      <c r="R12" s="50">
        <v>13.6</v>
      </c>
      <c r="S12" s="50">
        <v>13.6</v>
      </c>
      <c r="T12" s="50">
        <v>13</v>
      </c>
      <c r="U12" s="50">
        <v>13.2</v>
      </c>
      <c r="V12" s="50">
        <v>13.2</v>
      </c>
      <c r="W12" s="50">
        <v>13.2</v>
      </c>
      <c r="X12" s="50">
        <v>13.2</v>
      </c>
      <c r="Y12" s="50">
        <v>13.2</v>
      </c>
      <c r="Z12" s="50">
        <v>13.2</v>
      </c>
      <c r="AA12" s="50">
        <v>13.2</v>
      </c>
      <c r="AB12" s="50">
        <v>13.2</v>
      </c>
      <c r="AC12" s="50">
        <v>13.2</v>
      </c>
      <c r="AD12" s="50">
        <v>13.2</v>
      </c>
      <c r="AE12" s="50">
        <v>13.6</v>
      </c>
      <c r="AF12" s="50">
        <v>13.5</v>
      </c>
      <c r="AG12" s="51">
        <v>52.4</v>
      </c>
      <c r="AH12" s="52">
        <f t="shared" si="2"/>
        <v>13.6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29.5</v>
      </c>
      <c r="C13" s="50">
        <v>29.5</v>
      </c>
      <c r="D13" s="50">
        <v>29.5</v>
      </c>
      <c r="E13" s="50">
        <v>29.5</v>
      </c>
      <c r="F13" s="50">
        <v>29.5</v>
      </c>
      <c r="G13" s="50">
        <v>29.5</v>
      </c>
      <c r="H13" s="50">
        <v>29.5</v>
      </c>
      <c r="I13" s="50">
        <v>29.5</v>
      </c>
      <c r="J13" s="50">
        <v>29.5</v>
      </c>
      <c r="K13" s="50">
        <v>29.5</v>
      </c>
      <c r="L13" s="50">
        <v>29.5</v>
      </c>
      <c r="M13" s="50">
        <v>29.5</v>
      </c>
      <c r="N13" s="50">
        <v>29.5</v>
      </c>
      <c r="O13" s="50">
        <v>29.5</v>
      </c>
      <c r="P13" s="50">
        <v>29.5</v>
      </c>
      <c r="Q13" s="50">
        <v>29.5</v>
      </c>
      <c r="R13" s="50">
        <v>29.5</v>
      </c>
      <c r="S13" s="50">
        <v>29.5</v>
      </c>
      <c r="T13" s="50">
        <v>28.2</v>
      </c>
      <c r="U13" s="50">
        <v>28.6</v>
      </c>
      <c r="V13" s="50">
        <v>28.6</v>
      </c>
      <c r="W13" s="50">
        <v>27</v>
      </c>
      <c r="X13" s="50">
        <v>27</v>
      </c>
      <c r="Y13" s="50">
        <v>27</v>
      </c>
      <c r="Z13" s="50">
        <v>28.6</v>
      </c>
      <c r="AA13" s="50">
        <v>28.6</v>
      </c>
      <c r="AB13" s="50">
        <v>28.6</v>
      </c>
      <c r="AC13" s="50">
        <v>28.6</v>
      </c>
      <c r="AD13" s="50">
        <v>28.6</v>
      </c>
      <c r="AE13" s="50">
        <v>28.8</v>
      </c>
      <c r="AF13" s="50">
        <v>28.8</v>
      </c>
      <c r="AG13" s="55">
        <v>50</v>
      </c>
      <c r="AH13" s="52">
        <f t="shared" si="2"/>
        <v>29.5</v>
      </c>
      <c r="AI13" s="53">
        <f t="shared" si="3"/>
        <v>27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15.7</v>
      </c>
      <c r="C14" s="50">
        <v>15.7</v>
      </c>
      <c r="D14" s="50">
        <v>15.7</v>
      </c>
      <c r="E14" s="50">
        <v>15.7</v>
      </c>
      <c r="F14" s="50">
        <v>15.7</v>
      </c>
      <c r="G14" s="50">
        <v>15.7</v>
      </c>
      <c r="H14" s="50">
        <v>15.7</v>
      </c>
      <c r="I14" s="50">
        <v>15.7</v>
      </c>
      <c r="J14" s="50">
        <v>15.7</v>
      </c>
      <c r="K14" s="50">
        <v>15.7</v>
      </c>
      <c r="L14" s="50">
        <v>15.7</v>
      </c>
      <c r="M14" s="50">
        <v>15.7</v>
      </c>
      <c r="N14" s="50">
        <v>15.7</v>
      </c>
      <c r="O14" s="50">
        <v>15.7</v>
      </c>
      <c r="P14" s="50">
        <v>15.7</v>
      </c>
      <c r="Q14" s="50">
        <v>15.7</v>
      </c>
      <c r="R14" s="50">
        <v>15.7</v>
      </c>
      <c r="S14" s="50">
        <v>15.7</v>
      </c>
      <c r="T14" s="50">
        <v>14.7</v>
      </c>
      <c r="U14" s="50">
        <v>14.7</v>
      </c>
      <c r="V14" s="50">
        <v>14.7</v>
      </c>
      <c r="W14" s="50">
        <v>14.7</v>
      </c>
      <c r="X14" s="50">
        <v>14.7</v>
      </c>
      <c r="Y14" s="50">
        <v>14.7</v>
      </c>
      <c r="Z14" s="50">
        <v>15.6</v>
      </c>
      <c r="AA14" s="50">
        <v>15.6</v>
      </c>
      <c r="AB14" s="50">
        <v>15.6</v>
      </c>
      <c r="AC14" s="50">
        <v>15.6</v>
      </c>
      <c r="AD14" s="50">
        <v>15.6</v>
      </c>
      <c r="AE14" s="50">
        <v>16.399999999999999</v>
      </c>
      <c r="AF14" s="50">
        <v>16.5</v>
      </c>
      <c r="AG14" s="55">
        <v>45</v>
      </c>
      <c r="AH14" s="52">
        <f t="shared" si="2"/>
        <v>16.5</v>
      </c>
      <c r="AI14" s="53">
        <f t="shared" si="3"/>
        <v>14.7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10</v>
      </c>
      <c r="L15" s="50">
        <v>10</v>
      </c>
      <c r="M15" s="50">
        <v>10</v>
      </c>
      <c r="N15" s="50">
        <v>10</v>
      </c>
      <c r="O15" s="50">
        <v>10</v>
      </c>
      <c r="P15" s="50">
        <v>10</v>
      </c>
      <c r="Q15" s="50">
        <v>10</v>
      </c>
      <c r="R15" s="50">
        <v>10</v>
      </c>
      <c r="S15" s="50">
        <v>10</v>
      </c>
      <c r="T15" s="50">
        <v>8</v>
      </c>
      <c r="U15" s="50">
        <v>8</v>
      </c>
      <c r="V15" s="50">
        <v>8</v>
      </c>
      <c r="W15" s="50">
        <v>8</v>
      </c>
      <c r="X15" s="50">
        <v>8</v>
      </c>
      <c r="Y15" s="50">
        <v>8</v>
      </c>
      <c r="Z15" s="50">
        <v>9</v>
      </c>
      <c r="AA15" s="50">
        <v>9</v>
      </c>
      <c r="AB15" s="50">
        <v>9</v>
      </c>
      <c r="AC15" s="50">
        <v>9</v>
      </c>
      <c r="AD15" s="50">
        <v>9</v>
      </c>
      <c r="AE15" s="50">
        <v>12</v>
      </c>
      <c r="AF15" s="50">
        <v>12</v>
      </c>
      <c r="AG15" s="55">
        <v>42</v>
      </c>
      <c r="AH15" s="52">
        <f t="shared" si="2"/>
        <v>12</v>
      </c>
      <c r="AI15" s="53">
        <f t="shared" si="3"/>
        <v>8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9.6</v>
      </c>
      <c r="C17" s="50">
        <v>9.6</v>
      </c>
      <c r="D17" s="50">
        <v>9.6</v>
      </c>
      <c r="E17" s="50">
        <v>9.6</v>
      </c>
      <c r="F17" s="50">
        <v>9.6</v>
      </c>
      <c r="G17" s="50">
        <v>9.6</v>
      </c>
      <c r="H17" s="50">
        <v>9.6</v>
      </c>
      <c r="I17" s="50">
        <v>9.6</v>
      </c>
      <c r="J17" s="50">
        <v>9.6</v>
      </c>
      <c r="K17" s="50">
        <v>9.6</v>
      </c>
      <c r="L17" s="50">
        <v>9.6</v>
      </c>
      <c r="M17" s="50">
        <v>9.6</v>
      </c>
      <c r="N17" s="50">
        <v>9.6</v>
      </c>
      <c r="O17" s="50">
        <v>9.6</v>
      </c>
      <c r="P17" s="50">
        <v>9.6</v>
      </c>
      <c r="Q17" s="50">
        <v>9.6</v>
      </c>
      <c r="R17" s="50">
        <v>9.6</v>
      </c>
      <c r="S17" s="50">
        <v>9.6</v>
      </c>
      <c r="T17" s="50">
        <v>9.6</v>
      </c>
      <c r="U17" s="50">
        <v>9.6</v>
      </c>
      <c r="V17" s="50">
        <v>9.6</v>
      </c>
      <c r="W17" s="50">
        <v>9.6</v>
      </c>
      <c r="X17" s="50">
        <v>9.6</v>
      </c>
      <c r="Y17" s="50">
        <v>9.6</v>
      </c>
      <c r="Z17" s="50">
        <v>9.6</v>
      </c>
      <c r="AA17" s="50">
        <v>9.6</v>
      </c>
      <c r="AB17" s="50">
        <v>9.6</v>
      </c>
      <c r="AC17" s="50">
        <v>9.6</v>
      </c>
      <c r="AD17" s="50">
        <v>9.6</v>
      </c>
      <c r="AE17" s="50">
        <v>9.6</v>
      </c>
      <c r="AF17" s="50">
        <v>9.6</v>
      </c>
      <c r="AG17" s="55">
        <v>36</v>
      </c>
      <c r="AH17" s="52">
        <f t="shared" si="2"/>
        <v>9.6</v>
      </c>
      <c r="AI17" s="53">
        <f t="shared" si="3"/>
        <v>9.6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9.6</v>
      </c>
      <c r="C18" s="50">
        <v>9.6</v>
      </c>
      <c r="D18" s="50">
        <v>9.6</v>
      </c>
      <c r="E18" s="50">
        <v>9.6</v>
      </c>
      <c r="F18" s="50">
        <v>9.6</v>
      </c>
      <c r="G18" s="50">
        <v>9.6</v>
      </c>
      <c r="H18" s="50">
        <v>9.6</v>
      </c>
      <c r="I18" s="50">
        <v>9.6</v>
      </c>
      <c r="J18" s="50">
        <v>9.6</v>
      </c>
      <c r="K18" s="50">
        <v>9.6</v>
      </c>
      <c r="L18" s="50">
        <v>9.6</v>
      </c>
      <c r="M18" s="50">
        <v>9.6</v>
      </c>
      <c r="N18" s="50">
        <v>9.6</v>
      </c>
      <c r="O18" s="50">
        <v>9.6</v>
      </c>
      <c r="P18" s="50">
        <v>9.6</v>
      </c>
      <c r="Q18" s="50">
        <v>9.6</v>
      </c>
      <c r="R18" s="50">
        <v>9.6</v>
      </c>
      <c r="S18" s="50">
        <v>9.6</v>
      </c>
      <c r="T18" s="50">
        <v>8.8000000000000007</v>
      </c>
      <c r="U18" s="50">
        <v>8.8000000000000007</v>
      </c>
      <c r="V18" s="50">
        <v>8.8000000000000007</v>
      </c>
      <c r="W18" s="50">
        <v>8.8000000000000007</v>
      </c>
      <c r="X18" s="50">
        <v>8.8000000000000007</v>
      </c>
      <c r="Y18" s="50">
        <v>8.8000000000000007</v>
      </c>
      <c r="Z18" s="50">
        <v>8.8000000000000007</v>
      </c>
      <c r="AA18" s="50">
        <v>8.8000000000000007</v>
      </c>
      <c r="AB18" s="50">
        <v>8.8000000000000007</v>
      </c>
      <c r="AC18" s="50">
        <v>8.8000000000000007</v>
      </c>
      <c r="AD18" s="50">
        <v>8.8000000000000007</v>
      </c>
      <c r="AE18" s="50">
        <v>8.6999999999999993</v>
      </c>
      <c r="AF18" s="50">
        <v>8.9</v>
      </c>
      <c r="AG18" s="56">
        <v>30</v>
      </c>
      <c r="AH18" s="52">
        <f t="shared" si="2"/>
        <v>9.6</v>
      </c>
      <c r="AI18" s="53">
        <f t="shared" si="3"/>
        <v>8.6999999999999993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7.2</v>
      </c>
      <c r="C19" s="50">
        <v>7.2</v>
      </c>
      <c r="D19" s="50">
        <v>7.2</v>
      </c>
      <c r="E19" s="50">
        <v>7.2</v>
      </c>
      <c r="F19" s="50">
        <v>7.2</v>
      </c>
      <c r="G19" s="50">
        <v>7.2</v>
      </c>
      <c r="H19" s="50">
        <v>7.2</v>
      </c>
      <c r="I19" s="50">
        <v>7.2</v>
      </c>
      <c r="J19" s="50">
        <v>7.2</v>
      </c>
      <c r="K19" s="50">
        <v>7.2</v>
      </c>
      <c r="L19" s="50">
        <v>7.2</v>
      </c>
      <c r="M19" s="50">
        <v>7.2</v>
      </c>
      <c r="N19" s="50">
        <v>7.2</v>
      </c>
      <c r="O19" s="50">
        <v>7.2</v>
      </c>
      <c r="P19" s="50">
        <v>7.2</v>
      </c>
      <c r="Q19" s="50">
        <v>7.2</v>
      </c>
      <c r="R19" s="50">
        <v>7.2</v>
      </c>
      <c r="S19" s="50">
        <v>7.2</v>
      </c>
      <c r="T19" s="50">
        <v>7.2</v>
      </c>
      <c r="U19" s="50">
        <v>7.2</v>
      </c>
      <c r="V19" s="50">
        <v>7.2</v>
      </c>
      <c r="W19" s="50">
        <v>7.2</v>
      </c>
      <c r="X19" s="50">
        <v>7.2</v>
      </c>
      <c r="Y19" s="50">
        <v>7.2</v>
      </c>
      <c r="Z19" s="50">
        <v>7.2</v>
      </c>
      <c r="AA19" s="50">
        <v>7.2</v>
      </c>
      <c r="AB19" s="50">
        <v>7.2</v>
      </c>
      <c r="AC19" s="50">
        <v>7.2</v>
      </c>
      <c r="AD19" s="50">
        <v>7.2</v>
      </c>
      <c r="AE19" s="50">
        <v>6.6</v>
      </c>
      <c r="AF19" s="50">
        <v>6.6</v>
      </c>
      <c r="AG19" s="55">
        <v>24.2</v>
      </c>
      <c r="AH19" s="52">
        <f t="shared" si="2"/>
        <v>7.2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7</v>
      </c>
      <c r="N21" s="50">
        <v>7</v>
      </c>
      <c r="O21" s="50">
        <v>7</v>
      </c>
      <c r="P21" s="50">
        <v>7</v>
      </c>
      <c r="Q21" s="50">
        <v>7</v>
      </c>
      <c r="R21" s="50">
        <v>7</v>
      </c>
      <c r="S21" s="50">
        <v>7</v>
      </c>
      <c r="T21" s="50">
        <v>7</v>
      </c>
      <c r="U21" s="50">
        <v>7</v>
      </c>
      <c r="V21" s="50">
        <v>7</v>
      </c>
      <c r="W21" s="50">
        <v>7</v>
      </c>
      <c r="X21" s="50">
        <v>7</v>
      </c>
      <c r="Y21" s="50">
        <v>7</v>
      </c>
      <c r="Z21" s="50">
        <v>7</v>
      </c>
      <c r="AA21" s="50">
        <v>7</v>
      </c>
      <c r="AB21" s="50">
        <v>7</v>
      </c>
      <c r="AC21" s="50">
        <v>7</v>
      </c>
      <c r="AD21" s="50">
        <v>7</v>
      </c>
      <c r="AE21" s="50">
        <v>7</v>
      </c>
      <c r="AF21" s="50">
        <v>7</v>
      </c>
      <c r="AG21" s="56">
        <v>30</v>
      </c>
      <c r="AH21" s="52">
        <f t="shared" si="2"/>
        <v>7</v>
      </c>
      <c r="AI21" s="53">
        <f t="shared" si="3"/>
        <v>7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10.1</v>
      </c>
      <c r="C22" s="50">
        <v>10.1</v>
      </c>
      <c r="D22" s="50">
        <v>10.1</v>
      </c>
      <c r="E22" s="50">
        <v>10.1</v>
      </c>
      <c r="F22" s="50">
        <v>10.1</v>
      </c>
      <c r="G22" s="50">
        <v>10.1</v>
      </c>
      <c r="H22" s="50">
        <v>10.1</v>
      </c>
      <c r="I22" s="50">
        <v>10.1</v>
      </c>
      <c r="J22" s="50">
        <v>10.1</v>
      </c>
      <c r="K22" s="50">
        <v>10.1</v>
      </c>
      <c r="L22" s="50">
        <v>10.1</v>
      </c>
      <c r="M22" s="50">
        <v>10.1</v>
      </c>
      <c r="N22" s="50">
        <v>10.1</v>
      </c>
      <c r="O22" s="50">
        <v>10.1</v>
      </c>
      <c r="P22" s="50">
        <v>10.1</v>
      </c>
      <c r="Q22" s="50">
        <v>10.1</v>
      </c>
      <c r="R22" s="50">
        <v>10.1</v>
      </c>
      <c r="S22" s="50">
        <v>10.1</v>
      </c>
      <c r="T22" s="50">
        <v>10.1</v>
      </c>
      <c r="U22" s="50">
        <v>10.1</v>
      </c>
      <c r="V22" s="50">
        <v>10.1</v>
      </c>
      <c r="W22" s="50">
        <v>10.1</v>
      </c>
      <c r="X22" s="50">
        <v>10.1</v>
      </c>
      <c r="Y22" s="50">
        <v>10.1</v>
      </c>
      <c r="Z22" s="50">
        <v>10.1</v>
      </c>
      <c r="AA22" s="50">
        <v>10.1</v>
      </c>
      <c r="AB22" s="50">
        <v>10.1</v>
      </c>
      <c r="AC22" s="50">
        <v>10.1</v>
      </c>
      <c r="AD22" s="50">
        <v>10.1</v>
      </c>
      <c r="AE22" s="50">
        <v>8.1999999999999993</v>
      </c>
      <c r="AF22" s="50">
        <v>10</v>
      </c>
      <c r="AG22" s="55">
        <v>25</v>
      </c>
      <c r="AH22" s="52">
        <f t="shared" si="2"/>
        <v>10.1</v>
      </c>
      <c r="AI22" s="53">
        <f t="shared" si="3"/>
        <v>8.1999999999999993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5.2</v>
      </c>
      <c r="C26" s="50">
        <v>5.2</v>
      </c>
      <c r="D26" s="50">
        <v>5.2</v>
      </c>
      <c r="E26" s="50">
        <v>5.2</v>
      </c>
      <c r="F26" s="50">
        <v>5.2</v>
      </c>
      <c r="G26" s="50">
        <v>5.2</v>
      </c>
      <c r="H26" s="50">
        <v>5.2</v>
      </c>
      <c r="I26" s="50">
        <v>5.2</v>
      </c>
      <c r="J26" s="50">
        <v>5.2</v>
      </c>
      <c r="K26" s="50">
        <v>5.2</v>
      </c>
      <c r="L26" s="50">
        <v>5.2</v>
      </c>
      <c r="M26" s="50">
        <v>5.2</v>
      </c>
      <c r="N26" s="50">
        <v>5.2</v>
      </c>
      <c r="O26" s="50">
        <v>5.2</v>
      </c>
      <c r="P26" s="50">
        <v>5.2</v>
      </c>
      <c r="Q26" s="50">
        <v>5.2</v>
      </c>
      <c r="R26" s="50">
        <v>5.2</v>
      </c>
      <c r="S26" s="50">
        <v>5.2</v>
      </c>
      <c r="T26" s="50">
        <v>5.2</v>
      </c>
      <c r="U26" s="50">
        <v>5.2</v>
      </c>
      <c r="V26" s="50">
        <v>5.2</v>
      </c>
      <c r="W26" s="50">
        <v>5.2</v>
      </c>
      <c r="X26" s="50">
        <v>5.2</v>
      </c>
      <c r="Y26" s="50">
        <v>5.2</v>
      </c>
      <c r="Z26" s="50">
        <v>5.2</v>
      </c>
      <c r="AA26" s="50">
        <v>5.2</v>
      </c>
      <c r="AB26" s="50">
        <v>5.2</v>
      </c>
      <c r="AC26" s="50">
        <v>5.2</v>
      </c>
      <c r="AD26" s="50">
        <v>5.2</v>
      </c>
      <c r="AE26" s="50">
        <v>6.3</v>
      </c>
      <c r="AF26" s="50">
        <v>6.3</v>
      </c>
      <c r="AG26" s="55">
        <v>23.5</v>
      </c>
      <c r="AH26" s="52">
        <f t="shared" si="2"/>
        <v>6.3</v>
      </c>
      <c r="AI26" s="53">
        <f t="shared" si="3"/>
        <v>5.2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6</v>
      </c>
      <c r="N28" s="50">
        <v>6</v>
      </c>
      <c r="O28" s="50">
        <v>6</v>
      </c>
      <c r="P28" s="50">
        <v>6</v>
      </c>
      <c r="Q28" s="50">
        <v>6</v>
      </c>
      <c r="R28" s="50">
        <v>6</v>
      </c>
      <c r="S28" s="50">
        <v>6</v>
      </c>
      <c r="T28" s="50">
        <v>6</v>
      </c>
      <c r="U28" s="50">
        <v>6</v>
      </c>
      <c r="V28" s="50">
        <v>6</v>
      </c>
      <c r="W28" s="50">
        <v>6</v>
      </c>
      <c r="X28" s="50">
        <v>6</v>
      </c>
      <c r="Y28" s="50">
        <v>6</v>
      </c>
      <c r="Z28" s="50">
        <v>6</v>
      </c>
      <c r="AA28" s="50">
        <v>6</v>
      </c>
      <c r="AB28" s="50">
        <v>6</v>
      </c>
      <c r="AC28" s="50">
        <v>6</v>
      </c>
      <c r="AD28" s="50">
        <v>6</v>
      </c>
      <c r="AE28" s="50">
        <v>6</v>
      </c>
      <c r="AF28" s="50">
        <v>6</v>
      </c>
      <c r="AG28" s="55">
        <v>22.1</v>
      </c>
      <c r="AH28" s="52">
        <f t="shared" si="2"/>
        <v>6</v>
      </c>
      <c r="AI28" s="53">
        <f t="shared" si="3"/>
        <v>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11.2</v>
      </c>
      <c r="C30" s="50">
        <v>11.2</v>
      </c>
      <c r="D30" s="50">
        <v>11.2</v>
      </c>
      <c r="E30" s="50">
        <v>11.2</v>
      </c>
      <c r="F30" s="50">
        <v>11.2</v>
      </c>
      <c r="G30" s="50">
        <v>11.2</v>
      </c>
      <c r="H30" s="50">
        <v>11.2</v>
      </c>
      <c r="I30" s="50">
        <v>11.2</v>
      </c>
      <c r="J30" s="50">
        <v>11.2</v>
      </c>
      <c r="K30" s="50">
        <v>11.2</v>
      </c>
      <c r="L30" s="50">
        <v>11.2</v>
      </c>
      <c r="M30" s="50">
        <v>11.2</v>
      </c>
      <c r="N30" s="50">
        <v>11.2</v>
      </c>
      <c r="O30" s="50">
        <v>11.2</v>
      </c>
      <c r="P30" s="50">
        <v>11.2</v>
      </c>
      <c r="Q30" s="50">
        <v>11.2</v>
      </c>
      <c r="R30" s="50">
        <v>11.2</v>
      </c>
      <c r="S30" s="50">
        <v>11.2</v>
      </c>
      <c r="T30" s="50">
        <v>11.2</v>
      </c>
      <c r="U30" s="50">
        <v>11.2</v>
      </c>
      <c r="V30" s="50">
        <v>11.2</v>
      </c>
      <c r="W30" s="50">
        <v>11.2</v>
      </c>
      <c r="X30" s="50">
        <v>11.2</v>
      </c>
      <c r="Y30" s="50">
        <v>11.2</v>
      </c>
      <c r="Z30" s="50">
        <v>11.2</v>
      </c>
      <c r="AA30" s="50">
        <v>11.2</v>
      </c>
      <c r="AB30" s="50">
        <v>11.2</v>
      </c>
      <c r="AC30" s="50">
        <v>11.2</v>
      </c>
      <c r="AD30" s="50">
        <v>11.2</v>
      </c>
      <c r="AE30" s="50">
        <v>11</v>
      </c>
      <c r="AF30" s="50">
        <v>11</v>
      </c>
      <c r="AG30" s="55">
        <v>22</v>
      </c>
      <c r="AH30" s="52">
        <f t="shared" si="2"/>
        <v>11.2</v>
      </c>
      <c r="AI30" s="53">
        <f t="shared" si="3"/>
        <v>11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7</v>
      </c>
      <c r="N31" s="50">
        <v>7</v>
      </c>
      <c r="O31" s="50">
        <v>7</v>
      </c>
      <c r="P31" s="50">
        <v>7</v>
      </c>
      <c r="Q31" s="50">
        <v>7</v>
      </c>
      <c r="R31" s="50">
        <v>7</v>
      </c>
      <c r="S31" s="50">
        <v>7</v>
      </c>
      <c r="T31" s="50">
        <v>7</v>
      </c>
      <c r="U31" s="50">
        <v>7</v>
      </c>
      <c r="V31" s="50">
        <v>7</v>
      </c>
      <c r="W31" s="50">
        <v>7</v>
      </c>
      <c r="X31" s="50">
        <v>7</v>
      </c>
      <c r="Y31" s="50">
        <v>7</v>
      </c>
      <c r="Z31" s="50">
        <v>7</v>
      </c>
      <c r="AA31" s="50">
        <v>7</v>
      </c>
      <c r="AB31" s="50">
        <v>7</v>
      </c>
      <c r="AC31" s="50">
        <v>7</v>
      </c>
      <c r="AD31" s="50">
        <v>7</v>
      </c>
      <c r="AE31" s="50">
        <v>7</v>
      </c>
      <c r="AF31" s="50">
        <v>7</v>
      </c>
      <c r="AG31" s="55">
        <v>20</v>
      </c>
      <c r="AH31" s="52">
        <f t="shared" si="2"/>
        <v>7</v>
      </c>
      <c r="AI31" s="53">
        <f t="shared" si="3"/>
        <v>7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3.8</v>
      </c>
      <c r="N32" s="50">
        <v>3.8</v>
      </c>
      <c r="O32" s="50">
        <v>3.8</v>
      </c>
      <c r="P32" s="50">
        <v>3.8</v>
      </c>
      <c r="Q32" s="50">
        <v>3.8</v>
      </c>
      <c r="R32" s="50">
        <v>3.8</v>
      </c>
      <c r="S32" s="50">
        <v>3.8</v>
      </c>
      <c r="T32" s="50">
        <v>3.8</v>
      </c>
      <c r="U32" s="50">
        <v>3.8</v>
      </c>
      <c r="V32" s="50">
        <v>3.8</v>
      </c>
      <c r="W32" s="50">
        <v>3.8</v>
      </c>
      <c r="X32" s="50">
        <v>3.8</v>
      </c>
      <c r="Y32" s="50">
        <v>3.8</v>
      </c>
      <c r="Z32" s="50">
        <v>3.8</v>
      </c>
      <c r="AA32" s="50">
        <v>3.8</v>
      </c>
      <c r="AB32" s="50">
        <v>3.8</v>
      </c>
      <c r="AC32" s="50">
        <v>3.8</v>
      </c>
      <c r="AD32" s="50">
        <v>3.8</v>
      </c>
      <c r="AE32" s="50">
        <v>3.8</v>
      </c>
      <c r="AF32" s="50">
        <v>3.8</v>
      </c>
      <c r="AG32" s="55">
        <v>18</v>
      </c>
      <c r="AH32" s="52">
        <f t="shared" si="2"/>
        <v>3.8</v>
      </c>
      <c r="AI32" s="53">
        <f t="shared" si="3"/>
        <v>3.8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3.5</v>
      </c>
      <c r="C37" s="50">
        <v>3.5</v>
      </c>
      <c r="D37" s="50">
        <v>3.5</v>
      </c>
      <c r="E37" s="50">
        <v>3.5</v>
      </c>
      <c r="F37" s="50">
        <v>3.5</v>
      </c>
      <c r="G37" s="50">
        <v>3.5</v>
      </c>
      <c r="H37" s="50">
        <v>3.5</v>
      </c>
      <c r="I37" s="50">
        <v>3.5</v>
      </c>
      <c r="J37" s="50">
        <v>3.5</v>
      </c>
      <c r="K37" s="50">
        <v>3.5</v>
      </c>
      <c r="L37" s="50">
        <v>3.5</v>
      </c>
      <c r="M37" s="50">
        <v>3.5</v>
      </c>
      <c r="N37" s="50">
        <v>3.5</v>
      </c>
      <c r="O37" s="50">
        <v>3.5</v>
      </c>
      <c r="P37" s="50">
        <v>3.5</v>
      </c>
      <c r="Q37" s="50">
        <v>3.5</v>
      </c>
      <c r="R37" s="50">
        <v>3.5</v>
      </c>
      <c r="S37" s="50">
        <v>3.5</v>
      </c>
      <c r="T37" s="50">
        <v>3.5</v>
      </c>
      <c r="U37" s="50">
        <v>3.5</v>
      </c>
      <c r="V37" s="50">
        <v>3.5</v>
      </c>
      <c r="W37" s="50">
        <v>3.5</v>
      </c>
      <c r="X37" s="50">
        <v>3.5</v>
      </c>
      <c r="Y37" s="50">
        <v>3.5</v>
      </c>
      <c r="Z37" s="50">
        <v>3.5</v>
      </c>
      <c r="AA37" s="50">
        <v>3.5</v>
      </c>
      <c r="AB37" s="50">
        <v>3.5</v>
      </c>
      <c r="AC37" s="50">
        <v>3.5</v>
      </c>
      <c r="AD37" s="50">
        <v>3.5</v>
      </c>
      <c r="AE37" s="50">
        <v>3.5</v>
      </c>
      <c r="AF37" s="50">
        <v>3.5</v>
      </c>
      <c r="AG37" s="55">
        <v>12</v>
      </c>
      <c r="AH37" s="52">
        <f t="shared" si="2"/>
        <v>3.5</v>
      </c>
      <c r="AI37" s="53">
        <f t="shared" si="3"/>
        <v>3.5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6.7</v>
      </c>
      <c r="C38" s="50">
        <v>6.7</v>
      </c>
      <c r="D38" s="50">
        <v>6.7</v>
      </c>
      <c r="E38" s="50">
        <v>6.7</v>
      </c>
      <c r="F38" s="50">
        <v>6.7</v>
      </c>
      <c r="G38" s="50">
        <v>6.7</v>
      </c>
      <c r="H38" s="50">
        <v>6.7</v>
      </c>
      <c r="I38" s="50">
        <v>6.7</v>
      </c>
      <c r="J38" s="50">
        <v>6.7</v>
      </c>
      <c r="K38" s="50">
        <v>6.7</v>
      </c>
      <c r="L38" s="50">
        <v>6.7</v>
      </c>
      <c r="M38" s="50">
        <v>6.7</v>
      </c>
      <c r="N38" s="50">
        <v>6.7</v>
      </c>
      <c r="O38" s="50">
        <v>6.7</v>
      </c>
      <c r="P38" s="50">
        <v>6.7</v>
      </c>
      <c r="Q38" s="50">
        <v>6.7</v>
      </c>
      <c r="R38" s="50">
        <v>6.7</v>
      </c>
      <c r="S38" s="50">
        <v>6.7</v>
      </c>
      <c r="T38" s="50">
        <v>6.7</v>
      </c>
      <c r="U38" s="50">
        <v>6.7</v>
      </c>
      <c r="V38" s="50">
        <v>6.7</v>
      </c>
      <c r="W38" s="50">
        <v>6.7</v>
      </c>
      <c r="X38" s="50">
        <v>6.7</v>
      </c>
      <c r="Y38" s="50">
        <v>6.7</v>
      </c>
      <c r="Z38" s="50">
        <v>6.7</v>
      </c>
      <c r="AA38" s="50">
        <v>6.7</v>
      </c>
      <c r="AB38" s="50">
        <v>6.7</v>
      </c>
      <c r="AC38" s="50">
        <v>6.7</v>
      </c>
      <c r="AD38" s="50">
        <v>6.7</v>
      </c>
      <c r="AE38" s="50">
        <v>6.7</v>
      </c>
      <c r="AF38" s="50">
        <v>6.7</v>
      </c>
      <c r="AG38" s="55">
        <v>12</v>
      </c>
      <c r="AH38" s="52">
        <f t="shared" si="2"/>
        <v>6.7</v>
      </c>
      <c r="AI38" s="53">
        <f t="shared" si="3"/>
        <v>6.7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3.4</v>
      </c>
      <c r="C41" s="50">
        <v>3.4</v>
      </c>
      <c r="D41" s="50">
        <v>3.4</v>
      </c>
      <c r="E41" s="50">
        <v>3.4</v>
      </c>
      <c r="F41" s="50">
        <v>3.4</v>
      </c>
      <c r="G41" s="50">
        <v>3.4</v>
      </c>
      <c r="H41" s="50">
        <v>3.4</v>
      </c>
      <c r="I41" s="50">
        <v>3.4</v>
      </c>
      <c r="J41" s="50">
        <v>3.4</v>
      </c>
      <c r="K41" s="50">
        <v>3.4</v>
      </c>
      <c r="L41" s="50">
        <v>3.4</v>
      </c>
      <c r="M41" s="50">
        <v>3.4</v>
      </c>
      <c r="N41" s="50">
        <v>3.4</v>
      </c>
      <c r="O41" s="50">
        <v>3.4</v>
      </c>
      <c r="P41" s="50">
        <v>3.4</v>
      </c>
      <c r="Q41" s="50">
        <v>3.4</v>
      </c>
      <c r="R41" s="50">
        <v>3.4</v>
      </c>
      <c r="S41" s="50">
        <v>3.4</v>
      </c>
      <c r="T41" s="50">
        <v>3.4</v>
      </c>
      <c r="U41" s="50">
        <v>3.4</v>
      </c>
      <c r="V41" s="50">
        <v>3.4</v>
      </c>
      <c r="W41" s="50">
        <v>3.4</v>
      </c>
      <c r="X41" s="50">
        <v>3.4</v>
      </c>
      <c r="Y41" s="50">
        <v>3.4</v>
      </c>
      <c r="Z41" s="50">
        <v>3.4</v>
      </c>
      <c r="AA41" s="50">
        <v>3.4</v>
      </c>
      <c r="AB41" s="50">
        <v>3.4</v>
      </c>
      <c r="AC41" s="50">
        <v>3.4</v>
      </c>
      <c r="AD41" s="50">
        <v>3.4</v>
      </c>
      <c r="AE41" s="50">
        <v>3.4</v>
      </c>
      <c r="AF41" s="50">
        <v>3.4</v>
      </c>
      <c r="AG41" s="56">
        <v>11.88</v>
      </c>
      <c r="AH41" s="52">
        <f t="shared" si="2"/>
        <v>3.4</v>
      </c>
      <c r="AI41" s="53">
        <f t="shared" si="3"/>
        <v>3.4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4</v>
      </c>
      <c r="N43" s="50">
        <v>4</v>
      </c>
      <c r="O43" s="50">
        <v>4</v>
      </c>
      <c r="P43" s="50">
        <v>4</v>
      </c>
      <c r="Q43" s="50">
        <v>4</v>
      </c>
      <c r="R43" s="50">
        <v>4</v>
      </c>
      <c r="S43" s="50">
        <v>4</v>
      </c>
      <c r="T43" s="50">
        <v>4</v>
      </c>
      <c r="U43" s="50">
        <v>4</v>
      </c>
      <c r="V43" s="50">
        <v>4</v>
      </c>
      <c r="W43" s="50">
        <v>4</v>
      </c>
      <c r="X43" s="50">
        <v>4</v>
      </c>
      <c r="Y43" s="50">
        <v>4</v>
      </c>
      <c r="Z43" s="50">
        <v>4</v>
      </c>
      <c r="AA43" s="50">
        <v>4</v>
      </c>
      <c r="AB43" s="50">
        <v>4</v>
      </c>
      <c r="AC43" s="50">
        <v>4</v>
      </c>
      <c r="AD43" s="50">
        <v>4</v>
      </c>
      <c r="AE43" s="50">
        <v>4</v>
      </c>
      <c r="AF43" s="50">
        <v>4</v>
      </c>
      <c r="AG43" s="61">
        <v>10</v>
      </c>
      <c r="AH43" s="52">
        <f t="shared" si="2"/>
        <v>4</v>
      </c>
      <c r="AI43" s="53">
        <f t="shared" si="3"/>
        <v>4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145</v>
      </c>
      <c r="C46" s="63">
        <v>145</v>
      </c>
      <c r="D46" s="63">
        <v>145</v>
      </c>
      <c r="E46" s="63">
        <v>145</v>
      </c>
      <c r="F46" s="63">
        <v>145</v>
      </c>
      <c r="G46" s="63">
        <v>145</v>
      </c>
      <c r="H46" s="63">
        <v>145</v>
      </c>
      <c r="I46" s="63">
        <v>145</v>
      </c>
      <c r="J46" s="63">
        <v>145</v>
      </c>
      <c r="K46" s="63">
        <v>145</v>
      </c>
      <c r="L46" s="63">
        <v>145</v>
      </c>
      <c r="M46" s="63">
        <v>145</v>
      </c>
      <c r="N46" s="63">
        <v>145</v>
      </c>
      <c r="O46" s="63">
        <v>145</v>
      </c>
      <c r="P46" s="63">
        <v>145</v>
      </c>
      <c r="Q46" s="63">
        <v>145</v>
      </c>
      <c r="R46" s="63">
        <v>145</v>
      </c>
      <c r="S46" s="63">
        <v>145</v>
      </c>
      <c r="T46" s="63">
        <v>145</v>
      </c>
      <c r="U46" s="63">
        <v>145</v>
      </c>
      <c r="V46" s="63">
        <v>145</v>
      </c>
      <c r="W46" s="63">
        <v>145</v>
      </c>
      <c r="X46" s="63">
        <v>145</v>
      </c>
      <c r="Y46" s="63">
        <v>145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145</v>
      </c>
      <c r="AI46" s="53">
        <f t="shared" si="3"/>
        <v>120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389.69999999999993</v>
      </c>
      <c r="C48" s="67">
        <f t="shared" si="4"/>
        <v>389.69999999999993</v>
      </c>
      <c r="D48" s="67">
        <f t="shared" si="4"/>
        <v>389.69999999999993</v>
      </c>
      <c r="E48" s="67">
        <f t="shared" si="4"/>
        <v>389.69999999999993</v>
      </c>
      <c r="F48" s="67">
        <f t="shared" si="4"/>
        <v>389.69999999999993</v>
      </c>
      <c r="G48" s="67">
        <f t="shared" si="4"/>
        <v>389.69999999999993</v>
      </c>
      <c r="H48" s="67">
        <f t="shared" si="4"/>
        <v>389.69999999999993</v>
      </c>
      <c r="I48" s="67">
        <f t="shared" si="4"/>
        <v>389.69999999999993</v>
      </c>
      <c r="J48" s="67">
        <f t="shared" si="4"/>
        <v>389.69999999999993</v>
      </c>
      <c r="K48" s="67">
        <f t="shared" si="4"/>
        <v>389.69999999999993</v>
      </c>
      <c r="L48" s="67">
        <f t="shared" si="4"/>
        <v>389.69999999999993</v>
      </c>
      <c r="M48" s="67">
        <f t="shared" si="4"/>
        <v>389.69999999999993</v>
      </c>
      <c r="N48" s="67">
        <f t="shared" si="4"/>
        <v>389.69999999999993</v>
      </c>
      <c r="O48" s="67">
        <f t="shared" si="4"/>
        <v>389.69999999999993</v>
      </c>
      <c r="P48" s="67">
        <f t="shared" si="4"/>
        <v>389.69999999999993</v>
      </c>
      <c r="Q48" s="67">
        <f t="shared" si="4"/>
        <v>389.69999999999993</v>
      </c>
      <c r="R48" s="67">
        <f t="shared" si="4"/>
        <v>389.69999999999993</v>
      </c>
      <c r="S48" s="67">
        <f t="shared" si="4"/>
        <v>389.69999999999993</v>
      </c>
      <c r="T48" s="67">
        <f t="shared" si="4"/>
        <v>384</v>
      </c>
      <c r="U48" s="67">
        <f t="shared" si="4"/>
        <v>384.59999999999997</v>
      </c>
      <c r="V48" s="67">
        <f t="shared" si="4"/>
        <v>384.59999999999997</v>
      </c>
      <c r="W48" s="67">
        <f t="shared" si="4"/>
        <v>383</v>
      </c>
      <c r="X48" s="67">
        <f t="shared" si="4"/>
        <v>383</v>
      </c>
      <c r="Y48" s="67">
        <f t="shared" si="4"/>
        <v>383</v>
      </c>
      <c r="Z48" s="67">
        <f t="shared" si="4"/>
        <v>361.5</v>
      </c>
      <c r="AA48" s="67">
        <f t="shared" si="4"/>
        <v>361.5</v>
      </c>
      <c r="AB48" s="67">
        <f t="shared" si="4"/>
        <v>361.5</v>
      </c>
      <c r="AC48" s="67">
        <f t="shared" si="4"/>
        <v>361.5</v>
      </c>
      <c r="AD48" s="67">
        <f t="shared" si="4"/>
        <v>361.5</v>
      </c>
      <c r="AE48" s="67">
        <f t="shared" si="4"/>
        <v>364.2</v>
      </c>
      <c r="AF48" s="67">
        <f t="shared" si="4"/>
        <v>366.2</v>
      </c>
      <c r="AG48" s="68">
        <f t="shared" si="4"/>
        <v>875.68</v>
      </c>
      <c r="AH48" s="52">
        <f t="shared" si="2"/>
        <v>389.69999999999993</v>
      </c>
      <c r="AI48" s="53">
        <f t="shared" si="3"/>
        <v>361.5</v>
      </c>
      <c r="AK48" s="54"/>
    </row>
    <row r="49" spans="1:41" x14ac:dyDescent="0.25">
      <c r="A49" s="69" t="s">
        <v>53</v>
      </c>
      <c r="B49" s="50">
        <v>80</v>
      </c>
      <c r="C49" s="50">
        <v>80</v>
      </c>
      <c r="D49" s="50">
        <v>76</v>
      </c>
      <c r="E49" s="50">
        <v>70</v>
      </c>
      <c r="F49" s="50">
        <v>15</v>
      </c>
      <c r="G49" s="50">
        <v>15</v>
      </c>
      <c r="H49" s="50">
        <v>15</v>
      </c>
      <c r="I49" s="50">
        <v>15</v>
      </c>
      <c r="J49" s="50">
        <v>15</v>
      </c>
      <c r="K49" s="50">
        <v>15</v>
      </c>
      <c r="L49" s="50">
        <v>15</v>
      </c>
      <c r="M49" s="70">
        <v>15</v>
      </c>
      <c r="N49" s="70">
        <v>15</v>
      </c>
      <c r="O49" s="70">
        <v>15</v>
      </c>
      <c r="P49" s="70">
        <v>15</v>
      </c>
      <c r="Q49" s="70">
        <v>50</v>
      </c>
      <c r="R49" s="70">
        <v>70</v>
      </c>
      <c r="S49" s="50">
        <v>70</v>
      </c>
      <c r="T49" s="50">
        <v>60</v>
      </c>
      <c r="U49" s="50">
        <v>55</v>
      </c>
      <c r="V49" s="50">
        <v>45</v>
      </c>
      <c r="W49" s="50">
        <v>15</v>
      </c>
      <c r="X49" s="50">
        <v>15</v>
      </c>
      <c r="Y49" s="50">
        <v>15</v>
      </c>
      <c r="Z49" s="50">
        <v>135</v>
      </c>
      <c r="AA49" s="50">
        <v>135</v>
      </c>
      <c r="AB49" s="50">
        <v>135</v>
      </c>
      <c r="AC49" s="50">
        <v>135</v>
      </c>
      <c r="AD49" s="50">
        <v>135</v>
      </c>
      <c r="AE49" s="50">
        <v>90</v>
      </c>
      <c r="AF49" s="50">
        <v>120</v>
      </c>
      <c r="AG49" s="56">
        <v>456</v>
      </c>
      <c r="AH49" s="52">
        <f t="shared" si="2"/>
        <v>135</v>
      </c>
      <c r="AI49" s="53">
        <f t="shared" si="3"/>
        <v>15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11.1</v>
      </c>
      <c r="C51" s="74">
        <v>11.1</v>
      </c>
      <c r="D51" s="74">
        <v>11.1</v>
      </c>
      <c r="E51" s="74">
        <v>11.1</v>
      </c>
      <c r="F51" s="74">
        <v>10.8</v>
      </c>
      <c r="G51" s="74">
        <v>10.8</v>
      </c>
      <c r="H51" s="74">
        <v>10.8</v>
      </c>
      <c r="I51" s="74">
        <v>10.8</v>
      </c>
      <c r="J51" s="74">
        <v>10.8</v>
      </c>
      <c r="K51" s="74">
        <v>10.8</v>
      </c>
      <c r="L51" s="74">
        <v>10.8</v>
      </c>
      <c r="M51" s="74">
        <v>10.8</v>
      </c>
      <c r="N51" s="74">
        <v>10.8</v>
      </c>
      <c r="O51" s="74">
        <v>10.8</v>
      </c>
      <c r="P51" s="74">
        <v>10.8</v>
      </c>
      <c r="Q51" s="74">
        <v>10.8</v>
      </c>
      <c r="R51" s="74">
        <v>10.8</v>
      </c>
      <c r="S51" s="74">
        <v>11.2</v>
      </c>
      <c r="T51" s="74">
        <v>11.2</v>
      </c>
      <c r="U51" s="74">
        <v>11.2</v>
      </c>
      <c r="V51" s="74">
        <v>0</v>
      </c>
      <c r="W51" s="74">
        <v>10</v>
      </c>
      <c r="X51" s="74">
        <v>10</v>
      </c>
      <c r="Y51" s="74">
        <v>10</v>
      </c>
      <c r="Z51" s="74">
        <v>10.199999999999999</v>
      </c>
      <c r="AA51" s="74">
        <v>10.199999999999999</v>
      </c>
      <c r="AB51" s="74">
        <v>10.199999999999999</v>
      </c>
      <c r="AC51" s="74">
        <v>10.199999999999999</v>
      </c>
      <c r="AD51" s="74">
        <v>10.199999999999999</v>
      </c>
      <c r="AE51" s="74">
        <v>10</v>
      </c>
      <c r="AF51" s="74">
        <v>10</v>
      </c>
      <c r="AG51" s="75">
        <v>22.1</v>
      </c>
      <c r="AH51" s="52">
        <f t="shared" si="2"/>
        <v>11.2</v>
      </c>
      <c r="AI51" s="53">
        <f t="shared" si="3"/>
        <v>0</v>
      </c>
      <c r="AK51" s="54"/>
    </row>
    <row r="52" spans="1:41" ht="15.75" thickBot="1" x14ac:dyDescent="0.3">
      <c r="A52" s="76" t="s">
        <v>56</v>
      </c>
      <c r="B52" s="67">
        <f t="shared" ref="B52:AG52" si="5">SUM(B49:B51)</f>
        <v>116.1</v>
      </c>
      <c r="C52" s="67">
        <f t="shared" si="5"/>
        <v>116.1</v>
      </c>
      <c r="D52" s="67">
        <f t="shared" si="5"/>
        <v>112.1</v>
      </c>
      <c r="E52" s="67">
        <f t="shared" si="5"/>
        <v>106.1</v>
      </c>
      <c r="F52" s="67">
        <f t="shared" si="5"/>
        <v>50.8</v>
      </c>
      <c r="G52" s="67">
        <f t="shared" si="5"/>
        <v>50.8</v>
      </c>
      <c r="H52" s="67">
        <f t="shared" si="5"/>
        <v>50.8</v>
      </c>
      <c r="I52" s="67">
        <f t="shared" si="5"/>
        <v>50.8</v>
      </c>
      <c r="J52" s="67">
        <f t="shared" si="5"/>
        <v>50.8</v>
      </c>
      <c r="K52" s="67">
        <f t="shared" si="5"/>
        <v>50.8</v>
      </c>
      <c r="L52" s="67">
        <f t="shared" si="5"/>
        <v>50.8</v>
      </c>
      <c r="M52" s="67">
        <f t="shared" si="5"/>
        <v>50.8</v>
      </c>
      <c r="N52" s="67">
        <f t="shared" si="5"/>
        <v>50.8</v>
      </c>
      <c r="O52" s="67">
        <f t="shared" si="5"/>
        <v>50.8</v>
      </c>
      <c r="P52" s="67">
        <f t="shared" si="5"/>
        <v>50.8</v>
      </c>
      <c r="Q52" s="67">
        <f t="shared" si="5"/>
        <v>85.8</v>
      </c>
      <c r="R52" s="67">
        <f t="shared" si="5"/>
        <v>105.8</v>
      </c>
      <c r="S52" s="67">
        <f t="shared" si="5"/>
        <v>106.2</v>
      </c>
      <c r="T52" s="67">
        <f t="shared" si="5"/>
        <v>96.2</v>
      </c>
      <c r="U52" s="67">
        <f t="shared" si="5"/>
        <v>91.2</v>
      </c>
      <c r="V52" s="67">
        <f t="shared" si="5"/>
        <v>70</v>
      </c>
      <c r="W52" s="67">
        <f t="shared" si="5"/>
        <v>50</v>
      </c>
      <c r="X52" s="67">
        <f t="shared" si="5"/>
        <v>50</v>
      </c>
      <c r="Y52" s="67">
        <f t="shared" si="5"/>
        <v>50</v>
      </c>
      <c r="Z52" s="67">
        <f t="shared" si="5"/>
        <v>170.2</v>
      </c>
      <c r="AA52" s="67">
        <f t="shared" si="5"/>
        <v>170.2</v>
      </c>
      <c r="AB52" s="67">
        <f t="shared" si="5"/>
        <v>170.2</v>
      </c>
      <c r="AC52" s="67">
        <f t="shared" si="5"/>
        <v>170.2</v>
      </c>
      <c r="AD52" s="67">
        <f t="shared" si="5"/>
        <v>170.2</v>
      </c>
      <c r="AE52" s="67">
        <f t="shared" si="5"/>
        <v>125</v>
      </c>
      <c r="AF52" s="67">
        <f t="shared" si="5"/>
        <v>155</v>
      </c>
      <c r="AG52" s="68">
        <f t="shared" si="5"/>
        <v>538.1</v>
      </c>
      <c r="AH52" s="52">
        <f t="shared" si="2"/>
        <v>170.2</v>
      </c>
      <c r="AI52" s="53">
        <f t="shared" si="3"/>
        <v>50</v>
      </c>
      <c r="AK52" s="54"/>
    </row>
    <row r="53" spans="1:41" x14ac:dyDescent="0.25">
      <c r="A53" s="49" t="s">
        <v>57</v>
      </c>
      <c r="B53" s="50">
        <v>61</v>
      </c>
      <c r="C53" s="50">
        <v>61</v>
      </c>
      <c r="D53" s="50">
        <v>61</v>
      </c>
      <c r="E53" s="50">
        <v>45.8</v>
      </c>
      <c r="F53" s="50">
        <v>0</v>
      </c>
      <c r="G53" s="50">
        <v>0</v>
      </c>
      <c r="H53" s="50">
        <v>0</v>
      </c>
      <c r="I53" s="50">
        <v>30</v>
      </c>
      <c r="J53" s="50">
        <v>48.7</v>
      </c>
      <c r="K53" s="50">
        <v>40.200000000000003</v>
      </c>
      <c r="L53" s="50">
        <v>45</v>
      </c>
      <c r="M53" s="50">
        <v>0</v>
      </c>
      <c r="N53" s="50">
        <v>0</v>
      </c>
      <c r="O53" s="50">
        <v>0</v>
      </c>
      <c r="P53" s="50">
        <v>0</v>
      </c>
      <c r="Q53" s="50">
        <v>44</v>
      </c>
      <c r="R53" s="50">
        <v>72.7</v>
      </c>
      <c r="S53" s="50">
        <v>97.3</v>
      </c>
      <c r="T53" s="50">
        <v>97.3</v>
      </c>
      <c r="U53" s="50">
        <v>97.5</v>
      </c>
      <c r="V53" s="50">
        <v>97.5</v>
      </c>
      <c r="W53" s="50">
        <v>76.8</v>
      </c>
      <c r="X53" s="50">
        <v>61.5</v>
      </c>
      <c r="Y53" s="50">
        <v>97.7</v>
      </c>
      <c r="Z53" s="50">
        <v>97.7</v>
      </c>
      <c r="AA53" s="50">
        <v>97.7</v>
      </c>
      <c r="AB53" s="50">
        <v>81.7</v>
      </c>
      <c r="AC53" s="50">
        <v>71</v>
      </c>
      <c r="AD53" s="50">
        <v>71</v>
      </c>
      <c r="AE53" s="50">
        <v>30.6</v>
      </c>
      <c r="AF53" s="50">
        <v>30.6</v>
      </c>
      <c r="AG53" s="56">
        <v>144</v>
      </c>
      <c r="AH53" s="52">
        <f t="shared" si="2"/>
        <v>97.7</v>
      </c>
      <c r="AI53" s="53">
        <f t="shared" si="3"/>
        <v>0</v>
      </c>
      <c r="AK53" s="54"/>
    </row>
    <row r="54" spans="1:41" x14ac:dyDescent="0.25">
      <c r="A54" s="60" t="s">
        <v>58</v>
      </c>
      <c r="B54" s="72">
        <v>22</v>
      </c>
      <c r="C54" s="72">
        <v>22</v>
      </c>
      <c r="D54" s="72">
        <v>22</v>
      </c>
      <c r="E54" s="72">
        <v>21.8</v>
      </c>
      <c r="F54" s="72">
        <v>21.8</v>
      </c>
      <c r="G54" s="72">
        <v>21</v>
      </c>
      <c r="H54" s="72">
        <v>30</v>
      </c>
      <c r="I54" s="72">
        <v>30</v>
      </c>
      <c r="J54" s="72">
        <v>30</v>
      </c>
      <c r="K54" s="72">
        <v>29.8</v>
      </c>
      <c r="L54" s="72">
        <v>22</v>
      </c>
      <c r="M54" s="72">
        <v>22</v>
      </c>
      <c r="N54" s="72">
        <v>22</v>
      </c>
      <c r="O54" s="72">
        <v>35</v>
      </c>
      <c r="P54" s="72">
        <v>35</v>
      </c>
      <c r="Q54" s="72">
        <v>35</v>
      </c>
      <c r="R54" s="72">
        <v>35.6</v>
      </c>
      <c r="S54" s="50">
        <v>35.6</v>
      </c>
      <c r="T54" s="50">
        <v>35.6</v>
      </c>
      <c r="U54" s="50">
        <v>28.9</v>
      </c>
      <c r="V54" s="50">
        <v>29.9</v>
      </c>
      <c r="W54" s="50">
        <v>21.9</v>
      </c>
      <c r="X54" s="50">
        <v>21.8</v>
      </c>
      <c r="Y54" s="50">
        <v>21.7</v>
      </c>
      <c r="Z54" s="50">
        <v>45.5</v>
      </c>
      <c r="AA54" s="50">
        <v>45.5</v>
      </c>
      <c r="AB54" s="72">
        <v>45.6</v>
      </c>
      <c r="AC54" s="72">
        <v>45.6</v>
      </c>
      <c r="AD54" s="72">
        <v>24</v>
      </c>
      <c r="AE54" s="72">
        <v>25</v>
      </c>
      <c r="AF54" s="72">
        <v>0</v>
      </c>
      <c r="AG54" s="61">
        <v>70</v>
      </c>
      <c r="AH54" s="52">
        <f t="shared" si="2"/>
        <v>45.6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33</v>
      </c>
      <c r="C55" s="72">
        <v>33</v>
      </c>
      <c r="D55" s="72">
        <v>33</v>
      </c>
      <c r="E55" s="72">
        <v>23</v>
      </c>
      <c r="F55" s="72">
        <v>16.600000000000001</v>
      </c>
      <c r="G55" s="72">
        <v>16</v>
      </c>
      <c r="H55" s="72">
        <v>23.8</v>
      </c>
      <c r="I55" s="72">
        <v>23.8</v>
      </c>
      <c r="J55" s="72">
        <v>15.9</v>
      </c>
      <c r="K55" s="72">
        <v>16.2</v>
      </c>
      <c r="L55" s="72">
        <v>16.2</v>
      </c>
      <c r="M55" s="72">
        <v>16.2</v>
      </c>
      <c r="N55" s="72">
        <v>16.2</v>
      </c>
      <c r="O55" s="72">
        <v>23</v>
      </c>
      <c r="P55" s="72">
        <v>23</v>
      </c>
      <c r="Q55" s="72">
        <v>48</v>
      </c>
      <c r="R55" s="72">
        <v>46.5</v>
      </c>
      <c r="S55" s="50">
        <v>46.4</v>
      </c>
      <c r="T55" s="50">
        <v>43.2</v>
      </c>
      <c r="U55" s="50">
        <v>43.6</v>
      </c>
      <c r="V55" s="50">
        <v>17.7</v>
      </c>
      <c r="W55" s="50">
        <v>0</v>
      </c>
      <c r="X55" s="50">
        <v>0</v>
      </c>
      <c r="Y55" s="50">
        <v>16</v>
      </c>
      <c r="Z55" s="50">
        <v>44.8</v>
      </c>
      <c r="AA55" s="50">
        <v>44.8</v>
      </c>
      <c r="AB55" s="72">
        <v>32.799999999999997</v>
      </c>
      <c r="AC55" s="72">
        <v>32.799999999999997</v>
      </c>
      <c r="AD55" s="72">
        <v>36</v>
      </c>
      <c r="AE55" s="72">
        <v>36.4</v>
      </c>
      <c r="AF55" s="72">
        <v>36.299999999999997</v>
      </c>
      <c r="AG55" s="61">
        <v>69</v>
      </c>
      <c r="AH55" s="52">
        <f t="shared" si="2"/>
        <v>48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35</v>
      </c>
      <c r="C56" s="72">
        <v>35</v>
      </c>
      <c r="D56" s="72">
        <v>35</v>
      </c>
      <c r="E56" s="72">
        <v>35</v>
      </c>
      <c r="F56" s="72">
        <v>35</v>
      </c>
      <c r="G56" s="72">
        <v>35</v>
      </c>
      <c r="H56" s="72">
        <v>35</v>
      </c>
      <c r="I56" s="72">
        <v>35</v>
      </c>
      <c r="J56" s="72">
        <v>35</v>
      </c>
      <c r="K56" s="72">
        <v>35</v>
      </c>
      <c r="L56" s="72">
        <v>35</v>
      </c>
      <c r="M56" s="72">
        <v>35</v>
      </c>
      <c r="N56" s="72">
        <v>35</v>
      </c>
      <c r="O56" s="72">
        <v>35</v>
      </c>
      <c r="P56" s="72">
        <v>35</v>
      </c>
      <c r="Q56" s="72">
        <v>35</v>
      </c>
      <c r="R56" s="72">
        <v>35</v>
      </c>
      <c r="S56" s="50">
        <v>39.1</v>
      </c>
      <c r="T56" s="50">
        <v>36.799999999999997</v>
      </c>
      <c r="U56" s="50">
        <v>36</v>
      </c>
      <c r="V56" s="50">
        <v>33.299999999999997</v>
      </c>
      <c r="W56" s="50">
        <v>33.299999999999997</v>
      </c>
      <c r="X56" s="50">
        <v>33.5</v>
      </c>
      <c r="Y56" s="50">
        <v>35</v>
      </c>
      <c r="Z56" s="50">
        <v>35.299999999999997</v>
      </c>
      <c r="AA56" s="50">
        <v>35.299999999999997</v>
      </c>
      <c r="AB56" s="72">
        <v>30</v>
      </c>
      <c r="AC56" s="72">
        <v>30</v>
      </c>
      <c r="AD56" s="72">
        <v>30</v>
      </c>
      <c r="AE56" s="72">
        <v>38.299999999999997</v>
      </c>
      <c r="AF56" s="72">
        <v>38</v>
      </c>
      <c r="AG56" s="61">
        <v>60</v>
      </c>
      <c r="AH56" s="52">
        <f t="shared" si="2"/>
        <v>39.1</v>
      </c>
      <c r="AI56" s="53">
        <f t="shared" si="3"/>
        <v>30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0</v>
      </c>
      <c r="J57" s="72">
        <v>0</v>
      </c>
      <c r="K57" s="72">
        <v>15</v>
      </c>
      <c r="L57" s="72">
        <v>15</v>
      </c>
      <c r="M57" s="72">
        <v>15</v>
      </c>
      <c r="N57" s="72">
        <v>15</v>
      </c>
      <c r="O57" s="72">
        <v>15</v>
      </c>
      <c r="P57" s="72">
        <v>15</v>
      </c>
      <c r="Q57" s="72">
        <v>15</v>
      </c>
      <c r="R57" s="72">
        <v>15</v>
      </c>
      <c r="S57" s="50">
        <v>14.4</v>
      </c>
      <c r="T57" s="50">
        <v>14.4</v>
      </c>
      <c r="U57" s="50">
        <v>14.2</v>
      </c>
      <c r="V57" s="50">
        <v>14.2</v>
      </c>
      <c r="W57" s="50">
        <v>14.2</v>
      </c>
      <c r="X57" s="50">
        <v>14.2</v>
      </c>
      <c r="Y57" s="50">
        <v>9.1999999999999993</v>
      </c>
      <c r="Z57" s="50">
        <v>15</v>
      </c>
      <c r="AA57" s="50">
        <v>15</v>
      </c>
      <c r="AB57" s="50">
        <v>10</v>
      </c>
      <c r="AC57" s="50">
        <v>10</v>
      </c>
      <c r="AD57" s="50">
        <v>10</v>
      </c>
      <c r="AE57" s="72">
        <v>10</v>
      </c>
      <c r="AF57" s="72">
        <v>0</v>
      </c>
      <c r="AG57" s="61">
        <v>30</v>
      </c>
      <c r="AH57" s="52">
        <f t="shared" si="2"/>
        <v>15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2</v>
      </c>
      <c r="L58" s="72">
        <v>4</v>
      </c>
      <c r="M58" s="72">
        <v>4</v>
      </c>
      <c r="N58" s="72">
        <v>4</v>
      </c>
      <c r="O58" s="72">
        <v>4</v>
      </c>
      <c r="P58" s="72">
        <v>4</v>
      </c>
      <c r="Q58" s="72">
        <v>4</v>
      </c>
      <c r="R58" s="72">
        <v>4</v>
      </c>
      <c r="S58" s="50">
        <v>4</v>
      </c>
      <c r="T58" s="50">
        <v>6.3</v>
      </c>
      <c r="U58" s="50">
        <v>6.3</v>
      </c>
      <c r="V58" s="50">
        <v>6.3</v>
      </c>
      <c r="W58" s="50">
        <v>6.3</v>
      </c>
      <c r="X58" s="50">
        <v>6.3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72">
        <v>0</v>
      </c>
      <c r="AF58" s="72">
        <v>0</v>
      </c>
      <c r="AG58" s="61">
        <v>25</v>
      </c>
      <c r="AH58" s="52">
        <f t="shared" si="2"/>
        <v>6.3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10</v>
      </c>
      <c r="C59" s="72">
        <v>10</v>
      </c>
      <c r="D59" s="72">
        <v>10</v>
      </c>
      <c r="E59" s="72">
        <v>10</v>
      </c>
      <c r="F59" s="72">
        <v>10</v>
      </c>
      <c r="G59" s="72">
        <v>10</v>
      </c>
      <c r="H59" s="72">
        <v>10</v>
      </c>
      <c r="I59" s="72">
        <v>10</v>
      </c>
      <c r="J59" s="72">
        <v>12</v>
      </c>
      <c r="K59" s="72">
        <v>14</v>
      </c>
      <c r="L59" s="72">
        <v>14</v>
      </c>
      <c r="M59" s="72">
        <v>14</v>
      </c>
      <c r="N59" s="72">
        <v>14</v>
      </c>
      <c r="O59" s="72">
        <v>14</v>
      </c>
      <c r="P59" s="72">
        <v>14</v>
      </c>
      <c r="Q59" s="72">
        <v>14</v>
      </c>
      <c r="R59" s="72">
        <v>14</v>
      </c>
      <c r="S59" s="72">
        <v>14</v>
      </c>
      <c r="T59" s="72">
        <v>14</v>
      </c>
      <c r="U59" s="72">
        <v>14</v>
      </c>
      <c r="V59" s="72">
        <v>14</v>
      </c>
      <c r="W59" s="72">
        <v>14</v>
      </c>
      <c r="X59" s="72">
        <v>14</v>
      </c>
      <c r="Y59" s="72">
        <v>14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10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8.6</v>
      </c>
      <c r="C61" s="72">
        <v>8.6</v>
      </c>
      <c r="D61" s="72">
        <v>8.6</v>
      </c>
      <c r="E61" s="72">
        <v>8.6</v>
      </c>
      <c r="F61" s="72">
        <v>8.6</v>
      </c>
      <c r="G61" s="72">
        <v>8.6</v>
      </c>
      <c r="H61" s="72">
        <v>8.6</v>
      </c>
      <c r="I61" s="72">
        <v>8.6</v>
      </c>
      <c r="J61" s="72">
        <v>9</v>
      </c>
      <c r="K61" s="72">
        <v>9.6999999999999993</v>
      </c>
      <c r="L61" s="72">
        <v>9.6999999999999993</v>
      </c>
      <c r="M61" s="72">
        <v>9.6999999999999993</v>
      </c>
      <c r="N61" s="72">
        <v>9.6999999999999993</v>
      </c>
      <c r="O61" s="72">
        <v>9.6999999999999993</v>
      </c>
      <c r="P61" s="72">
        <v>9.6999999999999993</v>
      </c>
      <c r="Q61" s="72">
        <v>9.6999999999999993</v>
      </c>
      <c r="R61" s="72">
        <v>9.6999999999999993</v>
      </c>
      <c r="S61" s="72">
        <v>9</v>
      </c>
      <c r="T61" s="72">
        <v>8.1999999999999993</v>
      </c>
      <c r="U61" s="72">
        <v>8.4</v>
      </c>
      <c r="V61" s="72">
        <v>8.4</v>
      </c>
      <c r="W61" s="72">
        <v>8.4</v>
      </c>
      <c r="X61" s="72">
        <v>8.4</v>
      </c>
      <c r="Y61" s="72">
        <v>8.4</v>
      </c>
      <c r="Z61" s="72">
        <v>8.4</v>
      </c>
      <c r="AA61" s="72">
        <v>8.4</v>
      </c>
      <c r="AB61" s="72">
        <v>8.4</v>
      </c>
      <c r="AC61" s="72">
        <v>8.4</v>
      </c>
      <c r="AD61" s="72">
        <v>8.4</v>
      </c>
      <c r="AE61" s="72">
        <v>11.8</v>
      </c>
      <c r="AF61" s="72">
        <v>11.8</v>
      </c>
      <c r="AG61" s="61">
        <v>14.1</v>
      </c>
      <c r="AH61" s="52">
        <f t="shared" si="2"/>
        <v>11.8</v>
      </c>
      <c r="AI61" s="53">
        <f t="shared" si="3"/>
        <v>8.1999999999999993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3.6</v>
      </c>
      <c r="C62" s="72">
        <v>3.6</v>
      </c>
      <c r="D62" s="72">
        <v>3.6</v>
      </c>
      <c r="E62" s="72">
        <v>3.6</v>
      </c>
      <c r="F62" s="72">
        <v>3.6</v>
      </c>
      <c r="G62" s="72">
        <v>3.6</v>
      </c>
      <c r="H62" s="72">
        <v>3.6</v>
      </c>
      <c r="I62" s="72">
        <v>3.6</v>
      </c>
      <c r="J62" s="72">
        <v>3.6</v>
      </c>
      <c r="K62" s="72">
        <v>3.6</v>
      </c>
      <c r="L62" s="72">
        <v>3.6</v>
      </c>
      <c r="M62" s="72">
        <v>3.6</v>
      </c>
      <c r="N62" s="72">
        <v>3.6</v>
      </c>
      <c r="O62" s="72">
        <v>3.6</v>
      </c>
      <c r="P62" s="72">
        <v>3.6</v>
      </c>
      <c r="Q62" s="72">
        <v>3.6</v>
      </c>
      <c r="R62" s="72">
        <v>3.6</v>
      </c>
      <c r="S62" s="72">
        <v>3</v>
      </c>
      <c r="T62" s="72">
        <v>3</v>
      </c>
      <c r="U62" s="72">
        <v>3</v>
      </c>
      <c r="V62" s="72">
        <v>3</v>
      </c>
      <c r="W62" s="72">
        <v>3</v>
      </c>
      <c r="X62" s="72">
        <v>3</v>
      </c>
      <c r="Y62" s="72">
        <v>3</v>
      </c>
      <c r="Z62" s="72">
        <v>3</v>
      </c>
      <c r="AA62" s="72">
        <v>3</v>
      </c>
      <c r="AB62" s="72">
        <v>3</v>
      </c>
      <c r="AC62" s="72">
        <v>3</v>
      </c>
      <c r="AD62" s="72">
        <v>3</v>
      </c>
      <c r="AE62" s="72">
        <v>5.3</v>
      </c>
      <c r="AF62" s="72">
        <v>5.3</v>
      </c>
      <c r="AG62" s="61">
        <v>14</v>
      </c>
      <c r="AH62" s="52">
        <f t="shared" si="2"/>
        <v>5.3</v>
      </c>
      <c r="AI62" s="53">
        <f t="shared" si="3"/>
        <v>3</v>
      </c>
      <c r="AK62" s="54"/>
    </row>
    <row r="63" spans="1:41" x14ac:dyDescent="0.25">
      <c r="A63" s="60" t="s">
        <v>67</v>
      </c>
      <c r="B63" s="72">
        <v>3</v>
      </c>
      <c r="C63" s="72">
        <v>3</v>
      </c>
      <c r="D63" s="72">
        <v>3</v>
      </c>
      <c r="E63" s="72">
        <v>3</v>
      </c>
      <c r="F63" s="72">
        <v>3</v>
      </c>
      <c r="G63" s="72">
        <v>3</v>
      </c>
      <c r="H63" s="72">
        <v>3</v>
      </c>
      <c r="I63" s="72">
        <v>3</v>
      </c>
      <c r="J63" s="72">
        <v>3</v>
      </c>
      <c r="K63" s="72">
        <v>3</v>
      </c>
      <c r="L63" s="72">
        <v>3</v>
      </c>
      <c r="M63" s="72">
        <v>3</v>
      </c>
      <c r="N63" s="72">
        <v>3</v>
      </c>
      <c r="O63" s="72">
        <v>3</v>
      </c>
      <c r="P63" s="72">
        <v>3</v>
      </c>
      <c r="Q63" s="72">
        <v>3</v>
      </c>
      <c r="R63" s="72">
        <v>3</v>
      </c>
      <c r="S63" s="72">
        <v>4</v>
      </c>
      <c r="T63" s="72">
        <v>4</v>
      </c>
      <c r="U63" s="72">
        <v>4</v>
      </c>
      <c r="V63" s="72">
        <v>4</v>
      </c>
      <c r="W63" s="72">
        <v>4</v>
      </c>
      <c r="X63" s="72">
        <v>4</v>
      </c>
      <c r="Y63" s="72">
        <v>4</v>
      </c>
      <c r="Z63" s="72">
        <v>3.8</v>
      </c>
      <c r="AA63" s="72">
        <v>3.8</v>
      </c>
      <c r="AB63" s="72">
        <v>3.8</v>
      </c>
      <c r="AC63" s="72">
        <v>3.8</v>
      </c>
      <c r="AD63" s="72">
        <v>3.8</v>
      </c>
      <c r="AE63" s="72">
        <v>3.8</v>
      </c>
      <c r="AF63" s="72">
        <v>3.8</v>
      </c>
      <c r="AG63" s="61">
        <v>10.050000000000001</v>
      </c>
      <c r="AH63" s="52">
        <f t="shared" si="2"/>
        <v>4</v>
      </c>
      <c r="AI63" s="53">
        <f t="shared" si="3"/>
        <v>3</v>
      </c>
      <c r="AK63" s="54"/>
    </row>
    <row r="64" spans="1:41" x14ac:dyDescent="0.25">
      <c r="A64" s="60" t="s">
        <v>68</v>
      </c>
      <c r="B64" s="72">
        <v>2.2999999999999998</v>
      </c>
      <c r="C64" s="72">
        <v>2.2999999999999998</v>
      </c>
      <c r="D64" s="72">
        <v>2.2999999999999998</v>
      </c>
      <c r="E64" s="72">
        <v>2.2999999999999998</v>
      </c>
      <c r="F64" s="72">
        <v>2.2999999999999998</v>
      </c>
      <c r="G64" s="72">
        <v>2.2999999999999998</v>
      </c>
      <c r="H64" s="72">
        <v>2.2999999999999998</v>
      </c>
      <c r="I64" s="72">
        <v>2.2999999999999998</v>
      </c>
      <c r="J64" s="72">
        <v>2.2999999999999998</v>
      </c>
      <c r="K64" s="72">
        <v>2.2999999999999998</v>
      </c>
      <c r="L64" s="72">
        <v>2.2999999999999998</v>
      </c>
      <c r="M64" s="72">
        <v>2.2999999999999998</v>
      </c>
      <c r="N64" s="72">
        <v>2.2999999999999998</v>
      </c>
      <c r="O64" s="72">
        <v>2.2999999999999998</v>
      </c>
      <c r="P64" s="72">
        <v>2.2999999999999998</v>
      </c>
      <c r="Q64" s="72">
        <v>2.2999999999999998</v>
      </c>
      <c r="R64" s="72">
        <v>2.2999999999999998</v>
      </c>
      <c r="S64" s="72">
        <v>2.2999999999999998</v>
      </c>
      <c r="T64" s="72">
        <v>2.2999999999999998</v>
      </c>
      <c r="U64" s="72">
        <v>2.2999999999999998</v>
      </c>
      <c r="V64" s="72">
        <v>2.2999999999999998</v>
      </c>
      <c r="W64" s="72">
        <v>2.2999999999999998</v>
      </c>
      <c r="X64" s="72">
        <v>2.2999999999999998</v>
      </c>
      <c r="Y64" s="72">
        <v>2.2999999999999998</v>
      </c>
      <c r="Z64" s="72">
        <v>2.2999999999999998</v>
      </c>
      <c r="AA64" s="72">
        <v>2.2999999999999998</v>
      </c>
      <c r="AB64" s="72">
        <v>2.2999999999999998</v>
      </c>
      <c r="AC64" s="72">
        <v>2.2999999999999998</v>
      </c>
      <c r="AD64" s="72">
        <v>2.2999999999999998</v>
      </c>
      <c r="AE64" s="72">
        <v>2.6</v>
      </c>
      <c r="AF64" s="72">
        <v>2.6</v>
      </c>
      <c r="AG64" s="61">
        <v>6.2</v>
      </c>
      <c r="AH64" s="52">
        <f t="shared" si="2"/>
        <v>2.6</v>
      </c>
      <c r="AI64" s="53">
        <f t="shared" si="3"/>
        <v>2.2999999999999998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6">SUM(B53:B65)</f>
        <v>182.04</v>
      </c>
      <c r="C66" s="67">
        <f t="shared" si="6"/>
        <v>182.04</v>
      </c>
      <c r="D66" s="67">
        <f t="shared" si="6"/>
        <v>182.04</v>
      </c>
      <c r="E66" s="67">
        <f t="shared" si="6"/>
        <v>156.63999999999999</v>
      </c>
      <c r="F66" s="67">
        <f t="shared" si="6"/>
        <v>104.44</v>
      </c>
      <c r="G66" s="67">
        <f t="shared" si="6"/>
        <v>103.03999999999999</v>
      </c>
      <c r="H66" s="67">
        <f t="shared" si="6"/>
        <v>119.83999999999999</v>
      </c>
      <c r="I66" s="67">
        <f t="shared" si="6"/>
        <v>149.84</v>
      </c>
      <c r="J66" s="67">
        <f t="shared" si="6"/>
        <v>163.04000000000002</v>
      </c>
      <c r="K66" s="67">
        <f t="shared" si="6"/>
        <v>174.33999999999997</v>
      </c>
      <c r="L66" s="67">
        <f t="shared" si="6"/>
        <v>173.33999999999997</v>
      </c>
      <c r="M66" s="67">
        <f t="shared" si="6"/>
        <v>128.34</v>
      </c>
      <c r="N66" s="67">
        <f t="shared" si="6"/>
        <v>128.34</v>
      </c>
      <c r="O66" s="67">
        <f t="shared" si="6"/>
        <v>148.13999999999999</v>
      </c>
      <c r="P66" s="67">
        <f t="shared" si="6"/>
        <v>148.13999999999999</v>
      </c>
      <c r="Q66" s="67">
        <f t="shared" si="6"/>
        <v>217.14</v>
      </c>
      <c r="R66" s="67">
        <f t="shared" si="6"/>
        <v>244.94</v>
      </c>
      <c r="S66" s="67">
        <f t="shared" si="6"/>
        <v>272.64000000000004</v>
      </c>
      <c r="T66" s="67">
        <f t="shared" si="6"/>
        <v>268.6400000000001</v>
      </c>
      <c r="U66" s="67">
        <f t="shared" si="6"/>
        <v>261.74</v>
      </c>
      <c r="V66" s="67">
        <f t="shared" si="6"/>
        <v>234.14</v>
      </c>
      <c r="W66" s="67">
        <f t="shared" si="6"/>
        <v>187.74</v>
      </c>
      <c r="X66" s="67">
        <f t="shared" si="6"/>
        <v>172.54000000000002</v>
      </c>
      <c r="Y66" s="67">
        <f t="shared" si="6"/>
        <v>214.84</v>
      </c>
      <c r="Z66" s="67">
        <f t="shared" si="6"/>
        <v>274.34000000000003</v>
      </c>
      <c r="AA66" s="67">
        <f t="shared" si="6"/>
        <v>274.34000000000003</v>
      </c>
      <c r="AB66" s="67">
        <f t="shared" si="6"/>
        <v>236.14000000000004</v>
      </c>
      <c r="AC66" s="67">
        <f t="shared" si="6"/>
        <v>225.44</v>
      </c>
      <c r="AD66" s="67">
        <f t="shared" si="6"/>
        <v>207.04000000000002</v>
      </c>
      <c r="AE66" s="67">
        <f t="shared" si="6"/>
        <v>182.34000000000003</v>
      </c>
      <c r="AF66" s="67">
        <f t="shared" si="6"/>
        <v>146.94000000000003</v>
      </c>
      <c r="AG66" s="68">
        <f t="shared" si="6"/>
        <v>489.91</v>
      </c>
      <c r="AH66" s="52">
        <f t="shared" si="2"/>
        <v>274.34000000000003</v>
      </c>
      <c r="AI66" s="53">
        <f t="shared" si="3"/>
        <v>103.03999999999999</v>
      </c>
      <c r="AK66" s="54"/>
    </row>
    <row r="67" spans="1:40" x14ac:dyDescent="0.25">
      <c r="A67" s="49" t="s">
        <v>71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35</v>
      </c>
      <c r="N67" s="50">
        <v>35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35</v>
      </c>
      <c r="AK67" s="54"/>
    </row>
    <row r="68" spans="1:40" x14ac:dyDescent="0.25">
      <c r="A68" s="60" t="s">
        <v>72</v>
      </c>
      <c r="B68" s="72">
        <v>28</v>
      </c>
      <c r="C68" s="72">
        <v>28</v>
      </c>
      <c r="D68" s="72">
        <v>28</v>
      </c>
      <c r="E68" s="72">
        <v>28.1</v>
      </c>
      <c r="F68" s="72">
        <v>28.1</v>
      </c>
      <c r="G68" s="72">
        <v>28.1</v>
      </c>
      <c r="H68" s="72">
        <v>28.1</v>
      </c>
      <c r="I68" s="72">
        <v>28.1</v>
      </c>
      <c r="J68" s="72">
        <v>28.1</v>
      </c>
      <c r="K68" s="72">
        <v>28.1</v>
      </c>
      <c r="L68" s="72">
        <v>28.1</v>
      </c>
      <c r="M68" s="72">
        <v>28.1</v>
      </c>
      <c r="N68" s="72">
        <v>28.1</v>
      </c>
      <c r="O68" s="72">
        <v>29.2</v>
      </c>
      <c r="P68" s="72">
        <v>29.2</v>
      </c>
      <c r="Q68" s="72">
        <v>29.2</v>
      </c>
      <c r="R68" s="72">
        <v>29.2</v>
      </c>
      <c r="S68" s="72">
        <v>28.4</v>
      </c>
      <c r="T68" s="72">
        <v>28.3</v>
      </c>
      <c r="U68" s="72">
        <v>28.3</v>
      </c>
      <c r="V68" s="72">
        <v>28.3</v>
      </c>
      <c r="W68" s="72">
        <v>28.3</v>
      </c>
      <c r="X68" s="72">
        <v>28.3</v>
      </c>
      <c r="Y68" s="72">
        <v>28.3</v>
      </c>
      <c r="Z68" s="72">
        <v>28.3</v>
      </c>
      <c r="AA68" s="72">
        <v>28.3</v>
      </c>
      <c r="AB68" s="72">
        <v>28.3</v>
      </c>
      <c r="AC68" s="72">
        <v>28.3</v>
      </c>
      <c r="AD68" s="72">
        <v>28.3</v>
      </c>
      <c r="AE68" s="72">
        <v>28</v>
      </c>
      <c r="AF68" s="50">
        <v>28</v>
      </c>
      <c r="AG68" s="61">
        <v>32</v>
      </c>
      <c r="AH68" s="52">
        <f t="shared" si="2"/>
        <v>29.2</v>
      </c>
      <c r="AI68" s="53">
        <f t="shared" si="3"/>
        <v>28</v>
      </c>
      <c r="AK68" s="54"/>
    </row>
    <row r="69" spans="1:40" ht="15.75" thickBot="1" x14ac:dyDescent="0.3">
      <c r="A69" s="78" t="s">
        <v>73</v>
      </c>
      <c r="B69" s="74">
        <v>10</v>
      </c>
      <c r="C69" s="74">
        <v>10</v>
      </c>
      <c r="D69" s="74">
        <v>10</v>
      </c>
      <c r="E69" s="74">
        <v>10.3</v>
      </c>
      <c r="F69" s="74">
        <v>10.199999999999999</v>
      </c>
      <c r="G69" s="74">
        <v>10.199999999999999</v>
      </c>
      <c r="H69" s="74">
        <v>10.199999999999999</v>
      </c>
      <c r="I69" s="74">
        <v>10.199999999999999</v>
      </c>
      <c r="J69" s="74">
        <v>10.199999999999999</v>
      </c>
      <c r="K69" s="74">
        <v>10.199999999999999</v>
      </c>
      <c r="L69" s="74">
        <v>10.199999999999999</v>
      </c>
      <c r="M69" s="74">
        <v>10.199999999999999</v>
      </c>
      <c r="N69" s="74">
        <v>10.199999999999999</v>
      </c>
      <c r="O69" s="74">
        <v>10.199999999999999</v>
      </c>
      <c r="P69" s="74">
        <v>10.199999999999999</v>
      </c>
      <c r="Q69" s="74">
        <v>10.199999999999999</v>
      </c>
      <c r="R69" s="74">
        <v>10.199999999999999</v>
      </c>
      <c r="S69" s="74">
        <v>10.4</v>
      </c>
      <c r="T69" s="74">
        <v>10.32</v>
      </c>
      <c r="U69" s="74">
        <v>10.6</v>
      </c>
      <c r="V69" s="74">
        <v>10.6</v>
      </c>
      <c r="W69" s="74">
        <v>10.6</v>
      </c>
      <c r="X69" s="74">
        <v>10.6</v>
      </c>
      <c r="Y69" s="74">
        <v>10.6</v>
      </c>
      <c r="Z69" s="74">
        <v>10.6</v>
      </c>
      <c r="AA69" s="74">
        <v>10.6</v>
      </c>
      <c r="AB69" s="74">
        <v>10.6</v>
      </c>
      <c r="AC69" s="74">
        <v>10.6</v>
      </c>
      <c r="AD69" s="74">
        <v>10.6</v>
      </c>
      <c r="AE69" s="74">
        <v>10.199999999999999</v>
      </c>
      <c r="AF69" s="50">
        <v>10.199999999999999</v>
      </c>
      <c r="AG69" s="75">
        <v>14</v>
      </c>
      <c r="AH69" s="52">
        <f t="shared" si="2"/>
        <v>10.6</v>
      </c>
      <c r="AI69" s="53">
        <f t="shared" si="3"/>
        <v>10</v>
      </c>
      <c r="AK69" s="54"/>
    </row>
    <row r="70" spans="1:40" ht="15.75" thickBot="1" x14ac:dyDescent="0.3">
      <c r="A70" s="81" t="s">
        <v>74</v>
      </c>
      <c r="B70" s="67">
        <f t="shared" ref="B70" si="7">B67+B68+B69</f>
        <v>98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98.3</v>
      </c>
      <c r="M70" s="67">
        <f t="shared" ref="M70:AF70" si="8">M67+M68+M69</f>
        <v>73.3</v>
      </c>
      <c r="N70" s="67">
        <f t="shared" si="8"/>
        <v>73.3</v>
      </c>
      <c r="O70" s="67">
        <f t="shared" si="8"/>
        <v>99.4</v>
      </c>
      <c r="P70" s="67">
        <f t="shared" si="8"/>
        <v>99.4</v>
      </c>
      <c r="Q70" s="67">
        <f t="shared" si="8"/>
        <v>99.4</v>
      </c>
      <c r="R70" s="67">
        <f t="shared" si="8"/>
        <v>99.4</v>
      </c>
      <c r="S70" s="67">
        <f t="shared" si="8"/>
        <v>98.800000000000011</v>
      </c>
      <c r="T70" s="67">
        <f t="shared" si="8"/>
        <v>98.62</v>
      </c>
      <c r="U70" s="67">
        <f t="shared" si="8"/>
        <v>98.899999999999991</v>
      </c>
      <c r="V70" s="67">
        <f t="shared" si="8"/>
        <v>98.899999999999991</v>
      </c>
      <c r="W70" s="67">
        <f t="shared" si="8"/>
        <v>98.899999999999991</v>
      </c>
      <c r="X70" s="67">
        <f t="shared" si="8"/>
        <v>98.899999999999991</v>
      </c>
      <c r="Y70" s="67">
        <f t="shared" si="8"/>
        <v>98.899999999999991</v>
      </c>
      <c r="Z70" s="67">
        <f t="shared" si="8"/>
        <v>98.899999999999991</v>
      </c>
      <c r="AA70" s="67">
        <f t="shared" si="8"/>
        <v>98.899999999999991</v>
      </c>
      <c r="AB70" s="67">
        <f t="shared" si="8"/>
        <v>98.899999999999991</v>
      </c>
      <c r="AC70" s="67">
        <f t="shared" si="8"/>
        <v>98.899999999999991</v>
      </c>
      <c r="AD70" s="67">
        <f t="shared" si="8"/>
        <v>98.899999999999991</v>
      </c>
      <c r="AE70" s="67">
        <f t="shared" si="8"/>
        <v>98.2</v>
      </c>
      <c r="AF70" s="67">
        <f t="shared" si="8"/>
        <v>98.2</v>
      </c>
      <c r="AG70" s="68">
        <f>SUM(AG67:AG69)</f>
        <v>106</v>
      </c>
      <c r="AH70" s="52">
        <f t="shared" si="2"/>
        <v>99.4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68</v>
      </c>
      <c r="C71" s="50">
        <v>63</v>
      </c>
      <c r="D71" s="50">
        <v>59</v>
      </c>
      <c r="E71" s="50">
        <v>61.4</v>
      </c>
      <c r="F71" s="50">
        <v>58.9</v>
      </c>
      <c r="G71" s="50">
        <v>65</v>
      </c>
      <c r="H71" s="50">
        <v>66.2</v>
      </c>
      <c r="I71" s="50">
        <v>69</v>
      </c>
      <c r="J71" s="50">
        <v>60</v>
      </c>
      <c r="K71" s="50">
        <v>61.1</v>
      </c>
      <c r="L71" s="50">
        <v>60</v>
      </c>
      <c r="M71" s="50">
        <v>60</v>
      </c>
      <c r="N71" s="50">
        <v>60</v>
      </c>
      <c r="O71" s="50">
        <v>60</v>
      </c>
      <c r="P71" s="50">
        <v>60</v>
      </c>
      <c r="Q71" s="50">
        <v>71.400000000000006</v>
      </c>
      <c r="R71" s="50">
        <v>68</v>
      </c>
      <c r="S71" s="50">
        <v>74</v>
      </c>
      <c r="T71" s="50">
        <v>71.2</v>
      </c>
      <c r="U71" s="50">
        <v>78.099999999999994</v>
      </c>
      <c r="V71" s="50">
        <v>67</v>
      </c>
      <c r="W71" s="50">
        <v>69.8</v>
      </c>
      <c r="X71" s="50">
        <v>68.2</v>
      </c>
      <c r="Y71" s="50">
        <v>62.2</v>
      </c>
      <c r="Z71" s="50">
        <v>68</v>
      </c>
      <c r="AA71" s="50">
        <v>72.3</v>
      </c>
      <c r="AB71" s="50">
        <v>67</v>
      </c>
      <c r="AC71" s="50">
        <v>66</v>
      </c>
      <c r="AD71" s="50">
        <v>61</v>
      </c>
      <c r="AE71" s="50">
        <v>67.8</v>
      </c>
      <c r="AF71" s="50">
        <v>67.400000000000006</v>
      </c>
      <c r="AG71" s="56"/>
      <c r="AH71" s="52">
        <f t="shared" si="2"/>
        <v>78.099999999999994</v>
      </c>
      <c r="AI71" s="53">
        <f t="shared" si="3"/>
        <v>58.9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320</v>
      </c>
      <c r="C73" s="72">
        <v>348</v>
      </c>
      <c r="D73" s="72">
        <v>344</v>
      </c>
      <c r="E73" s="72">
        <v>339.9</v>
      </c>
      <c r="F73" s="72">
        <v>348</v>
      </c>
      <c r="G73" s="72">
        <v>412</v>
      </c>
      <c r="H73" s="72">
        <v>432</v>
      </c>
      <c r="I73" s="72">
        <v>405</v>
      </c>
      <c r="J73" s="72">
        <v>362.4</v>
      </c>
      <c r="K73" s="72">
        <v>392</v>
      </c>
      <c r="L73" s="72">
        <v>379</v>
      </c>
      <c r="M73" s="72">
        <v>347</v>
      </c>
      <c r="N73" s="72">
        <v>347</v>
      </c>
      <c r="O73" s="72">
        <v>433</v>
      </c>
      <c r="P73" s="72">
        <v>433</v>
      </c>
      <c r="Q73" s="72">
        <v>424</v>
      </c>
      <c r="R73" s="72">
        <v>486</v>
      </c>
      <c r="S73" s="72">
        <v>458</v>
      </c>
      <c r="T73" s="72">
        <v>489</v>
      </c>
      <c r="U73" s="72">
        <v>527</v>
      </c>
      <c r="V73" s="72">
        <v>446</v>
      </c>
      <c r="W73" s="72">
        <v>427</v>
      </c>
      <c r="X73" s="72">
        <v>447</v>
      </c>
      <c r="Y73" s="72">
        <v>463</v>
      </c>
      <c r="Z73" s="72">
        <v>410</v>
      </c>
      <c r="AA73" s="72">
        <v>339</v>
      </c>
      <c r="AB73" s="72">
        <v>338</v>
      </c>
      <c r="AC73" s="72">
        <v>360</v>
      </c>
      <c r="AD73" s="72">
        <v>330</v>
      </c>
      <c r="AE73" s="72">
        <v>350</v>
      </c>
      <c r="AF73" s="72">
        <v>360</v>
      </c>
      <c r="AG73" s="82"/>
      <c r="AH73" s="52">
        <f t="shared" si="2"/>
        <v>527</v>
      </c>
      <c r="AI73" s="53">
        <f t="shared" si="3"/>
        <v>320</v>
      </c>
      <c r="AK73" s="54"/>
    </row>
    <row r="74" spans="1:40" x14ac:dyDescent="0.25">
      <c r="A74" s="60" t="s">
        <v>78</v>
      </c>
      <c r="B74" s="72">
        <v>68</v>
      </c>
      <c r="C74" s="72">
        <v>57</v>
      </c>
      <c r="D74" s="72">
        <v>57</v>
      </c>
      <c r="E74" s="83">
        <v>58</v>
      </c>
      <c r="F74" s="83">
        <v>54.2</v>
      </c>
      <c r="G74" s="83">
        <v>61.6</v>
      </c>
      <c r="H74" s="83">
        <v>65</v>
      </c>
      <c r="I74" s="83">
        <v>62</v>
      </c>
      <c r="J74" s="83">
        <v>62.2</v>
      </c>
      <c r="K74" s="83">
        <v>62.2</v>
      </c>
      <c r="L74" s="83">
        <v>53.8</v>
      </c>
      <c r="M74" s="83">
        <v>55</v>
      </c>
      <c r="N74" s="83">
        <v>55</v>
      </c>
      <c r="O74" s="83">
        <v>55</v>
      </c>
      <c r="P74" s="83">
        <v>55</v>
      </c>
      <c r="Q74" s="83">
        <v>55</v>
      </c>
      <c r="R74" s="83">
        <v>71</v>
      </c>
      <c r="S74" s="83">
        <v>62.9</v>
      </c>
      <c r="T74" s="83">
        <v>63.7</v>
      </c>
      <c r="U74" s="83">
        <v>70</v>
      </c>
      <c r="V74" s="83">
        <v>70</v>
      </c>
      <c r="W74" s="83">
        <v>63.4</v>
      </c>
      <c r="X74" s="83">
        <v>63.3</v>
      </c>
      <c r="Y74" s="72">
        <v>65.099999999999994</v>
      </c>
      <c r="Z74" s="72">
        <v>65.3</v>
      </c>
      <c r="AA74" s="72">
        <v>63.6</v>
      </c>
      <c r="AB74" s="72">
        <v>59</v>
      </c>
      <c r="AC74" s="72">
        <v>53</v>
      </c>
      <c r="AD74" s="72">
        <v>53</v>
      </c>
      <c r="AE74" s="72">
        <v>58.9</v>
      </c>
      <c r="AF74" s="72">
        <v>64.900000000000006</v>
      </c>
      <c r="AG74" s="82"/>
      <c r="AH74" s="52">
        <f t="shared" si="2"/>
        <v>71</v>
      </c>
      <c r="AI74" s="53">
        <f t="shared" si="3"/>
        <v>53</v>
      </c>
      <c r="AK74" s="54"/>
    </row>
    <row r="75" spans="1:40" x14ac:dyDescent="0.25">
      <c r="A75" s="60" t="s">
        <v>79</v>
      </c>
      <c r="B75" s="50">
        <v>31</v>
      </c>
      <c r="C75" s="50">
        <v>30</v>
      </c>
      <c r="D75" s="50">
        <v>30</v>
      </c>
      <c r="E75" s="50">
        <v>27.8</v>
      </c>
      <c r="F75" s="50">
        <v>25.7</v>
      </c>
      <c r="G75" s="50">
        <v>23.1</v>
      </c>
      <c r="H75" s="50">
        <v>22.3</v>
      </c>
      <c r="I75" s="50">
        <v>23.4</v>
      </c>
      <c r="J75" s="50">
        <v>24.4</v>
      </c>
      <c r="K75" s="50">
        <v>25</v>
      </c>
      <c r="L75" s="50">
        <v>68.5</v>
      </c>
      <c r="M75" s="50">
        <v>69</v>
      </c>
      <c r="N75" s="50">
        <v>69</v>
      </c>
      <c r="O75" s="50">
        <v>0</v>
      </c>
      <c r="P75" s="50">
        <v>0</v>
      </c>
      <c r="Q75" s="50">
        <v>36</v>
      </c>
      <c r="R75" s="50">
        <v>32.700000000000003</v>
      </c>
      <c r="S75" s="50">
        <v>34.9</v>
      </c>
      <c r="T75" s="50">
        <v>34.5</v>
      </c>
      <c r="U75" s="50">
        <v>34.9</v>
      </c>
      <c r="V75" s="50">
        <v>29.5</v>
      </c>
      <c r="W75" s="50">
        <v>42.2</v>
      </c>
      <c r="X75" s="50">
        <v>84.8</v>
      </c>
      <c r="Y75" s="50">
        <v>90</v>
      </c>
      <c r="Z75" s="50">
        <v>81.7</v>
      </c>
      <c r="AA75" s="50">
        <v>84.6</v>
      </c>
      <c r="AB75" s="50">
        <v>93.5</v>
      </c>
      <c r="AC75" s="50">
        <v>0</v>
      </c>
      <c r="AD75" s="50">
        <v>0</v>
      </c>
      <c r="AE75" s="50">
        <v>25</v>
      </c>
      <c r="AF75" s="50">
        <v>31.1</v>
      </c>
      <c r="AG75" s="82"/>
      <c r="AH75" s="52">
        <f t="shared" ref="AH75:AH117" si="9">MAX(B75:AF75)</f>
        <v>93.5</v>
      </c>
      <c r="AI75" s="53">
        <f t="shared" ref="AI75:AI117" si="10">MIN(B75:AF75)</f>
        <v>0</v>
      </c>
      <c r="AK75" s="54"/>
    </row>
    <row r="76" spans="1:40" x14ac:dyDescent="0.25">
      <c r="A76" s="60" t="s">
        <v>80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9"/>
        <v>5</v>
      </c>
      <c r="AI76" s="53">
        <f t="shared" si="10"/>
        <v>5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9"/>
        <v>0</v>
      </c>
      <c r="AI77" s="53">
        <f t="shared" si="10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9"/>
        <v>0</v>
      </c>
      <c r="AI79" s="53">
        <f t="shared" si="10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9"/>
        <v>0</v>
      </c>
      <c r="AI80" s="53">
        <f t="shared" si="10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1">SUMIF(B71:B81,"&gt;0")</f>
        <v>492</v>
      </c>
      <c r="C82" s="67">
        <f t="shared" si="11"/>
        <v>503</v>
      </c>
      <c r="D82" s="67">
        <f t="shared" si="11"/>
        <v>495</v>
      </c>
      <c r="E82" s="67">
        <f t="shared" si="11"/>
        <v>492.09999999999997</v>
      </c>
      <c r="F82" s="67">
        <f t="shared" si="11"/>
        <v>491.79999999999995</v>
      </c>
      <c r="G82" s="67">
        <f t="shared" si="11"/>
        <v>566.70000000000005</v>
      </c>
      <c r="H82" s="67">
        <f t="shared" si="11"/>
        <v>590.5</v>
      </c>
      <c r="I82" s="67">
        <f t="shared" si="11"/>
        <v>564.4</v>
      </c>
      <c r="J82" s="67">
        <f t="shared" si="11"/>
        <v>514</v>
      </c>
      <c r="K82" s="67">
        <f t="shared" si="11"/>
        <v>545.30000000000007</v>
      </c>
      <c r="L82" s="67">
        <f t="shared" si="11"/>
        <v>566.29999999999995</v>
      </c>
      <c r="M82" s="67">
        <f t="shared" si="11"/>
        <v>536</v>
      </c>
      <c r="N82" s="67">
        <f t="shared" si="11"/>
        <v>536</v>
      </c>
      <c r="O82" s="67">
        <f t="shared" si="11"/>
        <v>553</v>
      </c>
      <c r="P82" s="67">
        <f t="shared" si="11"/>
        <v>553</v>
      </c>
      <c r="Q82" s="67">
        <f t="shared" si="11"/>
        <v>591.4</v>
      </c>
      <c r="R82" s="67">
        <f t="shared" si="11"/>
        <v>662.7</v>
      </c>
      <c r="S82" s="67">
        <f t="shared" si="11"/>
        <v>634.79999999999995</v>
      </c>
      <c r="T82" s="67">
        <f t="shared" si="11"/>
        <v>663.40000000000009</v>
      </c>
      <c r="U82" s="67">
        <f t="shared" si="11"/>
        <v>715</v>
      </c>
      <c r="V82" s="67">
        <f t="shared" si="11"/>
        <v>617.5</v>
      </c>
      <c r="W82" s="67">
        <f t="shared" si="11"/>
        <v>607.40000000000009</v>
      </c>
      <c r="X82" s="67">
        <f t="shared" si="11"/>
        <v>668.3</v>
      </c>
      <c r="Y82" s="67">
        <f t="shared" si="11"/>
        <v>685.30000000000007</v>
      </c>
      <c r="Z82" s="67">
        <f t="shared" si="11"/>
        <v>630</v>
      </c>
      <c r="AA82" s="67">
        <f t="shared" si="11"/>
        <v>564.5</v>
      </c>
      <c r="AB82" s="67">
        <f t="shared" si="11"/>
        <v>562.5</v>
      </c>
      <c r="AC82" s="67">
        <f t="shared" si="11"/>
        <v>484</v>
      </c>
      <c r="AD82" s="67">
        <f t="shared" si="11"/>
        <v>449</v>
      </c>
      <c r="AE82" s="67">
        <f t="shared" si="11"/>
        <v>506.7</v>
      </c>
      <c r="AF82" s="67">
        <f t="shared" si="11"/>
        <v>528.4</v>
      </c>
      <c r="AG82" s="95">
        <f>SUM(AG71:AG81)</f>
        <v>0</v>
      </c>
      <c r="AH82" s="52">
        <f t="shared" si="9"/>
        <v>715</v>
      </c>
      <c r="AI82" s="53">
        <f t="shared" si="10"/>
        <v>449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2">B48+B52+B70+B66+B82+B86</f>
        <v>1277.8399999999999</v>
      </c>
      <c r="C87" s="102">
        <f t="shared" si="12"/>
        <v>1190.8399999999999</v>
      </c>
      <c r="D87" s="102">
        <f t="shared" si="12"/>
        <v>1178.8399999999999</v>
      </c>
      <c r="E87" s="102">
        <f t="shared" si="12"/>
        <v>1144.54</v>
      </c>
      <c r="F87" s="102">
        <f t="shared" si="12"/>
        <v>1036.7399999999998</v>
      </c>
      <c r="G87" s="102">
        <f t="shared" si="12"/>
        <v>1110.24</v>
      </c>
      <c r="H87" s="102">
        <f t="shared" si="12"/>
        <v>1150.8399999999999</v>
      </c>
      <c r="I87" s="102">
        <f t="shared" si="12"/>
        <v>1154.7399999999998</v>
      </c>
      <c r="J87" s="102">
        <f t="shared" si="12"/>
        <v>1117.54</v>
      </c>
      <c r="K87" s="102">
        <f t="shared" si="12"/>
        <v>1160.1399999999999</v>
      </c>
      <c r="L87" s="102">
        <f t="shared" si="12"/>
        <v>1278.4399999999998</v>
      </c>
      <c r="M87" s="102">
        <f t="shared" si="12"/>
        <v>1178.1399999999999</v>
      </c>
      <c r="N87" s="102">
        <f t="shared" si="12"/>
        <v>1178.1399999999999</v>
      </c>
      <c r="O87" s="102">
        <f t="shared" si="12"/>
        <v>1241.04</v>
      </c>
      <c r="P87" s="102">
        <f t="shared" si="12"/>
        <v>1241.04</v>
      </c>
      <c r="Q87" s="102">
        <f t="shared" si="12"/>
        <v>1383.44</v>
      </c>
      <c r="R87" s="102">
        <f t="shared" si="12"/>
        <v>1502.54</v>
      </c>
      <c r="S87" s="102">
        <f t="shared" si="12"/>
        <v>1502.1399999999999</v>
      </c>
      <c r="T87" s="102">
        <f t="shared" si="12"/>
        <v>1510.8600000000001</v>
      </c>
      <c r="U87" s="102">
        <f t="shared" si="12"/>
        <v>1551.44</v>
      </c>
      <c r="V87" s="102">
        <f t="shared" si="12"/>
        <v>1405.1399999999999</v>
      </c>
      <c r="W87" s="102">
        <f t="shared" si="12"/>
        <v>1327.04</v>
      </c>
      <c r="X87" s="102">
        <f t="shared" si="12"/>
        <v>1372.74</v>
      </c>
      <c r="Y87" s="102">
        <f t="shared" si="12"/>
        <v>1432.04</v>
      </c>
      <c r="Z87" s="102">
        <f t="shared" si="12"/>
        <v>1534.94</v>
      </c>
      <c r="AA87" s="102">
        <f t="shared" si="12"/>
        <v>1469.44</v>
      </c>
      <c r="AB87" s="102">
        <f t="shared" si="12"/>
        <v>1429.24</v>
      </c>
      <c r="AC87" s="102">
        <f t="shared" si="12"/>
        <v>1340.04</v>
      </c>
      <c r="AD87" s="102">
        <f t="shared" si="12"/>
        <v>1286.6400000000001</v>
      </c>
      <c r="AE87" s="102">
        <f t="shared" si="12"/>
        <v>1276.44</v>
      </c>
      <c r="AF87" s="102">
        <f t="shared" si="12"/>
        <v>1294.7400000000002</v>
      </c>
      <c r="AG87" s="68">
        <f t="shared" si="12"/>
        <v>2065.09</v>
      </c>
      <c r="AH87" s="52">
        <f>MAX(B87:AF87)</f>
        <v>1551.44</v>
      </c>
      <c r="AI87" s="53">
        <f>MIN(B87:AF87)</f>
        <v>1036.7399999999998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>
        <v>150</v>
      </c>
      <c r="L88" s="104">
        <v>170</v>
      </c>
      <c r="M88" s="104"/>
      <c r="N88" s="104"/>
      <c r="O88" s="104"/>
      <c r="P88" s="104"/>
      <c r="Q88" s="104"/>
      <c r="R88" s="104"/>
      <c r="S88" s="104"/>
      <c r="T88" s="104"/>
      <c r="U88" s="104"/>
      <c r="V88" s="104">
        <v>100</v>
      </c>
      <c r="W88" s="104">
        <v>150</v>
      </c>
      <c r="X88" s="104">
        <v>200</v>
      </c>
      <c r="Y88" s="104">
        <v>200</v>
      </c>
      <c r="Z88" s="104">
        <v>200</v>
      </c>
      <c r="AA88" s="104">
        <v>200</v>
      </c>
      <c r="AB88" s="104">
        <v>200</v>
      </c>
      <c r="AC88" s="104"/>
      <c r="AD88" s="104"/>
      <c r="AE88" s="104"/>
      <c r="AF88" s="104"/>
      <c r="AG88" s="95"/>
      <c r="AH88" s="52">
        <f t="shared" si="9"/>
        <v>200</v>
      </c>
      <c r="AI88" s="53">
        <f t="shared" si="10"/>
        <v>100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3">B87+B88</f>
        <v>1277.8399999999999</v>
      </c>
      <c r="C89" s="102">
        <f t="shared" si="13"/>
        <v>1190.8399999999999</v>
      </c>
      <c r="D89" s="102">
        <f t="shared" si="13"/>
        <v>1178.8399999999999</v>
      </c>
      <c r="E89" s="102">
        <f t="shared" si="13"/>
        <v>1144.54</v>
      </c>
      <c r="F89" s="102">
        <f t="shared" si="13"/>
        <v>1036.7399999999998</v>
      </c>
      <c r="G89" s="102">
        <f t="shared" si="13"/>
        <v>1110.24</v>
      </c>
      <c r="H89" s="102">
        <f t="shared" si="13"/>
        <v>1150.8399999999999</v>
      </c>
      <c r="I89" s="102">
        <f t="shared" si="13"/>
        <v>1154.7399999999998</v>
      </c>
      <c r="J89" s="102">
        <f t="shared" si="13"/>
        <v>1117.54</v>
      </c>
      <c r="K89" s="102">
        <f t="shared" si="13"/>
        <v>1310.1399999999999</v>
      </c>
      <c r="L89" s="102">
        <f t="shared" si="13"/>
        <v>1448.4399999999998</v>
      </c>
      <c r="M89" s="102">
        <f t="shared" si="13"/>
        <v>1178.1399999999999</v>
      </c>
      <c r="N89" s="102">
        <f t="shared" si="13"/>
        <v>1178.1399999999999</v>
      </c>
      <c r="O89" s="102">
        <f t="shared" si="13"/>
        <v>1241.04</v>
      </c>
      <c r="P89" s="102">
        <f t="shared" si="13"/>
        <v>1241.04</v>
      </c>
      <c r="Q89" s="102">
        <f t="shared" si="13"/>
        <v>1383.44</v>
      </c>
      <c r="R89" s="102">
        <f t="shared" si="13"/>
        <v>1502.54</v>
      </c>
      <c r="S89" s="102">
        <f t="shared" si="13"/>
        <v>1502.1399999999999</v>
      </c>
      <c r="T89" s="102">
        <f t="shared" si="13"/>
        <v>1510.8600000000001</v>
      </c>
      <c r="U89" s="102">
        <f t="shared" si="13"/>
        <v>1551.44</v>
      </c>
      <c r="V89" s="102">
        <f t="shared" si="13"/>
        <v>1505.1399999999999</v>
      </c>
      <c r="W89" s="102">
        <f t="shared" si="13"/>
        <v>1477.04</v>
      </c>
      <c r="X89" s="102">
        <f t="shared" si="13"/>
        <v>1572.74</v>
      </c>
      <c r="Y89" s="102">
        <f t="shared" si="13"/>
        <v>1632.04</v>
      </c>
      <c r="Z89" s="102">
        <f t="shared" si="13"/>
        <v>1734.94</v>
      </c>
      <c r="AA89" s="102">
        <f t="shared" si="13"/>
        <v>1669.44</v>
      </c>
      <c r="AB89" s="102">
        <f t="shared" si="13"/>
        <v>1629.24</v>
      </c>
      <c r="AC89" s="102">
        <f t="shared" si="13"/>
        <v>1340.04</v>
      </c>
      <c r="AD89" s="102">
        <f t="shared" si="13"/>
        <v>1286.6400000000001</v>
      </c>
      <c r="AE89" s="102">
        <f t="shared" si="13"/>
        <v>1276.44</v>
      </c>
      <c r="AF89" s="102">
        <f t="shared" si="13"/>
        <v>1294.7400000000002</v>
      </c>
      <c r="AG89" s="95">
        <f>AG86+AG82+AG70+AG66+AG48+AG88</f>
        <v>1526.99</v>
      </c>
      <c r="AH89" s="52">
        <f t="shared" si="9"/>
        <v>1734.94</v>
      </c>
      <c r="AI89" s="53">
        <f t="shared" si="10"/>
        <v>1036.7399999999998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14">B89-B97</f>
        <v>1277.8399999999999</v>
      </c>
      <c r="C90" s="102">
        <f t="shared" si="14"/>
        <v>1190.8399999999999</v>
      </c>
      <c r="D90" s="102">
        <f t="shared" si="14"/>
        <v>1178.8399999999999</v>
      </c>
      <c r="E90" s="102">
        <f t="shared" si="14"/>
        <v>1144.54</v>
      </c>
      <c r="F90" s="102">
        <f t="shared" si="14"/>
        <v>1036.7399999999998</v>
      </c>
      <c r="G90" s="102">
        <f t="shared" si="14"/>
        <v>1110.24</v>
      </c>
      <c r="H90" s="102">
        <f t="shared" si="14"/>
        <v>1150.8399999999999</v>
      </c>
      <c r="I90" s="102">
        <f t="shared" si="14"/>
        <v>1154.7399999999998</v>
      </c>
      <c r="J90" s="102">
        <f t="shared" si="14"/>
        <v>1117.54</v>
      </c>
      <c r="K90" s="102">
        <f t="shared" si="14"/>
        <v>1310.1399999999999</v>
      </c>
      <c r="L90" s="102">
        <f t="shared" si="14"/>
        <v>1448.4399999999998</v>
      </c>
      <c r="M90" s="102">
        <f t="shared" si="14"/>
        <v>1178.1399999999999</v>
      </c>
      <c r="N90" s="102">
        <f t="shared" si="14"/>
        <v>1178.1399999999999</v>
      </c>
      <c r="O90" s="102">
        <f t="shared" si="14"/>
        <v>1241.04</v>
      </c>
      <c r="P90" s="102">
        <f t="shared" si="14"/>
        <v>1241.04</v>
      </c>
      <c r="Q90" s="102">
        <f t="shared" si="14"/>
        <v>1383.44</v>
      </c>
      <c r="R90" s="102">
        <f t="shared" si="14"/>
        <v>1502.54</v>
      </c>
      <c r="S90" s="102">
        <f t="shared" si="14"/>
        <v>1502.1399999999999</v>
      </c>
      <c r="T90" s="102">
        <f t="shared" si="14"/>
        <v>1510.8600000000001</v>
      </c>
      <c r="U90" s="102">
        <f t="shared" si="14"/>
        <v>1551.44</v>
      </c>
      <c r="V90" s="102">
        <f t="shared" si="14"/>
        <v>1505.1399999999999</v>
      </c>
      <c r="W90" s="102">
        <f t="shared" si="14"/>
        <v>1477.04</v>
      </c>
      <c r="X90" s="102">
        <f t="shared" si="14"/>
        <v>1572.74</v>
      </c>
      <c r="Y90" s="102">
        <f t="shared" si="14"/>
        <v>1632.04</v>
      </c>
      <c r="Z90" s="102">
        <f t="shared" si="14"/>
        <v>1734.94</v>
      </c>
      <c r="AA90" s="102">
        <f t="shared" si="14"/>
        <v>1669.44</v>
      </c>
      <c r="AB90" s="102">
        <f t="shared" si="14"/>
        <v>1629.24</v>
      </c>
      <c r="AC90" s="102">
        <f t="shared" si="14"/>
        <v>1340.04</v>
      </c>
      <c r="AD90" s="102">
        <f t="shared" si="14"/>
        <v>1286.6400000000001</v>
      </c>
      <c r="AE90" s="102">
        <f t="shared" si="14"/>
        <v>1276.44</v>
      </c>
      <c r="AF90" s="102">
        <f t="shared" si="14"/>
        <v>1294.7400000000002</v>
      </c>
      <c r="AG90" s="95"/>
      <c r="AH90" s="52">
        <f t="shared" si="9"/>
        <v>1734.94</v>
      </c>
      <c r="AI90" s="53">
        <f t="shared" si="10"/>
        <v>1036.7399999999998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15">B82-B97</f>
        <v>492</v>
      </c>
      <c r="C98" s="67">
        <f t="shared" si="15"/>
        <v>503</v>
      </c>
      <c r="D98" s="67">
        <f t="shared" si="15"/>
        <v>495</v>
      </c>
      <c r="E98" s="67">
        <f t="shared" si="15"/>
        <v>492.09999999999997</v>
      </c>
      <c r="F98" s="67">
        <f t="shared" si="15"/>
        <v>491.79999999999995</v>
      </c>
      <c r="G98" s="67">
        <f t="shared" si="15"/>
        <v>566.70000000000005</v>
      </c>
      <c r="H98" s="67">
        <f t="shared" si="15"/>
        <v>590.5</v>
      </c>
      <c r="I98" s="67">
        <f t="shared" si="15"/>
        <v>564.4</v>
      </c>
      <c r="J98" s="67">
        <f t="shared" si="15"/>
        <v>514</v>
      </c>
      <c r="K98" s="67">
        <f t="shared" si="15"/>
        <v>545.30000000000007</v>
      </c>
      <c r="L98" s="67">
        <f t="shared" si="15"/>
        <v>566.29999999999995</v>
      </c>
      <c r="M98" s="67">
        <f t="shared" si="15"/>
        <v>536</v>
      </c>
      <c r="N98" s="67">
        <f t="shared" si="15"/>
        <v>536</v>
      </c>
      <c r="O98" s="67">
        <f t="shared" si="15"/>
        <v>553</v>
      </c>
      <c r="P98" s="67">
        <f t="shared" si="15"/>
        <v>553</v>
      </c>
      <c r="Q98" s="67">
        <f t="shared" si="15"/>
        <v>591.4</v>
      </c>
      <c r="R98" s="67">
        <f t="shared" si="15"/>
        <v>662.7</v>
      </c>
      <c r="S98" s="67">
        <f t="shared" si="15"/>
        <v>634.79999999999995</v>
      </c>
      <c r="T98" s="67">
        <f t="shared" si="15"/>
        <v>663.40000000000009</v>
      </c>
      <c r="U98" s="67">
        <f t="shared" si="15"/>
        <v>715</v>
      </c>
      <c r="V98" s="67">
        <f t="shared" si="15"/>
        <v>617.5</v>
      </c>
      <c r="W98" s="67">
        <f t="shared" si="15"/>
        <v>607.40000000000009</v>
      </c>
      <c r="X98" s="67">
        <f t="shared" si="15"/>
        <v>668.3</v>
      </c>
      <c r="Y98" s="67">
        <f t="shared" si="15"/>
        <v>685.30000000000007</v>
      </c>
      <c r="Z98" s="67">
        <f t="shared" si="15"/>
        <v>630</v>
      </c>
      <c r="AA98" s="67">
        <f t="shared" si="15"/>
        <v>564.5</v>
      </c>
      <c r="AB98" s="67">
        <f t="shared" si="15"/>
        <v>562.5</v>
      </c>
      <c r="AC98" s="67">
        <f t="shared" si="15"/>
        <v>484</v>
      </c>
      <c r="AD98" s="67">
        <f t="shared" si="15"/>
        <v>449</v>
      </c>
      <c r="AE98" s="67">
        <f t="shared" si="15"/>
        <v>506.7</v>
      </c>
      <c r="AF98" s="67">
        <f t="shared" si="15"/>
        <v>528.4</v>
      </c>
      <c r="AG98" s="95"/>
      <c r="AH98" s="52">
        <f t="shared" si="9"/>
        <v>715</v>
      </c>
      <c r="AI98" s="53">
        <f t="shared" si="10"/>
        <v>449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</v>
      </c>
      <c r="C99" s="108">
        <v>50.01</v>
      </c>
      <c r="D99" s="108">
        <v>50.04</v>
      </c>
      <c r="E99" s="108">
        <v>49.948</v>
      </c>
      <c r="F99" s="108">
        <v>49.963999999999999</v>
      </c>
      <c r="G99" s="108">
        <v>49.993000000000002</v>
      </c>
      <c r="H99" s="108">
        <v>49.835999999999999</v>
      </c>
      <c r="I99" s="108">
        <v>49.875999999999998</v>
      </c>
      <c r="J99" s="108">
        <v>49.94</v>
      </c>
      <c r="K99" s="108">
        <v>50.075000000000003</v>
      </c>
      <c r="L99" s="108">
        <v>50.125</v>
      </c>
      <c r="M99" s="108">
        <v>49.968000000000004</v>
      </c>
      <c r="N99" s="108">
        <v>49.968000000000004</v>
      </c>
      <c r="O99" s="108">
        <v>49.898000000000003</v>
      </c>
      <c r="P99" s="108">
        <v>49.898000000000003</v>
      </c>
      <c r="Q99" s="108">
        <v>50.012</v>
      </c>
      <c r="R99" s="108">
        <v>50.052</v>
      </c>
      <c r="S99" s="108">
        <v>49.978999999999999</v>
      </c>
      <c r="T99" s="108">
        <v>49.762999999999998</v>
      </c>
      <c r="U99" s="108">
        <v>50.146000000000001</v>
      </c>
      <c r="V99" s="108">
        <v>49.975000000000001</v>
      </c>
      <c r="W99" s="108">
        <v>50.68</v>
      </c>
      <c r="X99" s="108">
        <v>49.905999999999999</v>
      </c>
      <c r="Y99" s="108">
        <v>50.066000000000003</v>
      </c>
      <c r="Z99" s="108">
        <v>50.023000000000003</v>
      </c>
      <c r="AA99" s="108">
        <v>49.924500000000002</v>
      </c>
      <c r="AB99" s="108">
        <v>50.078000000000003</v>
      </c>
      <c r="AC99" s="108">
        <v>50.078000000000003</v>
      </c>
      <c r="AD99" s="108">
        <v>49.947000000000003</v>
      </c>
      <c r="AE99" s="108">
        <v>49.9</v>
      </c>
      <c r="AF99" s="108">
        <v>50.01</v>
      </c>
      <c r="AG99" s="109"/>
      <c r="AH99" s="52">
        <f t="shared" si="9"/>
        <v>50.68</v>
      </c>
      <c r="AI99" s="53">
        <f t="shared" si="10"/>
        <v>49.762999999999998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129</v>
      </c>
      <c r="C100" s="72">
        <v>127</v>
      </c>
      <c r="D100" s="72">
        <v>129</v>
      </c>
      <c r="E100" s="72">
        <v>127.3</v>
      </c>
      <c r="F100" s="72">
        <v>127.3</v>
      </c>
      <c r="G100" s="72">
        <v>124.6</v>
      </c>
      <c r="H100" s="72">
        <v>125.7</v>
      </c>
      <c r="I100" s="72">
        <v>128.69999999999999</v>
      </c>
      <c r="J100" s="72">
        <v>128.69999999999999</v>
      </c>
      <c r="K100" s="72">
        <v>129.30000000000001</v>
      </c>
      <c r="L100" s="72">
        <v>127.7</v>
      </c>
      <c r="M100" s="72">
        <v>128.19999999999999</v>
      </c>
      <c r="N100" s="72">
        <v>128.19999999999999</v>
      </c>
      <c r="O100" s="72">
        <v>124.9</v>
      </c>
      <c r="P100" s="72">
        <v>124.9</v>
      </c>
      <c r="Q100" s="72">
        <v>125.5</v>
      </c>
      <c r="R100" s="72">
        <v>123.4</v>
      </c>
      <c r="S100" s="72">
        <v>124.2</v>
      </c>
      <c r="T100" s="72">
        <v>125.6</v>
      </c>
      <c r="U100" s="72">
        <v>125.9</v>
      </c>
      <c r="V100" s="72">
        <v>125.9</v>
      </c>
      <c r="W100" s="72">
        <v>129.05000000000001</v>
      </c>
      <c r="X100" s="72">
        <v>128</v>
      </c>
      <c r="Y100" s="72">
        <v>128.80000000000001</v>
      </c>
      <c r="Z100" s="72">
        <v>127.2</v>
      </c>
      <c r="AA100" s="72">
        <v>128.4</v>
      </c>
      <c r="AB100" s="72">
        <v>130.19999999999999</v>
      </c>
      <c r="AC100" s="72">
        <v>130.19999999999999</v>
      </c>
      <c r="AD100" s="72">
        <v>130.19999999999999</v>
      </c>
      <c r="AE100" s="72">
        <v>126.9</v>
      </c>
      <c r="AF100" s="72">
        <v>125.8</v>
      </c>
      <c r="AG100" s="111"/>
      <c r="AH100" s="52">
        <f t="shared" si="9"/>
        <v>130.19999999999999</v>
      </c>
      <c r="AI100" s="53">
        <f t="shared" si="10"/>
        <v>123.4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</v>
      </c>
      <c r="C101" s="72">
        <v>131</v>
      </c>
      <c r="D101" s="72">
        <v>133</v>
      </c>
      <c r="E101" s="72">
        <v>132.4</v>
      </c>
      <c r="F101" s="72">
        <v>132.30000000000001</v>
      </c>
      <c r="G101" s="72">
        <v>129.4</v>
      </c>
      <c r="H101" s="72">
        <v>129.9</v>
      </c>
      <c r="I101" s="72">
        <v>131</v>
      </c>
      <c r="J101" s="72">
        <v>131</v>
      </c>
      <c r="K101" s="72">
        <v>130.6</v>
      </c>
      <c r="L101" s="72">
        <v>129.5</v>
      </c>
      <c r="M101" s="72">
        <v>129.5</v>
      </c>
      <c r="N101" s="72">
        <v>129.5</v>
      </c>
      <c r="O101" s="72">
        <v>128.1</v>
      </c>
      <c r="P101" s="72">
        <v>128.1</v>
      </c>
      <c r="Q101" s="72">
        <v>128.69999999999999</v>
      </c>
      <c r="R101" s="72">
        <v>127.1</v>
      </c>
      <c r="S101" s="72">
        <v>127.6</v>
      </c>
      <c r="T101" s="72">
        <v>128.5</v>
      </c>
      <c r="U101" s="72">
        <v>129</v>
      </c>
      <c r="V101" s="72">
        <v>129</v>
      </c>
      <c r="W101" s="72">
        <v>130.9</v>
      </c>
      <c r="X101" s="72">
        <v>129.9</v>
      </c>
      <c r="Y101" s="72">
        <v>129.69999999999999</v>
      </c>
      <c r="Z101" s="72">
        <v>128.69999999999999</v>
      </c>
      <c r="AA101" s="72">
        <v>130</v>
      </c>
      <c r="AB101" s="72">
        <v>132</v>
      </c>
      <c r="AC101" s="72">
        <v>132</v>
      </c>
      <c r="AD101" s="72">
        <v>132</v>
      </c>
      <c r="AE101" s="72">
        <v>131.1</v>
      </c>
      <c r="AF101" s="72">
        <v>130.30000000000001</v>
      </c>
      <c r="AG101" s="111"/>
      <c r="AH101" s="52">
        <f t="shared" si="9"/>
        <v>133</v>
      </c>
      <c r="AI101" s="53">
        <f t="shared" si="10"/>
        <v>127.1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129</v>
      </c>
      <c r="C102" s="72">
        <v>129</v>
      </c>
      <c r="D102" s="72">
        <v>130</v>
      </c>
      <c r="E102" s="72">
        <v>129.80000000000001</v>
      </c>
      <c r="F102" s="72">
        <v>129.69999999999999</v>
      </c>
      <c r="G102" s="72">
        <v>131.80000000000001</v>
      </c>
      <c r="H102" s="72">
        <v>129</v>
      </c>
      <c r="I102" s="72">
        <v>128.80000000000001</v>
      </c>
      <c r="J102" s="72">
        <v>128.80000000000001</v>
      </c>
      <c r="K102" s="72">
        <v>129.69999999999999</v>
      </c>
      <c r="L102" s="72">
        <v>126.2</v>
      </c>
      <c r="M102" s="72">
        <v>128.6</v>
      </c>
      <c r="N102" s="72">
        <v>128.6</v>
      </c>
      <c r="O102" s="72">
        <v>128.6</v>
      </c>
      <c r="P102" s="72">
        <v>128.6</v>
      </c>
      <c r="Q102" s="72">
        <v>124</v>
      </c>
      <c r="R102" s="72">
        <v>116.7</v>
      </c>
      <c r="S102" s="72">
        <v>126.9</v>
      </c>
      <c r="T102" s="72">
        <v>125.1</v>
      </c>
      <c r="U102" s="72">
        <v>126</v>
      </c>
      <c r="V102" s="72">
        <v>126</v>
      </c>
      <c r="W102" s="72">
        <v>126</v>
      </c>
      <c r="X102" s="72">
        <v>128</v>
      </c>
      <c r="Y102" s="72">
        <v>126.3</v>
      </c>
      <c r="Z102" s="72">
        <v>126.4</v>
      </c>
      <c r="AA102" s="72">
        <v>130.5</v>
      </c>
      <c r="AB102" s="72">
        <v>127.1</v>
      </c>
      <c r="AC102" s="72">
        <v>127.1</v>
      </c>
      <c r="AD102" s="72">
        <v>127.1</v>
      </c>
      <c r="AE102" s="72">
        <v>127.8</v>
      </c>
      <c r="AF102" s="72">
        <v>130.69999999999999</v>
      </c>
      <c r="AG102" s="111"/>
      <c r="AH102" s="52">
        <f t="shared" si="9"/>
        <v>131.80000000000001</v>
      </c>
      <c r="AI102" s="53">
        <f t="shared" si="10"/>
        <v>116.7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130</v>
      </c>
      <c r="C104" s="113">
        <v>129</v>
      </c>
      <c r="D104" s="113">
        <v>131</v>
      </c>
      <c r="E104" s="113">
        <v>45.8</v>
      </c>
      <c r="F104" s="113">
        <v>130.19999999999999</v>
      </c>
      <c r="G104" s="113">
        <v>125.4</v>
      </c>
      <c r="H104" s="113">
        <v>129.4</v>
      </c>
      <c r="I104" s="113">
        <v>134.5</v>
      </c>
      <c r="J104" s="113">
        <v>134.5</v>
      </c>
      <c r="K104" s="113">
        <v>129.4</v>
      </c>
      <c r="L104" s="113">
        <v>128</v>
      </c>
      <c r="M104" s="113">
        <v>0</v>
      </c>
      <c r="N104" s="113">
        <v>0</v>
      </c>
      <c r="O104" s="113">
        <v>0</v>
      </c>
      <c r="P104" s="113">
        <v>0</v>
      </c>
      <c r="Q104" s="113">
        <v>0</v>
      </c>
      <c r="R104" s="113">
        <v>130.69999999999999</v>
      </c>
      <c r="S104" s="113">
        <v>133.6</v>
      </c>
      <c r="T104" s="113">
        <v>133.6</v>
      </c>
      <c r="U104" s="113">
        <v>134.19999999999999</v>
      </c>
      <c r="V104" s="113">
        <v>134.19999999999999</v>
      </c>
      <c r="W104" s="113">
        <v>136.97999999999999</v>
      </c>
      <c r="X104" s="113">
        <v>134</v>
      </c>
      <c r="Y104" s="113">
        <v>135.19999999999999</v>
      </c>
      <c r="Z104" s="113">
        <v>133.5</v>
      </c>
      <c r="AA104" s="113">
        <v>136.4</v>
      </c>
      <c r="AB104" s="113">
        <v>135.5</v>
      </c>
      <c r="AC104" s="113">
        <v>135.5</v>
      </c>
      <c r="AD104" s="113">
        <v>135.5</v>
      </c>
      <c r="AE104" s="113">
        <v>130.4</v>
      </c>
      <c r="AF104" s="113">
        <v>130.30000000000001</v>
      </c>
      <c r="AG104" s="114"/>
      <c r="AH104" s="52">
        <f t="shared" si="9"/>
        <v>136.97999999999999</v>
      </c>
      <c r="AI104" s="53">
        <f t="shared" si="10"/>
        <v>0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130</v>
      </c>
      <c r="C105" s="72">
        <v>130</v>
      </c>
      <c r="D105" s="72">
        <v>133</v>
      </c>
      <c r="E105" s="72">
        <v>134.1</v>
      </c>
      <c r="F105" s="72">
        <v>133.6</v>
      </c>
      <c r="G105" s="72">
        <v>130.30000000000001</v>
      </c>
      <c r="H105" s="72">
        <v>129.19999999999999</v>
      </c>
      <c r="I105" s="72">
        <v>128.6</v>
      </c>
      <c r="J105" s="72">
        <v>128.6</v>
      </c>
      <c r="K105" s="72">
        <v>129.4</v>
      </c>
      <c r="L105" s="72">
        <v>126.8</v>
      </c>
      <c r="M105" s="72">
        <v>128.6</v>
      </c>
      <c r="N105" s="72">
        <v>128.6</v>
      </c>
      <c r="O105" s="72">
        <v>128.6</v>
      </c>
      <c r="P105" s="72">
        <v>128.6</v>
      </c>
      <c r="Q105" s="72">
        <v>136.4</v>
      </c>
      <c r="R105" s="72">
        <v>125.9</v>
      </c>
      <c r="S105" s="72">
        <v>127.2</v>
      </c>
      <c r="T105" s="72">
        <v>131.69999999999999</v>
      </c>
      <c r="U105" s="72">
        <v>127.1</v>
      </c>
      <c r="V105" s="72">
        <v>127.1</v>
      </c>
      <c r="W105" s="72">
        <v>131.69999999999999</v>
      </c>
      <c r="X105" s="72">
        <v>132.9</v>
      </c>
      <c r="Y105" s="72">
        <v>133.1</v>
      </c>
      <c r="Z105" s="72">
        <v>130.6</v>
      </c>
      <c r="AA105" s="72">
        <v>130.1</v>
      </c>
      <c r="AB105" s="72">
        <v>134.80000000000001</v>
      </c>
      <c r="AC105" s="72">
        <v>134.80000000000001</v>
      </c>
      <c r="AD105" s="72">
        <v>134.80000000000001</v>
      </c>
      <c r="AE105" s="72">
        <v>129.69999999999999</v>
      </c>
      <c r="AF105" s="72">
        <v>128.30000000000001</v>
      </c>
      <c r="AG105" s="111"/>
      <c r="AH105" s="52">
        <f t="shared" si="9"/>
        <v>136.4</v>
      </c>
      <c r="AI105" s="53">
        <f t="shared" si="10"/>
        <v>125.9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66.2</v>
      </c>
      <c r="C106" s="99">
        <v>66.2</v>
      </c>
      <c r="D106" s="99">
        <v>66.63</v>
      </c>
      <c r="E106" s="99">
        <v>66.400000000000006</v>
      </c>
      <c r="F106" s="99">
        <v>66.400000000000006</v>
      </c>
      <c r="G106" s="99">
        <v>65.099999999999994</v>
      </c>
      <c r="H106" s="99">
        <v>65.5</v>
      </c>
      <c r="I106" s="99">
        <v>65.599999999999994</v>
      </c>
      <c r="J106" s="99">
        <v>65.599999999999994</v>
      </c>
      <c r="K106" s="99">
        <v>65.5</v>
      </c>
      <c r="L106" s="99">
        <v>64.7</v>
      </c>
      <c r="M106" s="99">
        <v>64.900000000000006</v>
      </c>
      <c r="N106" s="99">
        <v>64.900000000000006</v>
      </c>
      <c r="O106" s="99">
        <v>64.900000000000006</v>
      </c>
      <c r="P106" s="99">
        <v>64.900000000000006</v>
      </c>
      <c r="Q106" s="99">
        <v>64.599999999999994</v>
      </c>
      <c r="R106" s="99">
        <v>63.7</v>
      </c>
      <c r="S106" s="99">
        <v>63.9</v>
      </c>
      <c r="T106" s="99">
        <v>64.3</v>
      </c>
      <c r="U106" s="99">
        <v>64.8</v>
      </c>
      <c r="V106" s="99">
        <v>64.8</v>
      </c>
      <c r="W106" s="99">
        <v>65.3</v>
      </c>
      <c r="X106" s="99">
        <v>64.900000000000006</v>
      </c>
      <c r="Y106" s="99">
        <v>65.2</v>
      </c>
      <c r="Z106" s="99">
        <v>64.5</v>
      </c>
      <c r="AA106" s="99">
        <v>65.099999999999994</v>
      </c>
      <c r="AB106" s="99">
        <v>65.599999999999994</v>
      </c>
      <c r="AC106" s="99">
        <v>65.599999999999994</v>
      </c>
      <c r="AD106" s="99">
        <v>65.599999999999994</v>
      </c>
      <c r="AE106" s="99">
        <v>66</v>
      </c>
      <c r="AF106" s="99">
        <v>65.900000000000006</v>
      </c>
      <c r="AG106" s="115"/>
      <c r="AH106" s="52">
        <f t="shared" si="9"/>
        <v>66.63</v>
      </c>
      <c r="AI106" s="53">
        <f t="shared" si="10"/>
        <v>63.7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112</v>
      </c>
      <c r="B108" s="118">
        <f t="shared" ref="B108:AF108" si="16">SUM(B18,B24,B27:B28,B56,B58:B59,B61,B63,B109:B113,B135,B141,B147,B156,B158,B170,B177,B180:B181,B188,B190,B192,B196:B198,B200:B202,B207,B213:B214,B216:B218,B226,B231)</f>
        <v>123.19999999999999</v>
      </c>
      <c r="C108" s="118">
        <f t="shared" si="16"/>
        <v>112.13999999999999</v>
      </c>
      <c r="D108" s="118">
        <f t="shared" si="16"/>
        <v>105.13999999999999</v>
      </c>
      <c r="E108" s="118">
        <f t="shared" si="16"/>
        <v>62.339999999999989</v>
      </c>
      <c r="F108" s="118">
        <f t="shared" si="16"/>
        <v>76.339999999999989</v>
      </c>
      <c r="G108" s="118">
        <f t="shared" si="16"/>
        <v>114.63999999999999</v>
      </c>
      <c r="H108" s="118">
        <f t="shared" si="16"/>
        <v>127.23999999999998</v>
      </c>
      <c r="I108" s="118">
        <f t="shared" si="16"/>
        <v>194.04</v>
      </c>
      <c r="J108" s="118">
        <f t="shared" si="16"/>
        <v>194.94</v>
      </c>
      <c r="K108" s="118">
        <f t="shared" si="16"/>
        <v>232.84</v>
      </c>
      <c r="L108" s="118">
        <f t="shared" si="16"/>
        <v>270.04000000000002</v>
      </c>
      <c r="M108" s="118">
        <f t="shared" si="16"/>
        <v>289.83999999999997</v>
      </c>
      <c r="N108" s="118">
        <f t="shared" si="16"/>
        <v>289.83999999999997</v>
      </c>
      <c r="O108" s="118">
        <f t="shared" si="16"/>
        <v>261.74</v>
      </c>
      <c r="P108" s="118">
        <v>42</v>
      </c>
      <c r="Q108" s="118">
        <f t="shared" si="16"/>
        <v>271.29999999999995</v>
      </c>
      <c r="R108" s="118">
        <f t="shared" si="16"/>
        <v>258.60000000000002</v>
      </c>
      <c r="S108" s="118">
        <f t="shared" si="16"/>
        <v>232.8</v>
      </c>
      <c r="T108" s="118">
        <f t="shared" si="16"/>
        <v>236.10000000000002</v>
      </c>
      <c r="U108" s="118">
        <f t="shared" si="16"/>
        <v>239.6</v>
      </c>
      <c r="V108" s="118">
        <f t="shared" si="16"/>
        <v>290.60000000000002</v>
      </c>
      <c r="W108" s="118">
        <f t="shared" si="16"/>
        <v>299.39999999999998</v>
      </c>
      <c r="X108" s="118">
        <f t="shared" si="16"/>
        <v>318.70000000000005</v>
      </c>
      <c r="Y108" s="118">
        <f t="shared" si="16"/>
        <v>285.8</v>
      </c>
      <c r="Z108" s="118">
        <f t="shared" si="16"/>
        <v>315.5</v>
      </c>
      <c r="AA108" s="118">
        <f t="shared" si="16"/>
        <v>294.89999999999998</v>
      </c>
      <c r="AB108" s="118">
        <f t="shared" si="16"/>
        <v>256</v>
      </c>
      <c r="AC108" s="118">
        <f t="shared" si="16"/>
        <v>261</v>
      </c>
      <c r="AD108" s="118">
        <f t="shared" si="16"/>
        <v>261</v>
      </c>
      <c r="AE108" s="118">
        <f t="shared" si="16"/>
        <v>165.5</v>
      </c>
      <c r="AF108" s="118">
        <f t="shared" si="16"/>
        <v>139.10000000000002</v>
      </c>
      <c r="AG108" s="119"/>
      <c r="AH108" s="52">
        <f t="shared" si="9"/>
        <v>318.70000000000005</v>
      </c>
      <c r="AI108" s="53">
        <f t="shared" si="10"/>
        <v>42</v>
      </c>
    </row>
    <row r="109" spans="1:88" x14ac:dyDescent="0.25">
      <c r="A109" s="107" t="s">
        <v>113</v>
      </c>
      <c r="B109" s="120">
        <v>-12</v>
      </c>
      <c r="C109" s="120">
        <v>-16</v>
      </c>
      <c r="D109" s="120">
        <v>-14</v>
      </c>
      <c r="E109" s="120">
        <v>-16.100000000000001</v>
      </c>
      <c r="F109" s="120">
        <v>-11.3</v>
      </c>
      <c r="G109" s="120">
        <v>-21.3</v>
      </c>
      <c r="H109" s="120">
        <v>-22.9</v>
      </c>
      <c r="I109" s="120">
        <v>-3</v>
      </c>
      <c r="J109" s="120">
        <v>-2</v>
      </c>
      <c r="K109" s="120">
        <v>0</v>
      </c>
      <c r="L109" s="120">
        <v>10.5</v>
      </c>
      <c r="M109" s="120">
        <v>21.5</v>
      </c>
      <c r="N109" s="120">
        <v>21.5</v>
      </c>
      <c r="O109" s="120">
        <v>13.9</v>
      </c>
      <c r="P109" s="120">
        <v>13.9</v>
      </c>
      <c r="Q109" s="120">
        <v>22.2</v>
      </c>
      <c r="R109" s="120">
        <v>4.7</v>
      </c>
      <c r="S109" s="120">
        <v>4.9000000000000004</v>
      </c>
      <c r="T109" s="120">
        <v>2.4</v>
      </c>
      <c r="U109" s="120">
        <v>1.9</v>
      </c>
      <c r="V109" s="120">
        <v>1.9</v>
      </c>
      <c r="W109" s="120">
        <v>-2.9</v>
      </c>
      <c r="X109" s="120">
        <v>-3.1</v>
      </c>
      <c r="Y109" s="120">
        <v>5.7</v>
      </c>
      <c r="Z109" s="120">
        <v>12.3</v>
      </c>
      <c r="AA109" s="120">
        <v>13.1</v>
      </c>
      <c r="AB109" s="120">
        <v>6.9</v>
      </c>
      <c r="AC109" s="120">
        <v>3</v>
      </c>
      <c r="AD109" s="120">
        <v>3</v>
      </c>
      <c r="AE109" s="120">
        <v>-16</v>
      </c>
      <c r="AF109" s="120">
        <v>-23.5</v>
      </c>
      <c r="AG109" s="121">
        <v>75</v>
      </c>
      <c r="AH109" s="52">
        <f t="shared" si="9"/>
        <v>22.2</v>
      </c>
      <c r="AI109" s="53">
        <f t="shared" si="10"/>
        <v>-23.5</v>
      </c>
    </row>
    <row r="110" spans="1:88" x14ac:dyDescent="0.25">
      <c r="A110" s="110" t="s">
        <v>114</v>
      </c>
      <c r="B110" s="187">
        <v>-11</v>
      </c>
      <c r="C110" s="187">
        <v>-15</v>
      </c>
      <c r="D110" s="187">
        <v>-13</v>
      </c>
      <c r="E110" s="187">
        <v>-17.8</v>
      </c>
      <c r="F110" s="187">
        <v>-11.4</v>
      </c>
      <c r="G110" s="187">
        <v>-27.7</v>
      </c>
      <c r="H110" s="187">
        <v>-32.6</v>
      </c>
      <c r="I110" s="187">
        <v>-3.8</v>
      </c>
      <c r="J110" s="187">
        <v>-2.5</v>
      </c>
      <c r="K110" s="187">
        <v>-3.4</v>
      </c>
      <c r="L110" s="187">
        <v>11.2</v>
      </c>
      <c r="M110" s="187">
        <v>25.4</v>
      </c>
      <c r="N110" s="187">
        <v>25.4</v>
      </c>
      <c r="O110" s="187">
        <v>21.5</v>
      </c>
      <c r="P110" s="187">
        <v>21.5</v>
      </c>
      <c r="Q110" s="187">
        <v>32.200000000000003</v>
      </c>
      <c r="R110" s="187">
        <v>7.9</v>
      </c>
      <c r="S110" s="187">
        <v>5.9</v>
      </c>
      <c r="T110" s="187">
        <v>4.5</v>
      </c>
      <c r="U110" s="187">
        <v>2.1</v>
      </c>
      <c r="V110" s="187">
        <v>-0.6</v>
      </c>
      <c r="W110" s="187">
        <v>-8.3000000000000007</v>
      </c>
      <c r="X110" s="187">
        <v>-8.6999999999999993</v>
      </c>
      <c r="Y110" s="187">
        <v>2.4</v>
      </c>
      <c r="Z110" s="187">
        <v>12.6</v>
      </c>
      <c r="AA110" s="187">
        <v>12.4</v>
      </c>
      <c r="AB110" s="187">
        <v>4.4000000000000004</v>
      </c>
      <c r="AC110" s="187">
        <v>0</v>
      </c>
      <c r="AD110" s="187">
        <v>0</v>
      </c>
      <c r="AE110" s="187">
        <v>-25.6</v>
      </c>
      <c r="AF110" s="187">
        <v>-30.9</v>
      </c>
      <c r="AG110" s="121">
        <v>240</v>
      </c>
      <c r="AH110" s="52">
        <f t="shared" si="9"/>
        <v>32.200000000000003</v>
      </c>
      <c r="AI110" s="53">
        <f t="shared" si="10"/>
        <v>-32.6</v>
      </c>
    </row>
    <row r="111" spans="1:88" x14ac:dyDescent="0.25">
      <c r="A111" s="110" t="s">
        <v>115</v>
      </c>
      <c r="B111" s="187">
        <v>-31</v>
      </c>
      <c r="C111" s="187">
        <v>-38</v>
      </c>
      <c r="D111" s="187">
        <v>-42</v>
      </c>
      <c r="E111" s="187">
        <v>-82</v>
      </c>
      <c r="F111" s="187">
        <v>-79</v>
      </c>
      <c r="G111" s="187">
        <v>-55</v>
      </c>
      <c r="H111" s="187">
        <v>-42</v>
      </c>
      <c r="I111" s="187">
        <v>-14</v>
      </c>
      <c r="J111" s="187">
        <v>-14.5</v>
      </c>
      <c r="K111" s="187">
        <v>11.7</v>
      </c>
      <c r="L111" s="187">
        <v>27</v>
      </c>
      <c r="M111" s="187">
        <f>20+18</f>
        <v>38</v>
      </c>
      <c r="N111" s="187">
        <f>20+18</f>
        <v>38</v>
      </c>
      <c r="O111" s="187">
        <v>-4</v>
      </c>
      <c r="P111" s="187">
        <v>-4</v>
      </c>
      <c r="Q111" s="187">
        <v>-8.8000000000000007</v>
      </c>
      <c r="R111" s="187">
        <v>1</v>
      </c>
      <c r="S111" s="187">
        <v>-33.299999999999997</v>
      </c>
      <c r="T111" s="187">
        <v>-24.3</v>
      </c>
      <c r="U111" s="187">
        <v>-21</v>
      </c>
      <c r="V111" s="187">
        <v>47</v>
      </c>
      <c r="W111" s="187">
        <v>64</v>
      </c>
      <c r="X111" s="187">
        <v>72.599999999999994</v>
      </c>
      <c r="Y111" s="187">
        <v>32.5</v>
      </c>
      <c r="Z111" s="187">
        <v>30.5</v>
      </c>
      <c r="AA111" s="187">
        <v>21.2</v>
      </c>
      <c r="AB111" s="187">
        <v>15</v>
      </c>
      <c r="AC111" s="187">
        <v>27</v>
      </c>
      <c r="AD111" s="187">
        <v>27</v>
      </c>
      <c r="AE111" s="187">
        <f>-3.6-12.6</f>
        <v>-16.2</v>
      </c>
      <c r="AF111" s="187">
        <f>-8.6-17.9</f>
        <v>-26.5</v>
      </c>
      <c r="AG111" s="121">
        <v>240</v>
      </c>
      <c r="AH111" s="52">
        <f t="shared" si="9"/>
        <v>72.599999999999994</v>
      </c>
      <c r="AI111" s="53">
        <f t="shared" si="10"/>
        <v>-82</v>
      </c>
    </row>
    <row r="112" spans="1:88" x14ac:dyDescent="0.25">
      <c r="A112" s="110" t="s">
        <v>116</v>
      </c>
      <c r="B112" s="187">
        <v>29</v>
      </c>
      <c r="C112" s="187">
        <v>29</v>
      </c>
      <c r="D112" s="187">
        <v>31</v>
      </c>
      <c r="E112" s="187">
        <v>29.8</v>
      </c>
      <c r="F112" s="187">
        <v>28.1</v>
      </c>
      <c r="G112" s="187">
        <v>32.700000000000003</v>
      </c>
      <c r="H112" s="187">
        <v>37.6</v>
      </c>
      <c r="I112" s="187">
        <v>43.7</v>
      </c>
      <c r="J112" s="187">
        <v>44.1</v>
      </c>
      <c r="K112" s="187">
        <v>47.7</v>
      </c>
      <c r="L112" s="187">
        <v>34.6</v>
      </c>
      <c r="M112" s="187">
        <v>34.9</v>
      </c>
      <c r="N112" s="187">
        <v>34.9</v>
      </c>
      <c r="O112" s="187">
        <v>43.6</v>
      </c>
      <c r="P112" s="187">
        <v>43.6</v>
      </c>
      <c r="Q112" s="187">
        <v>41.2</v>
      </c>
      <c r="R112" s="187">
        <v>40.200000000000003</v>
      </c>
      <c r="S112" s="187">
        <v>41.6</v>
      </c>
      <c r="T112" s="187">
        <v>45.2</v>
      </c>
      <c r="U112" s="187">
        <v>42</v>
      </c>
      <c r="V112" s="187">
        <v>48.8</v>
      </c>
      <c r="W112" s="187">
        <v>52.2</v>
      </c>
      <c r="X112" s="187">
        <v>53.9</v>
      </c>
      <c r="Y112" s="187">
        <v>53.3</v>
      </c>
      <c r="Z112" s="187">
        <v>55.2</v>
      </c>
      <c r="AA112" s="187">
        <v>52.4</v>
      </c>
      <c r="AB112" s="187">
        <v>48.8</v>
      </c>
      <c r="AC112" s="187">
        <v>44</v>
      </c>
      <c r="AD112" s="187">
        <v>44</v>
      </c>
      <c r="AE112" s="187">
        <v>32.6</v>
      </c>
      <c r="AF112" s="187">
        <v>30.1</v>
      </c>
      <c r="AG112" s="121">
        <v>60</v>
      </c>
      <c r="AH112" s="52">
        <f t="shared" si="9"/>
        <v>55.2</v>
      </c>
      <c r="AI112" s="53">
        <f t="shared" si="10"/>
        <v>28.1</v>
      </c>
    </row>
    <row r="113" spans="1:37" x14ac:dyDescent="0.25">
      <c r="A113" s="123" t="s">
        <v>117</v>
      </c>
      <c r="B113" s="124">
        <v>67</v>
      </c>
      <c r="C113" s="124">
        <v>70</v>
      </c>
      <c r="D113" s="124">
        <v>61</v>
      </c>
      <c r="E113" s="124">
        <v>66.3</v>
      </c>
      <c r="F113" s="124">
        <v>67.8</v>
      </c>
      <c r="G113" s="124">
        <v>103.8</v>
      </c>
      <c r="H113" s="124">
        <v>105</v>
      </c>
      <c r="I113" s="124">
        <v>89</v>
      </c>
      <c r="J113" s="124">
        <v>85.3</v>
      </c>
      <c r="K113" s="124">
        <v>87.6</v>
      </c>
      <c r="L113" s="124">
        <v>95.5</v>
      </c>
      <c r="M113" s="124">
        <v>78.8</v>
      </c>
      <c r="N113" s="124">
        <v>78.8</v>
      </c>
      <c r="O113" s="124">
        <v>95.5</v>
      </c>
      <c r="P113" s="124">
        <v>95.5</v>
      </c>
      <c r="Q113" s="124">
        <v>94.2</v>
      </c>
      <c r="R113" s="124">
        <v>114.5</v>
      </c>
      <c r="S113" s="124">
        <v>119</v>
      </c>
      <c r="T113" s="124">
        <v>115.2</v>
      </c>
      <c r="U113" s="124">
        <v>122.1</v>
      </c>
      <c r="V113" s="124">
        <v>103.7</v>
      </c>
      <c r="W113" s="124">
        <v>104.6</v>
      </c>
      <c r="X113" s="124">
        <v>114</v>
      </c>
      <c r="Y113" s="124">
        <v>106.7</v>
      </c>
      <c r="Z113" s="124">
        <v>118.6</v>
      </c>
      <c r="AA113" s="124">
        <v>109.5</v>
      </c>
      <c r="AB113" s="124">
        <v>99.9</v>
      </c>
      <c r="AC113" s="124">
        <v>106</v>
      </c>
      <c r="AD113" s="124">
        <v>106</v>
      </c>
      <c r="AE113" s="124">
        <v>98.1</v>
      </c>
      <c r="AF113" s="124">
        <v>97.4</v>
      </c>
      <c r="AG113" s="125">
        <v>120</v>
      </c>
      <c r="AH113" s="52">
        <f t="shared" si="9"/>
        <v>122.1</v>
      </c>
      <c r="AI113" s="53">
        <f t="shared" si="10"/>
        <v>61</v>
      </c>
    </row>
    <row r="114" spans="1:37" x14ac:dyDescent="0.25">
      <c r="A114" s="123" t="s">
        <v>118</v>
      </c>
      <c r="B114" s="124">
        <v>71</v>
      </c>
      <c r="C114" s="124">
        <v>78</v>
      </c>
      <c r="D114" s="124">
        <v>65</v>
      </c>
      <c r="E114" s="124">
        <v>77.2</v>
      </c>
      <c r="F114" s="124">
        <v>81.5</v>
      </c>
      <c r="G114" s="124">
        <v>112</v>
      </c>
      <c r="H114" s="124">
        <v>115</v>
      </c>
      <c r="I114" s="124">
        <v>86</v>
      </c>
      <c r="J114" s="124">
        <v>75</v>
      </c>
      <c r="K114" s="124">
        <v>64.3</v>
      </c>
      <c r="L114" s="124">
        <v>70.400000000000006</v>
      </c>
      <c r="M114" s="124">
        <v>53</v>
      </c>
      <c r="N114" s="124">
        <v>53</v>
      </c>
      <c r="O114" s="124">
        <v>97</v>
      </c>
      <c r="P114" s="124">
        <v>97</v>
      </c>
      <c r="Q114" s="124">
        <v>96.3</v>
      </c>
      <c r="R114" s="124">
        <v>112.7</v>
      </c>
      <c r="S114" s="124">
        <v>111.8</v>
      </c>
      <c r="T114" s="124">
        <v>105</v>
      </c>
      <c r="U114" s="124">
        <v>113</v>
      </c>
      <c r="V114" s="124">
        <v>87.5</v>
      </c>
      <c r="W114" s="124">
        <v>77.7</v>
      </c>
      <c r="X114" s="124">
        <v>86.5</v>
      </c>
      <c r="Y114" s="124">
        <v>83.1</v>
      </c>
      <c r="Z114" s="124">
        <v>84</v>
      </c>
      <c r="AA114" s="124">
        <v>76</v>
      </c>
      <c r="AB114" s="124">
        <v>68</v>
      </c>
      <c r="AC114" s="124">
        <v>87</v>
      </c>
      <c r="AD114" s="124">
        <v>87</v>
      </c>
      <c r="AE114" s="124">
        <v>97.4</v>
      </c>
      <c r="AF114" s="124">
        <v>101.7</v>
      </c>
      <c r="AG114" s="125"/>
      <c r="AH114" s="52">
        <f t="shared" si="9"/>
        <v>115</v>
      </c>
      <c r="AI114" s="53">
        <f t="shared" si="10"/>
        <v>53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>
        <v>0</v>
      </c>
      <c r="G115" s="124">
        <v>0</v>
      </c>
      <c r="H115" s="124">
        <v>0</v>
      </c>
      <c r="I115" s="124">
        <v>0</v>
      </c>
      <c r="J115" s="124">
        <v>0</v>
      </c>
      <c r="K115" s="124">
        <v>0</v>
      </c>
      <c r="L115" s="124">
        <v>17.899999999999999</v>
      </c>
      <c r="M115" s="124">
        <v>0</v>
      </c>
      <c r="N115" s="124">
        <v>0</v>
      </c>
      <c r="O115" s="124"/>
      <c r="P115" s="124"/>
      <c r="Q115" s="124"/>
      <c r="R115" s="124"/>
      <c r="S115" s="124">
        <v>32.299999999999997</v>
      </c>
      <c r="T115" s="124">
        <v>31.2</v>
      </c>
      <c r="U115" s="124">
        <v>34.200000000000003</v>
      </c>
      <c r="V115" s="124">
        <v>18.600000000000001</v>
      </c>
      <c r="W115" s="124">
        <v>22.8</v>
      </c>
      <c r="X115" s="124">
        <v>27.4</v>
      </c>
      <c r="Y115" s="124">
        <v>22.4</v>
      </c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9"/>
        <v>34.200000000000003</v>
      </c>
      <c r="AI115" s="53">
        <f t="shared" si="10"/>
        <v>0</v>
      </c>
    </row>
    <row r="116" spans="1:37" x14ac:dyDescent="0.25">
      <c r="A116" s="127" t="s">
        <v>120</v>
      </c>
      <c r="B116" s="113">
        <v>-12</v>
      </c>
      <c r="C116" s="113">
        <v>-11</v>
      </c>
      <c r="D116" s="113">
        <v>-8</v>
      </c>
      <c r="E116" s="113">
        <v>-8.1999999999999993</v>
      </c>
      <c r="F116" s="113">
        <v>-8.6</v>
      </c>
      <c r="G116" s="113">
        <v>-12.2</v>
      </c>
      <c r="H116" s="113">
        <v>-10.4</v>
      </c>
      <c r="I116" s="113">
        <v>-17.3</v>
      </c>
      <c r="J116" s="113">
        <v>-19</v>
      </c>
      <c r="K116" s="113">
        <v>-23</v>
      </c>
      <c r="L116" s="113">
        <v>-26</v>
      </c>
      <c r="M116" s="113">
        <v>-51.6</v>
      </c>
      <c r="N116" s="113">
        <v>-51.6</v>
      </c>
      <c r="O116" s="113">
        <v>-34.6</v>
      </c>
      <c r="P116" s="113">
        <v>-34.6</v>
      </c>
      <c r="Q116" s="113">
        <v>-54.1</v>
      </c>
      <c r="R116" s="113">
        <v>-54.8</v>
      </c>
      <c r="S116" s="113">
        <v>-37</v>
      </c>
      <c r="T116" s="113">
        <v>-53.9</v>
      </c>
      <c r="U116" s="113">
        <v>-47</v>
      </c>
      <c r="V116" s="113">
        <v>-52.5</v>
      </c>
      <c r="W116" s="113">
        <v>-57.9</v>
      </c>
      <c r="X116" s="113">
        <v>-60.5</v>
      </c>
      <c r="Y116" s="113">
        <v>-56.5</v>
      </c>
      <c r="Z116" s="113"/>
      <c r="AA116" s="113"/>
      <c r="AB116" s="113"/>
      <c r="AC116" s="113"/>
      <c r="AD116" s="113"/>
      <c r="AE116" s="113">
        <v>-12.8</v>
      </c>
      <c r="AF116" s="113">
        <v>-10.5</v>
      </c>
      <c r="AG116" s="126"/>
      <c r="AH116" s="52">
        <f t="shared" si="9"/>
        <v>-8</v>
      </c>
      <c r="AI116" s="53">
        <f t="shared" si="10"/>
        <v>-60.5</v>
      </c>
    </row>
    <row r="117" spans="1:37" ht="15.75" thickBot="1" x14ac:dyDescent="0.3">
      <c r="A117" s="127" t="s">
        <v>121</v>
      </c>
      <c r="B117" s="113">
        <v>102</v>
      </c>
      <c r="C117" s="113">
        <v>103</v>
      </c>
      <c r="D117" s="113">
        <v>103</v>
      </c>
      <c r="E117" s="113">
        <v>101</v>
      </c>
      <c r="F117" s="113">
        <v>94.3</v>
      </c>
      <c r="G117" s="113">
        <v>84.8</v>
      </c>
      <c r="H117" s="113">
        <v>89.3</v>
      </c>
      <c r="I117" s="113">
        <v>80.2</v>
      </c>
      <c r="J117" s="113">
        <v>84.4</v>
      </c>
      <c r="K117" s="113">
        <v>85.6</v>
      </c>
      <c r="L117" s="113">
        <v>97.8</v>
      </c>
      <c r="M117" s="113">
        <v>102.6</v>
      </c>
      <c r="N117" s="113">
        <v>102.6</v>
      </c>
      <c r="O117" s="113">
        <v>101</v>
      </c>
      <c r="P117" s="113">
        <v>101</v>
      </c>
      <c r="Q117" s="113">
        <v>121.8</v>
      </c>
      <c r="R117" s="113">
        <v>119.2</v>
      </c>
      <c r="S117" s="113">
        <v>110</v>
      </c>
      <c r="T117" s="113">
        <v>115</v>
      </c>
      <c r="U117" s="113">
        <v>116.9</v>
      </c>
      <c r="V117" s="113">
        <v>103.3</v>
      </c>
      <c r="W117" s="113">
        <v>103.7</v>
      </c>
      <c r="X117" s="113">
        <v>99.4</v>
      </c>
      <c r="Y117" s="113">
        <v>70.900000000000006</v>
      </c>
      <c r="Z117" s="113">
        <v>110.2</v>
      </c>
      <c r="AA117" s="113">
        <v>104</v>
      </c>
      <c r="AB117" s="113">
        <v>112.3</v>
      </c>
      <c r="AC117" s="113">
        <v>107</v>
      </c>
      <c r="AD117" s="113">
        <v>107</v>
      </c>
      <c r="AE117" s="113">
        <v>97.1</v>
      </c>
      <c r="AF117" s="113">
        <v>99.1</v>
      </c>
      <c r="AG117" s="126"/>
      <c r="AH117" s="52">
        <f t="shared" si="9"/>
        <v>121.8</v>
      </c>
      <c r="AI117" s="53">
        <f t="shared" si="10"/>
        <v>70.900000000000006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1448.4399999999998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28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2079/12/28)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2079/12/28)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1">B89</f>
        <v>1277.8399999999999</v>
      </c>
      <c r="U246" s="180">
        <f t="shared" si="21"/>
        <v>1190.8399999999999</v>
      </c>
      <c r="V246" s="180">
        <f t="shared" si="21"/>
        <v>1178.8399999999999</v>
      </c>
      <c r="W246" s="180">
        <f t="shared" si="21"/>
        <v>1144.54</v>
      </c>
      <c r="X246" s="180">
        <f t="shared" si="21"/>
        <v>1036.7399999999998</v>
      </c>
      <c r="Y246" s="180">
        <f t="shared" si="21"/>
        <v>1110.24</v>
      </c>
      <c r="Z246" s="180">
        <f t="shared" si="21"/>
        <v>1150.8399999999999</v>
      </c>
      <c r="AA246" s="180">
        <f t="shared" si="21"/>
        <v>1154.7399999999998</v>
      </c>
      <c r="AB246" s="180">
        <f t="shared" si="21"/>
        <v>1117.54</v>
      </c>
      <c r="AC246" s="180">
        <f t="shared" si="21"/>
        <v>1310.1399999999999</v>
      </c>
      <c r="AD246" s="180">
        <f t="shared" si="21"/>
        <v>1448.4399999999998</v>
      </c>
      <c r="AE246" s="180">
        <f t="shared" si="21"/>
        <v>1178.1399999999999</v>
      </c>
      <c r="AF246" s="180">
        <f t="shared" si="21"/>
        <v>1178.1399999999999</v>
      </c>
      <c r="AG246" s="180">
        <f t="shared" si="21"/>
        <v>1241.04</v>
      </c>
      <c r="AH246" s="180">
        <f t="shared" si="21"/>
        <v>1241.04</v>
      </c>
      <c r="AI246" s="180">
        <f t="shared" si="21"/>
        <v>1383.44</v>
      </c>
      <c r="AJ246" s="180">
        <f t="shared" si="21"/>
        <v>1502.54</v>
      </c>
      <c r="AK246" s="180">
        <f t="shared" si="21"/>
        <v>1502.1399999999999</v>
      </c>
      <c r="AL246" s="180">
        <f t="shared" si="21"/>
        <v>1510.8600000000001</v>
      </c>
      <c r="AM246" s="180">
        <f t="shared" si="21"/>
        <v>1551.44</v>
      </c>
      <c r="AN246" s="180">
        <f t="shared" si="21"/>
        <v>1505.1399999999999</v>
      </c>
      <c r="AO246" s="180">
        <f t="shared" si="21"/>
        <v>1477.04</v>
      </c>
      <c r="AP246" s="180">
        <f t="shared" si="21"/>
        <v>1572.74</v>
      </c>
      <c r="AQ246" s="180">
        <f t="shared" si="21"/>
        <v>1632.04</v>
      </c>
      <c r="AR246" s="180">
        <f t="shared" si="21"/>
        <v>1734.94</v>
      </c>
      <c r="AS246" s="180">
        <f t="shared" si="21"/>
        <v>1669.44</v>
      </c>
      <c r="AT246" s="180">
        <f t="shared" si="21"/>
        <v>1629.24</v>
      </c>
      <c r="AU246" s="180">
        <f t="shared" si="21"/>
        <v>1340.04</v>
      </c>
      <c r="AV246" s="180">
        <f t="shared" si="21"/>
        <v>1286.6400000000001</v>
      </c>
      <c r="AW246" s="180">
        <f t="shared" si="21"/>
        <v>1276.44</v>
      </c>
      <c r="AX246" s="180">
        <f t="shared" si="21"/>
        <v>1294.7400000000002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1861" priority="339">
      <formula>B$9&gt;=20/24</formula>
    </cfRule>
    <cfRule type="expression" dxfId="1860" priority="340">
      <formula>AND(B$9&gt;=14/24,B$9&lt;20/24)</formula>
    </cfRule>
    <cfRule type="expression" dxfId="1859" priority="341">
      <formula>AND(B$9&gt;=8/24,B$9&lt;14/24)</formula>
    </cfRule>
    <cfRule type="expression" dxfId="1858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857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856" priority="336">
      <formula>$AH12=0</formula>
    </cfRule>
  </conditionalFormatting>
  <conditionalFormatting sqref="A114">
    <cfRule type="expression" dxfId="1855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854" priority="333">
      <formula>$AH45=0</formula>
    </cfRule>
  </conditionalFormatting>
  <conditionalFormatting sqref="A98">
    <cfRule type="expression" dxfId="1853" priority="332">
      <formula>$AH98=0</formula>
    </cfRule>
  </conditionalFormatting>
  <conditionalFormatting sqref="A18">
    <cfRule type="expression" dxfId="1852" priority="331">
      <formula>$AH18=0</formula>
    </cfRule>
  </conditionalFormatting>
  <conditionalFormatting sqref="A196:A201">
    <cfRule type="expression" dxfId="1851" priority="330">
      <formula>$AH196=0</formula>
    </cfRule>
  </conditionalFormatting>
  <conditionalFormatting sqref="A190:A195">
    <cfRule type="expression" dxfId="1850" priority="329">
      <formula>$AH190=0</formula>
    </cfRule>
  </conditionalFormatting>
  <conditionalFormatting sqref="A58">
    <cfRule type="expression" dxfId="1849" priority="328">
      <formula>$AH58=0</formula>
    </cfRule>
  </conditionalFormatting>
  <conditionalFormatting sqref="A94">
    <cfRule type="expression" dxfId="1848" priority="327">
      <formula>$AH94=0</formula>
    </cfRule>
  </conditionalFormatting>
  <conditionalFormatting sqref="AD99:AF99 E99:X99">
    <cfRule type="expression" dxfId="1847" priority="323">
      <formula>E$9&gt;=20/24</formula>
    </cfRule>
    <cfRule type="expression" dxfId="1846" priority="324">
      <formula>AND(E$9&gt;=14/24,E$9&lt;20/24)</formula>
    </cfRule>
    <cfRule type="expression" dxfId="1845" priority="325">
      <formula>AND(E$9&gt;=8/24,E$9&lt;14/24)</formula>
    </cfRule>
    <cfRule type="expression" dxfId="1844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843" priority="345">
      <formula>C$9&gt;=20/24</formula>
    </cfRule>
    <cfRule type="expression" dxfId="1842" priority="346">
      <formula>AND(C$9&gt;=14/24,C$9&lt;20/24)</formula>
    </cfRule>
    <cfRule type="expression" dxfId="1841" priority="347">
      <formula>AND(C$9&gt;=8/24,C$9&lt;14/24)</formula>
    </cfRule>
    <cfRule type="expression" dxfId="1840" priority="348">
      <formula>C$9&lt;8/24</formula>
    </cfRule>
  </conditionalFormatting>
  <conditionalFormatting sqref="A233">
    <cfRule type="expression" dxfId="1839" priority="349">
      <formula>$AH233=0</formula>
    </cfRule>
  </conditionalFormatting>
  <conditionalFormatting sqref="AG245">
    <cfRule type="expression" dxfId="1838" priority="350">
      <formula>B$9&gt;=20/24</formula>
    </cfRule>
    <cfRule type="expression" dxfId="1837" priority="351">
      <formula>AND(B$9&gt;=14/24,B$9&lt;20/24)</formula>
    </cfRule>
    <cfRule type="expression" dxfId="1836" priority="352">
      <formula>AND(B$9&gt;=8/24,B$9&lt;14/24)</formula>
    </cfRule>
    <cfRule type="expression" dxfId="1835" priority="353">
      <formula>B$9&lt;8/24</formula>
    </cfRule>
  </conditionalFormatting>
  <conditionalFormatting sqref="S8">
    <cfRule type="expression" dxfId="1834" priority="318">
      <formula>U$9&gt;=20/24</formula>
    </cfRule>
    <cfRule type="expression" dxfId="1833" priority="319">
      <formula>AND(U$9&gt;=14/24,U$9&lt;20/24)</formula>
    </cfRule>
    <cfRule type="expression" dxfId="1832" priority="320">
      <formula>AND(U$9&gt;=8/24,U$9&lt;14/24)</formula>
    </cfRule>
    <cfRule type="expression" dxfId="1831" priority="321">
      <formula>U$9&lt;8/24</formula>
    </cfRule>
  </conditionalFormatting>
  <conditionalFormatting sqref="AB8">
    <cfRule type="expression" dxfId="1830" priority="314">
      <formula>AD$9&gt;=20/24</formula>
    </cfRule>
    <cfRule type="expression" dxfId="1829" priority="315">
      <formula>AND(AD$9&gt;=14/24,AD$9&lt;20/24)</formula>
    </cfRule>
    <cfRule type="expression" dxfId="1828" priority="316">
      <formula>AND(AD$9&gt;=8/24,AD$9&lt;14/24)</formula>
    </cfRule>
    <cfRule type="expression" dxfId="1827" priority="317">
      <formula>AD$9&lt;8/24</formula>
    </cfRule>
  </conditionalFormatting>
  <conditionalFormatting sqref="AH245:AX245">
    <cfRule type="expression" dxfId="1826" priority="354">
      <formula>AG$9&gt;=20/24</formula>
    </cfRule>
    <cfRule type="expression" dxfId="1825" priority="355">
      <formula>AND(AG$9&gt;=14/24,AG$9&lt;20/24)</formula>
    </cfRule>
    <cfRule type="expression" dxfId="1824" priority="356">
      <formula>AND(AG$9&gt;=8/24,AG$9&lt;14/24)</formula>
    </cfRule>
    <cfRule type="expression" dxfId="1823" priority="357">
      <formula>AG$9&lt;8/24</formula>
    </cfRule>
  </conditionalFormatting>
  <conditionalFormatting sqref="T245">
    <cfRule type="expression" dxfId="1822" priority="358">
      <formula>AX$9&gt;=20/24</formula>
    </cfRule>
    <cfRule type="expression" dxfId="1821" priority="359">
      <formula>AND(AX$9&gt;=14/24,AX$9&lt;20/24)</formula>
    </cfRule>
    <cfRule type="expression" dxfId="1820" priority="360">
      <formula>AND(AX$9&gt;=8/24,AX$9&lt;14/24)</formula>
    </cfRule>
    <cfRule type="expression" dxfId="1819" priority="361">
      <formula>AX$9&lt;8/24</formula>
    </cfRule>
  </conditionalFormatting>
  <conditionalFormatting sqref="A115:A116">
    <cfRule type="expression" dxfId="1818" priority="313">
      <formula>$AH115=0</formula>
    </cfRule>
  </conditionalFormatting>
  <conditionalFormatting sqref="E71:AF71 AE54:AF57 AB54:AD56">
    <cfRule type="expression" dxfId="1817" priority="309">
      <formula>E$9&gt;=20/24</formula>
    </cfRule>
    <cfRule type="expression" dxfId="1816" priority="310">
      <formula>AND(E$9&gt;=14/24,E$9&lt;20/24)</formula>
    </cfRule>
    <cfRule type="expression" dxfId="1815" priority="311">
      <formula>AND(E$9&gt;=8/24,E$9&lt;14/24)</formula>
    </cfRule>
    <cfRule type="expression" dxfId="1814" priority="312">
      <formula>E$9&lt;8/24</formula>
    </cfRule>
  </conditionalFormatting>
  <conditionalFormatting sqref="AB53:AF53">
    <cfRule type="expression" dxfId="1813" priority="305">
      <formula>AB$9&gt;=20/24</formula>
    </cfRule>
    <cfRule type="expression" dxfId="1812" priority="306">
      <formula>AND(AB$9&gt;=14/24,AB$9&lt;20/24)</formula>
    </cfRule>
    <cfRule type="expression" dxfId="1811" priority="307">
      <formula>AND(AB$9&gt;=8/24,AB$9&lt;14/24)</formula>
    </cfRule>
    <cfRule type="expression" dxfId="1810" priority="308">
      <formula>AB$9&lt;8/24</formula>
    </cfRule>
  </conditionalFormatting>
  <conditionalFormatting sqref="AE54:AF57 AB54:AD56 AB53:AF53">
    <cfRule type="expression" dxfId="1809" priority="304">
      <formula>AB53&gt;$AG53</formula>
    </cfRule>
  </conditionalFormatting>
  <conditionalFormatting sqref="D86:AF86 X96:AF96 AE100:AF106 AE67:AF69 E72:AF73 R100:X106 X47:AF47 Y74:AF74">
    <cfRule type="expression" dxfId="1808" priority="300">
      <formula>D$9&gt;=20/24</formula>
    </cfRule>
    <cfRule type="expression" dxfId="1807" priority="301">
      <formula>AND(D$9&gt;=14/24,D$9&lt;20/24)</formula>
    </cfRule>
    <cfRule type="expression" dxfId="1806" priority="302">
      <formula>AND(D$9&gt;=8/24,D$9&lt;14/24)</formula>
    </cfRule>
    <cfRule type="expression" dxfId="1805" priority="303">
      <formula>D$9&lt;8/24</formula>
    </cfRule>
  </conditionalFormatting>
  <conditionalFormatting sqref="AE67:AF69 X47:AF47">
    <cfRule type="expression" dxfId="1804" priority="299">
      <formula>X47&gt;$AG47</formula>
    </cfRule>
  </conditionalFormatting>
  <conditionalFormatting sqref="S53:AA58 AB57:AD58">
    <cfRule type="expression" dxfId="1803" priority="295">
      <formula>S$9&gt;=20/24</formula>
    </cfRule>
    <cfRule type="expression" dxfId="1802" priority="296">
      <formula>AND(S$9&gt;=14/24,S$9&lt;20/24)</formula>
    </cfRule>
    <cfRule type="expression" dxfId="1801" priority="297">
      <formula>AND(S$9&gt;=8/24,S$9&lt;14/24)</formula>
    </cfRule>
    <cfRule type="expression" dxfId="1800" priority="298">
      <formula>S$9&lt;8/24</formula>
    </cfRule>
  </conditionalFormatting>
  <conditionalFormatting sqref="S53:AA58 AB57:AD58">
    <cfRule type="expression" dxfId="1799" priority="294">
      <formula>S53&gt;$AG53</formula>
    </cfRule>
  </conditionalFormatting>
  <conditionalFormatting sqref="C97:AF97 D88:AF88">
    <cfRule type="expression" dxfId="1798" priority="290">
      <formula>C$9&gt;=20/24</formula>
    </cfRule>
    <cfRule type="expression" dxfId="1797" priority="291">
      <formula>AND(C$9&gt;=14/24,C$9&lt;20/24)</formula>
    </cfRule>
    <cfRule type="expression" dxfId="1796" priority="292">
      <formula>AND(C$9&gt;=8/24,C$9&lt;14/24)</formula>
    </cfRule>
    <cfRule type="expression" dxfId="1795" priority="293">
      <formula>C$9&lt;8/24</formula>
    </cfRule>
  </conditionalFormatting>
  <conditionalFormatting sqref="U47:W47">
    <cfRule type="expression" dxfId="1794" priority="286">
      <formula>U$9&gt;=20/24</formula>
    </cfRule>
    <cfRule type="expression" dxfId="1793" priority="287">
      <formula>AND(U$9&gt;=14/24,U$9&lt;20/24)</formula>
    </cfRule>
    <cfRule type="expression" dxfId="1792" priority="288">
      <formula>AND(U$9&gt;=8/24,U$9&lt;14/24)</formula>
    </cfRule>
    <cfRule type="expression" dxfId="1791" priority="289">
      <formula>U$9&lt;8/24</formula>
    </cfRule>
  </conditionalFormatting>
  <conditionalFormatting sqref="U47:W47">
    <cfRule type="expression" dxfId="1790" priority="285">
      <formula>U47&gt;$AG47</formula>
    </cfRule>
  </conditionalFormatting>
  <conditionalFormatting sqref="G54:R55">
    <cfRule type="expression" dxfId="1789" priority="281">
      <formula>G$9&gt;=20/24</formula>
    </cfRule>
    <cfRule type="expression" dxfId="1788" priority="282">
      <formula>AND(G$9&gt;=14/24,G$9&lt;20/24)</formula>
    </cfRule>
    <cfRule type="expression" dxfId="1787" priority="283">
      <formula>AND(G$9&gt;=8/24,G$9&lt;14/24)</formula>
    </cfRule>
    <cfRule type="expression" dxfId="1786" priority="284">
      <formula>G$9&lt;8/24</formula>
    </cfRule>
  </conditionalFormatting>
  <conditionalFormatting sqref="G53:R53">
    <cfRule type="expression" dxfId="1785" priority="277">
      <formula>G$9&gt;=20/24</formula>
    </cfRule>
    <cfRule type="expression" dxfId="1784" priority="278">
      <formula>AND(G$9&gt;=14/24,G$9&lt;20/24)</formula>
    </cfRule>
    <cfRule type="expression" dxfId="1783" priority="279">
      <formula>AND(G$9&gt;=8/24,G$9&lt;14/24)</formula>
    </cfRule>
    <cfRule type="expression" dxfId="1782" priority="280">
      <formula>G$9&lt;8/24</formula>
    </cfRule>
  </conditionalFormatting>
  <conditionalFormatting sqref="G53:R55">
    <cfRule type="expression" dxfId="1781" priority="276">
      <formula>G53&gt;$AG53</formula>
    </cfRule>
  </conditionalFormatting>
  <conditionalFormatting sqref="AG70 AG87 E100:Q106 S67:AD69">
    <cfRule type="expression" dxfId="1780" priority="272">
      <formula>E$9&gt;=20/24</formula>
    </cfRule>
    <cfRule type="expression" dxfId="1779" priority="273">
      <formula>AND(E$9&gt;=14/24,E$9&lt;20/24)</formula>
    </cfRule>
    <cfRule type="expression" dxfId="1778" priority="274">
      <formula>AND(E$9&gt;=8/24,E$9&lt;14/24)</formula>
    </cfRule>
    <cfRule type="expression" dxfId="1777" priority="275">
      <formula>E$9&lt;8/24</formula>
    </cfRule>
  </conditionalFormatting>
  <conditionalFormatting sqref="AG48 AG66 AG70 S67:AD69">
    <cfRule type="expression" dxfId="1776" priority="271">
      <formula>S48&gt;$AG48</formula>
    </cfRule>
  </conditionalFormatting>
  <conditionalFormatting sqref="AE58:AF58">
    <cfRule type="expression" dxfId="1775" priority="267">
      <formula>AE$9&gt;=20/24</formula>
    </cfRule>
    <cfRule type="expression" dxfId="1774" priority="268">
      <formula>AND(AE$9&gt;=14/24,AE$9&lt;20/24)</formula>
    </cfRule>
    <cfRule type="expression" dxfId="1773" priority="269">
      <formula>AND(AE$9&gt;=8/24,AE$9&lt;14/24)</formula>
    </cfRule>
    <cfRule type="expression" dxfId="1772" priority="270">
      <formula>AE$9&lt;8/24</formula>
    </cfRule>
  </conditionalFormatting>
  <conditionalFormatting sqref="AE58:AF58">
    <cfRule type="expression" dxfId="1771" priority="266">
      <formula>AE58&gt;$AG58</formula>
    </cfRule>
  </conditionalFormatting>
  <conditionalFormatting sqref="A43">
    <cfRule type="expression" dxfId="1770" priority="265">
      <formula>$AH43=0</formula>
    </cfRule>
  </conditionalFormatting>
  <conditionalFormatting sqref="X91:AF95">
    <cfRule type="expression" dxfId="1769" priority="261">
      <formula>X$9&gt;=20/24</formula>
    </cfRule>
    <cfRule type="expression" dxfId="1768" priority="262">
      <formula>AND(X$9&gt;=14/24,X$9&lt;20/24)</formula>
    </cfRule>
    <cfRule type="expression" dxfId="1767" priority="263">
      <formula>AND(X$9&gt;=8/24,X$9&lt;14/24)</formula>
    </cfRule>
    <cfRule type="expression" dxfId="1766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1765" priority="257">
      <formula>E$9&gt;=20/24</formula>
    </cfRule>
    <cfRule type="expression" dxfId="1764" priority="258">
      <formula>AND(E$9&gt;=14/24,E$9&lt;20/24)</formula>
    </cfRule>
    <cfRule type="expression" dxfId="1763" priority="259">
      <formula>AND(E$9&gt;=8/24,E$9&lt;14/24)</formula>
    </cfRule>
    <cfRule type="expression" dxfId="1762" priority="260">
      <formula>E$9&lt;8/24</formula>
    </cfRule>
  </conditionalFormatting>
  <conditionalFormatting sqref="E49:AF51">
    <cfRule type="expression" dxfId="1761" priority="256">
      <formula>E49&gt;$AG49</formula>
    </cfRule>
  </conditionalFormatting>
  <conditionalFormatting sqref="AG52">
    <cfRule type="expression" dxfId="1760" priority="252">
      <formula>AG$9&gt;=20/24</formula>
    </cfRule>
    <cfRule type="expression" dxfId="1759" priority="253">
      <formula>AND(AG$9&gt;=14/24,AG$9&lt;20/24)</formula>
    </cfRule>
    <cfRule type="expression" dxfId="1758" priority="254">
      <formula>AND(AG$9&gt;=8/24,AG$9&lt;14/24)</formula>
    </cfRule>
    <cfRule type="expression" dxfId="1757" priority="255">
      <formula>AG$9&lt;8/24</formula>
    </cfRule>
  </conditionalFormatting>
  <conditionalFormatting sqref="AG52">
    <cfRule type="expression" dxfId="1756" priority="251">
      <formula>AG52&gt;$AG52</formula>
    </cfRule>
  </conditionalFormatting>
  <conditionalFormatting sqref="C107:AF107">
    <cfRule type="expression" dxfId="1755" priority="247">
      <formula>C$9&gt;=20/24</formula>
    </cfRule>
    <cfRule type="expression" dxfId="1754" priority="248">
      <formula>AND(C$9&gt;=14/24,C$9&lt;20/24)</formula>
    </cfRule>
    <cfRule type="expression" dxfId="1753" priority="249">
      <formula>AND(C$9&gt;=8/24,C$9&lt;14/24)</formula>
    </cfRule>
    <cfRule type="expression" dxfId="1752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751" priority="245">
      <formula>$AH40=0</formula>
    </cfRule>
  </conditionalFormatting>
  <conditionalFormatting sqref="A90">
    <cfRule type="expression" dxfId="1750" priority="243">
      <formula>$AH90=0</formula>
    </cfRule>
  </conditionalFormatting>
  <conditionalFormatting sqref="A87">
    <cfRule type="expression" dxfId="1749" priority="244">
      <formula>$AH87=0</formula>
    </cfRule>
  </conditionalFormatting>
  <conditionalFormatting sqref="D110:AF110">
    <cfRule type="expression" dxfId="1748" priority="239">
      <formula>D$9&gt;=20/24</formula>
    </cfRule>
    <cfRule type="expression" dxfId="1747" priority="240">
      <formula>AND(D$9&gt;=14/24,D$9&lt;20/24)</formula>
    </cfRule>
    <cfRule type="expression" dxfId="1746" priority="241">
      <formula>AND(D$9&gt;=8/24,D$9&lt;14/24)</formula>
    </cfRule>
    <cfRule type="expression" dxfId="1745" priority="242">
      <formula>D$9&lt;8/24</formula>
    </cfRule>
  </conditionalFormatting>
  <conditionalFormatting sqref="A110">
    <cfRule type="expression" dxfId="1744" priority="238">
      <formula>$AH110=0</formula>
    </cfRule>
  </conditionalFormatting>
  <conditionalFormatting sqref="A21">
    <cfRule type="expression" dxfId="1743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742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741" priority="230">
      <formula>Y$9&gt;=20/24</formula>
    </cfRule>
    <cfRule type="expression" dxfId="1740" priority="231">
      <formula>AND(Y$9&gt;=14/24,Y$9&lt;20/24)</formula>
    </cfRule>
    <cfRule type="expression" dxfId="1739" priority="232">
      <formula>AND(Y$9&gt;=8/24,Y$9&lt;14/24)</formula>
    </cfRule>
    <cfRule type="expression" dxfId="1738" priority="233">
      <formula>Y$9&lt;8/24</formula>
    </cfRule>
  </conditionalFormatting>
  <conditionalFormatting sqref="Y100:AD106">
    <cfRule type="expression" dxfId="1737" priority="226">
      <formula>Y$9&gt;=20/24</formula>
    </cfRule>
    <cfRule type="expression" dxfId="1736" priority="227">
      <formula>AND(Y$9&gt;=14/24,Y$9&lt;20/24)</formula>
    </cfRule>
    <cfRule type="expression" dxfId="1735" priority="228">
      <formula>AND(Y$9&gt;=8/24,Y$9&lt;14/24)</formula>
    </cfRule>
    <cfRule type="expression" dxfId="1734" priority="229">
      <formula>Y$9&lt;8/24</formula>
    </cfRule>
  </conditionalFormatting>
  <conditionalFormatting sqref="C109 C111:C116 Z34:AF43 Z17:AF32">
    <cfRule type="expression" dxfId="1733" priority="222">
      <formula>C$9&gt;=20/24</formula>
    </cfRule>
    <cfRule type="expression" dxfId="1732" priority="223">
      <formula>AND(C$9&gt;=14/24,C$9&lt;20/24)</formula>
    </cfRule>
    <cfRule type="expression" dxfId="1731" priority="224">
      <formula>AND(C$9&gt;=8/24,C$9&lt;14/24)</formula>
    </cfRule>
    <cfRule type="expression" dxfId="1730" priority="225">
      <formula>C$9&lt;8/24</formula>
    </cfRule>
  </conditionalFormatting>
  <conditionalFormatting sqref="C47:T47">
    <cfRule type="expression" dxfId="1729" priority="218">
      <formula>C$9&gt;=20/24</formula>
    </cfRule>
    <cfRule type="expression" dxfId="1728" priority="219">
      <formula>AND(C$9&gt;=14/24,C$9&lt;20/24)</formula>
    </cfRule>
    <cfRule type="expression" dxfId="1727" priority="220">
      <formula>AND(C$9&gt;=8/24,C$9&lt;14/24)</formula>
    </cfRule>
    <cfRule type="expression" dxfId="1726" priority="221">
      <formula>C$9&lt;8/24</formula>
    </cfRule>
  </conditionalFormatting>
  <conditionalFormatting sqref="C47:T47 Z34:AF43 Z17:AF32">
    <cfRule type="expression" dxfId="1725" priority="217">
      <formula>C17&gt;$AG17</formula>
    </cfRule>
  </conditionalFormatting>
  <conditionalFormatting sqref="C99:D99">
    <cfRule type="expression" dxfId="1724" priority="213">
      <formula>C$9&gt;=20/24</formula>
    </cfRule>
    <cfRule type="expression" dxfId="1723" priority="214">
      <formula>AND(C$9&gt;=14/24,C$9&lt;20/24)</formula>
    </cfRule>
    <cfRule type="expression" dxfId="1722" priority="215">
      <formula>AND(C$9&gt;=8/24,C$9&lt;14/24)</formula>
    </cfRule>
    <cfRule type="expression" dxfId="1721" priority="216">
      <formula>C$9&lt;8/24</formula>
    </cfRule>
  </conditionalFormatting>
  <conditionalFormatting sqref="C86 C96:W96 C83:AF85 C100:D104 Y75:AC75 D105:D106 E67:R69 E74:X75 E76:AC76 AD75:AF76">
    <cfRule type="expression" dxfId="1720" priority="209">
      <formula>C$9&gt;=20/24</formula>
    </cfRule>
    <cfRule type="expression" dxfId="1719" priority="210">
      <formula>AND(C$9&gt;=14/24,C$9&lt;20/24)</formula>
    </cfRule>
    <cfRule type="expression" dxfId="1718" priority="211">
      <formula>AND(C$9&gt;=8/24,C$9&lt;14/24)</formula>
    </cfRule>
    <cfRule type="expression" dxfId="1717" priority="212">
      <formula>C$9&lt;8/24</formula>
    </cfRule>
  </conditionalFormatting>
  <conditionalFormatting sqref="E67:R69">
    <cfRule type="expression" dxfId="1716" priority="208">
      <formula>E67&gt;$AG67</formula>
    </cfRule>
  </conditionalFormatting>
  <conditionalFormatting sqref="B71:D71 B54:F57 G56:R57">
    <cfRule type="expression" dxfId="1715" priority="132">
      <formula>B$9&gt;=20/24</formula>
    </cfRule>
    <cfRule type="expression" dxfId="1714" priority="133">
      <formula>AND(B$9&gt;=14/24,B$9&lt;20/24)</formula>
    </cfRule>
    <cfRule type="expression" dxfId="1713" priority="134">
      <formula>AND(B$9&gt;=8/24,B$9&lt;14/24)</formula>
    </cfRule>
    <cfRule type="expression" dxfId="1712" priority="135">
      <formula>B$9&lt;8/24</formula>
    </cfRule>
  </conditionalFormatting>
  <conditionalFormatting sqref="C87:AF87 C89:AF89 C98:AF98 C70:AF70">
    <cfRule type="expression" dxfId="1711" priority="199">
      <formula>C$9&gt;=20/24</formula>
    </cfRule>
    <cfRule type="expression" dxfId="1710" priority="200">
      <formula>AND(C$9&gt;=14/24,C$9&lt;20/24)</formula>
    </cfRule>
    <cfRule type="expression" dxfId="1709" priority="201">
      <formula>AND(C$9&gt;=8/24,C$9&lt;14/24)</formula>
    </cfRule>
    <cfRule type="expression" dxfId="1708" priority="202">
      <formula>C$9&lt;8/24</formula>
    </cfRule>
  </conditionalFormatting>
  <conditionalFormatting sqref="C70:AF70 C48:AF48 C65:AF66">
    <cfRule type="expression" dxfId="1707" priority="198">
      <formula>C48&gt;$AG48</formula>
    </cfRule>
  </conditionalFormatting>
  <conditionalFormatting sqref="C82:AF82">
    <cfRule type="expression" dxfId="1706" priority="194">
      <formula>C$9&gt;=20/24</formula>
    </cfRule>
    <cfRule type="expression" dxfId="1705" priority="195">
      <formula>AND(C$9&gt;=14/24,C$9&lt;20/24)</formula>
    </cfRule>
    <cfRule type="expression" dxfId="1704" priority="196">
      <formula>AND(C$9&gt;=8/24,C$9&lt;14/24)</formula>
    </cfRule>
    <cfRule type="expression" dxfId="1703" priority="197">
      <formula>C$9&lt;8/24</formula>
    </cfRule>
  </conditionalFormatting>
  <conditionalFormatting sqref="C91:W95">
    <cfRule type="expression" dxfId="1702" priority="190">
      <formula>C$9&gt;=20/24</formula>
    </cfRule>
    <cfRule type="expression" dxfId="1701" priority="191">
      <formula>AND(C$9&gt;=14/24,C$9&lt;20/24)</formula>
    </cfRule>
    <cfRule type="expression" dxfId="1700" priority="192">
      <formula>AND(C$9&gt;=8/24,C$9&lt;14/24)</formula>
    </cfRule>
    <cfRule type="expression" dxfId="1699" priority="193">
      <formula>C$9&lt;8/24</formula>
    </cfRule>
  </conditionalFormatting>
  <conditionalFormatting sqref="C52:AF52">
    <cfRule type="expression" dxfId="1698" priority="186">
      <formula>C$9&gt;=20/24</formula>
    </cfRule>
    <cfRule type="expression" dxfId="1697" priority="187">
      <formula>AND(C$9&gt;=14/24,C$9&lt;20/24)</formula>
    </cfRule>
    <cfRule type="expression" dxfId="1696" priority="188">
      <formula>AND(C$9&gt;=8/24,C$9&lt;14/24)</formula>
    </cfRule>
    <cfRule type="expression" dxfId="1695" priority="189">
      <formula>C$9&lt;8/24</formula>
    </cfRule>
  </conditionalFormatting>
  <conditionalFormatting sqref="C52:AF52">
    <cfRule type="expression" dxfId="1694" priority="185">
      <formula>C52&gt;$AG52</formula>
    </cfRule>
  </conditionalFormatting>
  <conditionalFormatting sqref="B49:D51">
    <cfRule type="expression" dxfId="1693" priority="100">
      <formula>B$9&gt;=20/24</formula>
    </cfRule>
    <cfRule type="expression" dxfId="1692" priority="101">
      <formula>AND(B$9&gt;=14/24,B$9&lt;20/24)</formula>
    </cfRule>
    <cfRule type="expression" dxfId="1691" priority="102">
      <formula>AND(B$9&gt;=8/24,B$9&lt;14/24)</formula>
    </cfRule>
    <cfRule type="expression" dxfId="1690" priority="103">
      <formula>B$9&lt;8/24</formula>
    </cfRule>
  </conditionalFormatting>
  <conditionalFormatting sqref="C110">
    <cfRule type="expression" dxfId="1689" priority="177">
      <formula>C$9&gt;=20/24</formula>
    </cfRule>
    <cfRule type="expression" dxfId="1688" priority="178">
      <formula>AND(C$9&gt;=14/24,C$9&lt;20/24)</formula>
    </cfRule>
    <cfRule type="expression" dxfId="1687" priority="179">
      <formula>AND(C$9&gt;=8/24,C$9&lt;14/24)</formula>
    </cfRule>
    <cfRule type="expression" dxfId="1686" priority="180">
      <formula>C$9&lt;8/24</formula>
    </cfRule>
  </conditionalFormatting>
  <conditionalFormatting sqref="S59:AF64">
    <cfRule type="expression" dxfId="1685" priority="173">
      <formula>S$9&gt;=20/24</formula>
    </cfRule>
    <cfRule type="expression" dxfId="1684" priority="174">
      <formula>AND(S$9&gt;=14/24,S$9&lt;20/24)</formula>
    </cfRule>
    <cfRule type="expression" dxfId="1683" priority="175">
      <formula>AND(S$9&gt;=8/24,S$9&lt;14/24)</formula>
    </cfRule>
    <cfRule type="expression" dxfId="1682" priority="176">
      <formula>S$9&lt;8/24</formula>
    </cfRule>
  </conditionalFormatting>
  <conditionalFormatting sqref="S59:AF64">
    <cfRule type="expression" dxfId="1681" priority="172">
      <formula>S59&gt;$AG59</formula>
    </cfRule>
  </conditionalFormatting>
  <conditionalFormatting sqref="U13:Y14 Z45:AF45 Z13:AF15">
    <cfRule type="expression" dxfId="1680" priority="171">
      <formula>U13&gt;$AG13</formula>
    </cfRule>
  </conditionalFormatting>
  <conditionalFormatting sqref="U12:AF12">
    <cfRule type="expression" dxfId="1679" priority="167">
      <formula>U$9&gt;=20/24</formula>
    </cfRule>
    <cfRule type="expression" dxfId="1678" priority="168">
      <formula>AND(U$9&gt;=14/24,U$9&lt;20/24)</formula>
    </cfRule>
    <cfRule type="expression" dxfId="1677" priority="169">
      <formula>AND(U$9&gt;=8/24,U$9&lt;14/24)</formula>
    </cfRule>
    <cfRule type="expression" dxfId="1676" priority="170">
      <formula>U$9&lt;8/24</formula>
    </cfRule>
  </conditionalFormatting>
  <conditionalFormatting sqref="U12:AF12">
    <cfRule type="expression" dxfId="1675" priority="166">
      <formula>U12&gt;$AG12</formula>
    </cfRule>
  </conditionalFormatting>
  <conditionalFormatting sqref="U13:Y14 Z13:AF15">
    <cfRule type="expression" dxfId="1674" priority="162">
      <formula>U$9&gt;=20/24</formula>
    </cfRule>
    <cfRule type="expression" dxfId="1673" priority="163">
      <formula>AND(U$9&gt;=14/24,U$9&lt;20/24)</formula>
    </cfRule>
    <cfRule type="expression" dxfId="1672" priority="164">
      <formula>AND(U$9&gt;=8/24,U$9&lt;14/24)</formula>
    </cfRule>
    <cfRule type="expression" dxfId="1671" priority="165">
      <formula>U$9&lt;8/24</formula>
    </cfRule>
  </conditionalFormatting>
  <conditionalFormatting sqref="Z45:AF45">
    <cfRule type="expression" dxfId="1670" priority="158">
      <formula>Z$9&gt;=20/24</formula>
    </cfRule>
    <cfRule type="expression" dxfId="1669" priority="159">
      <formula>AND(Z$9&gt;=14/24,Z$9&lt;20/24)</formula>
    </cfRule>
    <cfRule type="expression" dxfId="1668" priority="160">
      <formula>AND(Z$9&gt;=8/24,Z$9&lt;14/24)</formula>
    </cfRule>
    <cfRule type="expression" dxfId="1667" priority="161">
      <formula>Z$9&lt;8/24</formula>
    </cfRule>
  </conditionalFormatting>
  <conditionalFormatting sqref="E77:AF81">
    <cfRule type="expression" dxfId="1666" priority="154">
      <formula>E$9&gt;=20/24</formula>
    </cfRule>
    <cfRule type="expression" dxfId="1665" priority="155">
      <formula>AND(E$9&gt;=14/24,E$9&lt;20/24)</formula>
    </cfRule>
    <cfRule type="expression" dxfId="1664" priority="156">
      <formula>AND(E$9&gt;=8/24,E$9&lt;14/24)</formula>
    </cfRule>
    <cfRule type="expression" dxfId="1663" priority="157">
      <formula>E$9&lt;8/24</formula>
    </cfRule>
  </conditionalFormatting>
  <conditionalFormatting sqref="AL78:AN78 AL84:AN84 AN79:AN80">
    <cfRule type="expression" dxfId="1662" priority="150">
      <formula>AL$9&gt;=20/24</formula>
    </cfRule>
    <cfRule type="expression" dxfId="1661" priority="151">
      <formula>AND(AL$9&gt;=14/24,AL$9&lt;20/24)</formula>
    </cfRule>
    <cfRule type="expression" dxfId="1660" priority="152">
      <formula>AND(AL$9&gt;=8/24,AL$9&lt;14/24)</formula>
    </cfRule>
    <cfRule type="expression" dxfId="1659" priority="153">
      <formula>AL$9&lt;8/24</formula>
    </cfRule>
  </conditionalFormatting>
  <conditionalFormatting sqref="AN81:AN82">
    <cfRule type="expression" dxfId="1658" priority="146">
      <formula>AN$9&gt;=20/24</formula>
    </cfRule>
    <cfRule type="expression" dxfId="1657" priority="147">
      <formula>AND(AN$9&gt;=14/24,AN$9&lt;20/24)</formula>
    </cfRule>
    <cfRule type="expression" dxfId="1656" priority="148">
      <formula>AND(AN$9&gt;=8/24,AN$9&lt;14/24)</formula>
    </cfRule>
    <cfRule type="expression" dxfId="1655" priority="149">
      <formula>AN$9&lt;8/24</formula>
    </cfRule>
  </conditionalFormatting>
  <conditionalFormatting sqref="AL79:AM83">
    <cfRule type="expression" dxfId="1654" priority="363">
      <formula>AJ$9&gt;=20/24</formula>
    </cfRule>
    <cfRule type="expression" dxfId="1653" priority="364">
      <formula>AND(AJ$9&gt;=14/24,AJ$9&lt;20/24)</formula>
    </cfRule>
    <cfRule type="expression" dxfId="1652" priority="365">
      <formula>AND(AJ$9&gt;=8/24,AJ$9&lt;14/24)</formula>
    </cfRule>
    <cfRule type="expression" dxfId="1651" priority="366">
      <formula>AJ$9&lt;8/24</formula>
    </cfRule>
  </conditionalFormatting>
  <conditionalFormatting sqref="A117">
    <cfRule type="expression" dxfId="1650" priority="145">
      <formula>$AH117=0</formula>
    </cfRule>
  </conditionalFormatting>
  <conditionalFormatting sqref="B109 B111:B116 B12:T15 U15:Y15 B34:Y43 B45:Y45 B17:Y32">
    <cfRule type="expression" dxfId="1649" priority="141">
      <formula>B$9&gt;=20/24</formula>
    </cfRule>
    <cfRule type="expression" dxfId="1648" priority="142">
      <formula>AND(B$9&gt;=14/24,B$9&lt;20/24)</formula>
    </cfRule>
    <cfRule type="expression" dxfId="1647" priority="143">
      <formula>AND(B$9&gt;=8/24,B$9&lt;14/24)</formula>
    </cfRule>
    <cfRule type="expression" dxfId="1646" priority="144">
      <formula>B$9&lt;8/24</formula>
    </cfRule>
  </conditionalFormatting>
  <conditionalFormatting sqref="B12:T15 U15:Y15 B34:Y43 B45:Y45 B17:Y32">
    <cfRule type="expression" dxfId="1645" priority="140">
      <formula>B12&gt;$AG12</formula>
    </cfRule>
  </conditionalFormatting>
  <conditionalFormatting sqref="B99">
    <cfRule type="expression" dxfId="1644" priority="136">
      <formula>B$9&gt;=20/24</formula>
    </cfRule>
    <cfRule type="expression" dxfId="1643" priority="137">
      <formula>AND(B$9&gt;=14/24,B$9&lt;20/24)</formula>
    </cfRule>
    <cfRule type="expression" dxfId="1642" priority="138">
      <formula>AND(B$9&gt;=8/24,B$9&lt;14/24)</formula>
    </cfRule>
    <cfRule type="expression" dxfId="1641" priority="139">
      <formula>B$9&lt;8/24</formula>
    </cfRule>
  </conditionalFormatting>
  <conditionalFormatting sqref="B53:F53">
    <cfRule type="expression" dxfId="1640" priority="128">
      <formula>B$9&gt;=20/24</formula>
    </cfRule>
    <cfRule type="expression" dxfId="1639" priority="129">
      <formula>AND(B$9&gt;=14/24,B$9&lt;20/24)</formula>
    </cfRule>
    <cfRule type="expression" dxfId="1638" priority="130">
      <formula>AND(B$9&gt;=8/24,B$9&lt;14/24)</formula>
    </cfRule>
    <cfRule type="expression" dxfId="1637" priority="131">
      <formula>B$9&lt;8/24</formula>
    </cfRule>
  </conditionalFormatting>
  <conditionalFormatting sqref="B53:F57 G56:R57">
    <cfRule type="expression" dxfId="1636" priority="127">
      <formula>B53&gt;$AG53</formula>
    </cfRule>
  </conditionalFormatting>
  <conditionalFormatting sqref="B96 B100:B106 B86 B47 C105:C106 B67:D69 B72:D74">
    <cfRule type="expression" dxfId="1635" priority="123">
      <formula>B$9&gt;=20/24</formula>
    </cfRule>
    <cfRule type="expression" dxfId="1634" priority="124">
      <formula>AND(B$9&gt;=14/24,B$9&lt;20/24)</formula>
    </cfRule>
    <cfRule type="expression" dxfId="1633" priority="125">
      <formula>AND(B$9&gt;=8/24,B$9&lt;14/24)</formula>
    </cfRule>
    <cfRule type="expression" dxfId="1632" priority="126">
      <formula>B$9&lt;8/24</formula>
    </cfRule>
  </conditionalFormatting>
  <conditionalFormatting sqref="B47 B67:D69">
    <cfRule type="expression" dxfId="1631" priority="122">
      <formula>B47&gt;$AG47</formula>
    </cfRule>
  </conditionalFormatting>
  <conditionalFormatting sqref="B97 B88:C88">
    <cfRule type="expression" dxfId="1630" priority="118">
      <formula>B$9&gt;=20/24</formula>
    </cfRule>
    <cfRule type="expression" dxfId="1629" priority="119">
      <formula>AND(B$9&gt;=14/24,B$9&lt;20/24)</formula>
    </cfRule>
    <cfRule type="expression" dxfId="1628" priority="120">
      <formula>AND(B$9&gt;=8/24,B$9&lt;14/24)</formula>
    </cfRule>
    <cfRule type="expression" dxfId="1627" priority="121">
      <formula>B$9&lt;8/24</formula>
    </cfRule>
  </conditionalFormatting>
  <conditionalFormatting sqref="B46:AF46">
    <cfRule type="expression" dxfId="1626" priority="114">
      <formula>B$9&gt;=20/24</formula>
    </cfRule>
    <cfRule type="expression" dxfId="1625" priority="115">
      <formula>AND(B$9&gt;=14/24,B$9&lt;20/24)</formula>
    </cfRule>
    <cfRule type="expression" dxfId="1624" priority="116">
      <formula>AND(B$9&gt;=8/24,B$9&lt;14/24)</formula>
    </cfRule>
    <cfRule type="expression" dxfId="1623" priority="117">
      <formula>B$9&lt;8/24</formula>
    </cfRule>
  </conditionalFormatting>
  <conditionalFormatting sqref="B46:AF46">
    <cfRule type="expression" dxfId="1622" priority="113">
      <formula>B46&gt;$AG46</formula>
    </cfRule>
  </conditionalFormatting>
  <conditionalFormatting sqref="B58:R58">
    <cfRule type="expression" dxfId="1621" priority="109">
      <formula>B$9&gt;=20/24</formula>
    </cfRule>
    <cfRule type="expression" dxfId="1620" priority="110">
      <formula>AND(B$9&gt;=14/24,B$9&lt;20/24)</formula>
    </cfRule>
    <cfRule type="expression" dxfId="1619" priority="111">
      <formula>AND(B$9&gt;=8/24,B$9&lt;14/24)</formula>
    </cfRule>
    <cfRule type="expression" dxfId="1618" priority="112">
      <formula>B$9&lt;8/24</formula>
    </cfRule>
  </conditionalFormatting>
  <conditionalFormatting sqref="B58:R58">
    <cfRule type="expression" dxfId="1617" priority="108">
      <formula>B58&gt;$AG58</formula>
    </cfRule>
  </conditionalFormatting>
  <conditionalFormatting sqref="B91:B95">
    <cfRule type="expression" dxfId="1616" priority="104">
      <formula>B$9&gt;=20/24</formula>
    </cfRule>
    <cfRule type="expression" dxfId="1615" priority="105">
      <formula>AND(B$9&gt;=14/24,B$9&lt;20/24)</formula>
    </cfRule>
    <cfRule type="expression" dxfId="1614" priority="106">
      <formula>AND(B$9&gt;=8/24,B$9&lt;14/24)</formula>
    </cfRule>
    <cfRule type="expression" dxfId="1613" priority="107">
      <formula>B$9&lt;8/24</formula>
    </cfRule>
  </conditionalFormatting>
  <conditionalFormatting sqref="B49:D51">
    <cfRule type="expression" dxfId="1612" priority="99">
      <formula>B49&gt;$AG49</formula>
    </cfRule>
  </conditionalFormatting>
  <conditionalFormatting sqref="B107">
    <cfRule type="expression" dxfId="1611" priority="95">
      <formula>B$9&gt;=20/24</formula>
    </cfRule>
    <cfRule type="expression" dxfId="1610" priority="96">
      <formula>AND(B$9&gt;=14/24,B$9&lt;20/24)</formula>
    </cfRule>
    <cfRule type="expression" dxfId="1609" priority="97">
      <formula>AND(B$9&gt;=8/24,B$9&lt;14/24)</formula>
    </cfRule>
    <cfRule type="expression" dxfId="1608" priority="98">
      <formula>B$9&lt;8/24</formula>
    </cfRule>
  </conditionalFormatting>
  <conditionalFormatting sqref="B110">
    <cfRule type="expression" dxfId="1607" priority="91">
      <formula>B$9&gt;=20/24</formula>
    </cfRule>
    <cfRule type="expression" dxfId="1606" priority="92">
      <formula>AND(B$9&gt;=14/24,B$9&lt;20/24)</formula>
    </cfRule>
    <cfRule type="expression" dxfId="1605" priority="93">
      <formula>AND(B$9&gt;=8/24,B$9&lt;14/24)</formula>
    </cfRule>
    <cfRule type="expression" dxfId="1604" priority="94">
      <formula>B$9&lt;8/24</formula>
    </cfRule>
  </conditionalFormatting>
  <conditionalFormatting sqref="B83:B85 B75:D76">
    <cfRule type="expression" dxfId="1603" priority="87">
      <formula>B$9&gt;=20/24</formula>
    </cfRule>
    <cfRule type="expression" dxfId="1602" priority="88">
      <formula>AND(B$9&gt;=14/24,B$9&lt;20/24)</formula>
    </cfRule>
    <cfRule type="expression" dxfId="1601" priority="89">
      <formula>AND(B$9&gt;=8/24,B$9&lt;14/24)</formula>
    </cfRule>
    <cfRule type="expression" dxfId="1600" priority="90">
      <formula>B$9&lt;8/24</formula>
    </cfRule>
  </conditionalFormatting>
  <conditionalFormatting sqref="B89 B98 B70 B87">
    <cfRule type="expression" dxfId="1599" priority="83">
      <formula>B$9&gt;=20/24</formula>
    </cfRule>
    <cfRule type="expression" dxfId="1598" priority="84">
      <formula>AND(B$9&gt;=14/24,B$9&lt;20/24)</formula>
    </cfRule>
    <cfRule type="expression" dxfId="1597" priority="85">
      <formula>AND(B$9&gt;=8/24,B$9&lt;14/24)</formula>
    </cfRule>
    <cfRule type="expression" dxfId="1596" priority="86">
      <formula>B$9&lt;8/24</formula>
    </cfRule>
  </conditionalFormatting>
  <conditionalFormatting sqref="B48 B65:B66 B70">
    <cfRule type="expression" dxfId="1595" priority="82">
      <formula>B48&gt;$AG48</formula>
    </cfRule>
  </conditionalFormatting>
  <conditionalFormatting sqref="B82">
    <cfRule type="expression" dxfId="1594" priority="78">
      <formula>B$9&gt;=20/24</formula>
    </cfRule>
    <cfRule type="expression" dxfId="1593" priority="79">
      <formula>AND(B$9&gt;=14/24,B$9&lt;20/24)</formula>
    </cfRule>
    <cfRule type="expression" dxfId="1592" priority="80">
      <formula>AND(B$9&gt;=8/24,B$9&lt;14/24)</formula>
    </cfRule>
    <cfRule type="expression" dxfId="1591" priority="81">
      <formula>B$9&lt;8/24</formula>
    </cfRule>
  </conditionalFormatting>
  <conditionalFormatting sqref="B52">
    <cfRule type="expression" dxfId="1590" priority="74">
      <formula>B$9&gt;=20/24</formula>
    </cfRule>
    <cfRule type="expression" dxfId="1589" priority="75">
      <formula>AND(B$9&gt;=14/24,B$9&lt;20/24)</formula>
    </cfRule>
    <cfRule type="expression" dxfId="1588" priority="76">
      <formula>AND(B$9&gt;=8/24,B$9&lt;14/24)</formula>
    </cfRule>
    <cfRule type="expression" dxfId="1587" priority="77">
      <formula>B$9&lt;8/24</formula>
    </cfRule>
  </conditionalFormatting>
  <conditionalFormatting sqref="B52">
    <cfRule type="expression" dxfId="1586" priority="73">
      <formula>B52&gt;$AG52</formula>
    </cfRule>
  </conditionalFormatting>
  <conditionalFormatting sqref="B59:R64">
    <cfRule type="expression" dxfId="1585" priority="65">
      <formula>B$9&gt;=20/24</formula>
    </cfRule>
    <cfRule type="expression" dxfId="1584" priority="66">
      <formula>AND(B$9&gt;=14/24,B$9&lt;20/24)</formula>
    </cfRule>
    <cfRule type="expression" dxfId="1583" priority="67">
      <formula>AND(B$9&gt;=8/24,B$9&lt;14/24)</formula>
    </cfRule>
    <cfRule type="expression" dxfId="1582" priority="68">
      <formula>B$9&lt;8/24</formula>
    </cfRule>
  </conditionalFormatting>
  <conditionalFormatting sqref="B59:R64">
    <cfRule type="expression" dxfId="1581" priority="64">
      <formula>B59&gt;$AG59</formula>
    </cfRule>
  </conditionalFormatting>
  <conditionalFormatting sqref="B77:D81">
    <cfRule type="expression" dxfId="1580" priority="60">
      <formula>B$9&gt;=20/24</formula>
    </cfRule>
    <cfRule type="expression" dxfId="1579" priority="61">
      <formula>AND(B$9&gt;=14/24,B$9&lt;20/24)</formula>
    </cfRule>
    <cfRule type="expression" dxfId="1578" priority="62">
      <formula>AND(B$9&gt;=8/24,B$9&lt;14/24)</formula>
    </cfRule>
    <cfRule type="expression" dxfId="1577" priority="63">
      <formula>B$9&lt;8/24</formula>
    </cfRule>
  </conditionalFormatting>
  <conditionalFormatting sqref="A11">
    <cfRule type="expression" dxfId="1576" priority="59">
      <formula>$AH11=0</formula>
    </cfRule>
  </conditionalFormatting>
  <conditionalFormatting sqref="S11:AF11">
    <cfRule type="expression" dxfId="1575" priority="55">
      <formula>S$9&gt;=20/24</formula>
    </cfRule>
    <cfRule type="expression" dxfId="1574" priority="56">
      <formula>AND(S$9&gt;=14/24,S$9&lt;20/24)</formula>
    </cfRule>
    <cfRule type="expression" dxfId="1573" priority="57">
      <formula>AND(S$9&gt;=8/24,S$9&lt;14/24)</formula>
    </cfRule>
    <cfRule type="expression" dxfId="1572" priority="58">
      <formula>S$9&lt;8/24</formula>
    </cfRule>
  </conditionalFormatting>
  <conditionalFormatting sqref="S11:AF11">
    <cfRule type="expression" dxfId="1571" priority="54">
      <formula>S11&gt;$AG11</formula>
    </cfRule>
  </conditionalFormatting>
  <conditionalFormatting sqref="B11:R11">
    <cfRule type="expression" dxfId="1570" priority="50">
      <formula>B$9&gt;=20/24</formula>
    </cfRule>
    <cfRule type="expression" dxfId="1569" priority="51">
      <formula>AND(B$9&gt;=14/24,B$9&lt;20/24)</formula>
    </cfRule>
    <cfRule type="expression" dxfId="1568" priority="52">
      <formula>AND(B$9&gt;=8/24,B$9&lt;14/24)</formula>
    </cfRule>
    <cfRule type="expression" dxfId="1567" priority="53">
      <formula>B$9&lt;8/24</formula>
    </cfRule>
  </conditionalFormatting>
  <conditionalFormatting sqref="B11:R11">
    <cfRule type="expression" dxfId="1566" priority="49">
      <formula>B11&gt;$AG11</formula>
    </cfRule>
  </conditionalFormatting>
  <conditionalFormatting sqref="A16">
    <cfRule type="expression" dxfId="1565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1564" priority="43">
      <formula>Z$9&gt;=20/24</formula>
    </cfRule>
    <cfRule type="expression" dxfId="1563" priority="44">
      <formula>AND(Z$9&gt;=14/24,Z$9&lt;20/24)</formula>
    </cfRule>
    <cfRule type="expression" dxfId="1562" priority="45">
      <formula>AND(Z$9&gt;=8/24,Z$9&lt;14/24)</formula>
    </cfRule>
    <cfRule type="expression" dxfId="1561" priority="46">
      <formula>Z$9&lt;8/24</formula>
    </cfRule>
  </conditionalFormatting>
  <conditionalFormatting sqref="Z16:AF16">
    <cfRule type="expression" dxfId="1560" priority="42">
      <formula>Z16&gt;$AG16</formula>
    </cfRule>
  </conditionalFormatting>
  <conditionalFormatting sqref="B16:Y16">
    <cfRule type="expression" dxfId="1559" priority="38">
      <formula>B$9&gt;=20/24</formula>
    </cfRule>
    <cfRule type="expression" dxfId="1558" priority="39">
      <formula>AND(B$9&gt;=14/24,B$9&lt;20/24)</formula>
    </cfRule>
    <cfRule type="expression" dxfId="1557" priority="40">
      <formula>AND(B$9&gt;=8/24,B$9&lt;14/24)</formula>
    </cfRule>
    <cfRule type="expression" dxfId="1556" priority="41">
      <formula>B$9&lt;8/24</formula>
    </cfRule>
  </conditionalFormatting>
  <conditionalFormatting sqref="B16:Y16">
    <cfRule type="expression" dxfId="1555" priority="37">
      <formula>B16&gt;$AG16</formula>
    </cfRule>
  </conditionalFormatting>
  <conditionalFormatting sqref="A33">
    <cfRule type="expression" dxfId="1554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1553" priority="31">
      <formula>Z$9&gt;=20/24</formula>
    </cfRule>
    <cfRule type="expression" dxfId="1552" priority="32">
      <formula>AND(Z$9&gt;=14/24,Z$9&lt;20/24)</formula>
    </cfRule>
    <cfRule type="expression" dxfId="1551" priority="33">
      <formula>AND(Z$9&gt;=8/24,Z$9&lt;14/24)</formula>
    </cfRule>
    <cfRule type="expression" dxfId="1550" priority="34">
      <formula>Z$9&lt;8/24</formula>
    </cfRule>
  </conditionalFormatting>
  <conditionalFormatting sqref="Z33:AF33">
    <cfRule type="expression" dxfId="1549" priority="30">
      <formula>Z33&gt;$AG33</formula>
    </cfRule>
  </conditionalFormatting>
  <conditionalFormatting sqref="B33:Y33">
    <cfRule type="expression" dxfId="1548" priority="26">
      <formula>B$9&gt;=20/24</formula>
    </cfRule>
    <cfRule type="expression" dxfId="1547" priority="27">
      <formula>AND(B$9&gt;=14/24,B$9&lt;20/24)</formula>
    </cfRule>
    <cfRule type="expression" dxfId="1546" priority="28">
      <formula>AND(B$9&gt;=8/24,B$9&lt;14/24)</formula>
    </cfRule>
    <cfRule type="expression" dxfId="1545" priority="29">
      <formula>B$9&lt;8/24</formula>
    </cfRule>
  </conditionalFormatting>
  <conditionalFormatting sqref="B33:Y33">
    <cfRule type="expression" dxfId="1544" priority="25">
      <formula>B33&gt;$AG33</formula>
    </cfRule>
  </conditionalFormatting>
  <conditionalFormatting sqref="A44">
    <cfRule type="expression" dxfId="1543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1542" priority="22">
      <formula>Z44&gt;$AG44</formula>
    </cfRule>
  </conditionalFormatting>
  <conditionalFormatting sqref="Z44:AF44">
    <cfRule type="expression" dxfId="1541" priority="18">
      <formula>Z$9&gt;=20/24</formula>
    </cfRule>
    <cfRule type="expression" dxfId="1540" priority="19">
      <formula>AND(Z$9&gt;=14/24,Z$9&lt;20/24)</formula>
    </cfRule>
    <cfRule type="expression" dxfId="1539" priority="20">
      <formula>AND(Z$9&gt;=8/24,Z$9&lt;14/24)</formula>
    </cfRule>
    <cfRule type="expression" dxfId="1538" priority="21">
      <formula>Z$9&lt;8/24</formula>
    </cfRule>
  </conditionalFormatting>
  <conditionalFormatting sqref="B44:Y44">
    <cfRule type="expression" dxfId="1537" priority="14">
      <formula>B$9&gt;=20/24</formula>
    </cfRule>
    <cfRule type="expression" dxfId="1536" priority="15">
      <formula>AND(B$9&gt;=14/24,B$9&lt;20/24)</formula>
    </cfRule>
    <cfRule type="expression" dxfId="1535" priority="16">
      <formula>AND(B$9&gt;=8/24,B$9&lt;14/24)</formula>
    </cfRule>
    <cfRule type="expression" dxfId="1534" priority="17">
      <formula>B$9&lt;8/24</formula>
    </cfRule>
  </conditionalFormatting>
  <conditionalFormatting sqref="B44:Y44">
    <cfRule type="expression" dxfId="1533" priority="13">
      <formula>B44&gt;$AG44</formula>
    </cfRule>
  </conditionalFormatting>
  <conditionalFormatting sqref="B117">
    <cfRule type="expression" dxfId="1532" priority="1">
      <formula>B$9&gt;=20/24</formula>
    </cfRule>
    <cfRule type="expression" dxfId="1531" priority="2">
      <formula>AND(B$9&gt;=14/24,B$9&lt;20/24)</formula>
    </cfRule>
    <cfRule type="expression" dxfId="1530" priority="3">
      <formula>AND(B$9&gt;=8/24,B$9&lt;14/24)</formula>
    </cfRule>
    <cfRule type="expression" dxfId="1529" priority="4">
      <formula>B$9&lt;8/24</formula>
    </cfRule>
  </conditionalFormatting>
  <conditionalFormatting sqref="D117:AF117">
    <cfRule type="expression" dxfId="1528" priority="9">
      <formula>D$9&gt;=20/24</formula>
    </cfRule>
    <cfRule type="expression" dxfId="1527" priority="10">
      <formula>AND(D$9&gt;=14/24,D$9&lt;20/24)</formula>
    </cfRule>
    <cfRule type="expression" dxfId="1526" priority="11">
      <formula>AND(D$9&gt;=8/24,D$9&lt;14/24)</formula>
    </cfRule>
    <cfRule type="expression" dxfId="1525" priority="12">
      <formula>D$9&lt;8/24</formula>
    </cfRule>
  </conditionalFormatting>
  <conditionalFormatting sqref="C117">
    <cfRule type="expression" dxfId="1524" priority="5">
      <formula>C$9&gt;=20/24</formula>
    </cfRule>
    <cfRule type="expression" dxfId="1523" priority="6">
      <formula>AND(C$9&gt;=14/24,C$9&lt;20/24)</formula>
    </cfRule>
    <cfRule type="expression" dxfId="1522" priority="7">
      <formula>AND(C$9&gt;=8/24,C$9&lt;14/24)</formula>
    </cfRule>
    <cfRule type="expression" dxfId="1521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0AD597F1-0614-48C5-BB73-A6F69F5539A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1F2E729E-37B6-490B-8418-A6843F55CCA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7C55F8B8-3A70-4ABF-8628-4E73B9C4F99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DC22EFE2-1773-4DEF-B72C-B86A4A8E145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EB9DAA0E-3C0A-48EB-ADF1-B33AB2F8BDD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F164609C-A838-44CA-B903-B93256B3704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03F23383-EAE5-4EB9-ABEF-8217643A32C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E4FC3E81-84A3-4378-91EC-AC5B8C73B26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tabSelected="1" zoomScale="90" zoomScaleNormal="90" workbookViewId="0">
      <pane ySplit="10" topLeftCell="A29" activePane="bottomLeft" state="frozen"/>
      <selection activeCell="Z85" sqref="Z85"/>
      <selection pane="bottomLeft" activeCell="L48" sqref="L48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1" width="6" style="2" bestFit="1" customWidth="1"/>
    <col min="12" max="12" width="7.42578125" style="2" customWidth="1"/>
    <col min="13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9" style="2" bestFit="1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222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2079/12/29</v>
      </c>
      <c r="C4" s="196"/>
      <c r="D4" s="196"/>
      <c r="E4" s="197" t="str">
        <f ca="1">"2079/"&amp;"12/"&amp;INT(MID(CELL("filename",G6),FIND("]",CELL("filename",G6))+1,200))</f>
        <v>2079/12/29</v>
      </c>
      <c r="F4" s="197"/>
      <c r="G4" s="197"/>
      <c r="H4" s="197" t="str">
        <f ca="1">TEXT(E4,"dddd")</f>
        <v>Friday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507.7</v>
      </c>
      <c r="C5" s="33">
        <f t="shared" si="0"/>
        <v>477.6</v>
      </c>
      <c r="D5" s="33">
        <f t="shared" si="0"/>
        <v>517.1</v>
      </c>
      <c r="E5" s="33">
        <f t="shared" si="0"/>
        <v>561</v>
      </c>
      <c r="F5" s="33">
        <f t="shared" si="0"/>
        <v>558</v>
      </c>
      <c r="G5" s="33">
        <f t="shared" si="0"/>
        <v>541</v>
      </c>
      <c r="H5" s="33">
        <f t="shared" si="0"/>
        <v>484</v>
      </c>
      <c r="I5" s="33">
        <f t="shared" si="0"/>
        <v>494</v>
      </c>
      <c r="J5" s="33">
        <f t="shared" si="0"/>
        <v>543</v>
      </c>
      <c r="K5" s="33">
        <f t="shared" si="0"/>
        <v>599.4</v>
      </c>
      <c r="L5" s="33">
        <f t="shared" si="0"/>
        <v>579.69999999999993</v>
      </c>
      <c r="M5" s="33">
        <f t="shared" si="0"/>
        <v>608.9</v>
      </c>
      <c r="N5" s="33">
        <f t="shared" si="0"/>
        <v>651</v>
      </c>
      <c r="O5" s="33">
        <f t="shared" si="0"/>
        <v>651</v>
      </c>
      <c r="P5" s="33">
        <f t="shared" si="0"/>
        <v>536.9</v>
      </c>
      <c r="Q5" s="33">
        <f t="shared" si="0"/>
        <v>684.9</v>
      </c>
      <c r="R5" s="33">
        <f t="shared" si="0"/>
        <v>536.9</v>
      </c>
      <c r="S5" s="33">
        <f t="shared" si="0"/>
        <v>597.6</v>
      </c>
      <c r="T5" s="33">
        <f t="shared" si="0"/>
        <v>575.6</v>
      </c>
      <c r="U5" s="33">
        <f t="shared" si="0"/>
        <v>567.6</v>
      </c>
      <c r="V5" s="33">
        <f t="shared" si="0"/>
        <v>564.6</v>
      </c>
      <c r="W5" s="33">
        <f t="shared" si="0"/>
        <v>519.4</v>
      </c>
      <c r="X5" s="33">
        <f t="shared" si="0"/>
        <v>578.5</v>
      </c>
      <c r="Y5" s="33">
        <f t="shared" si="0"/>
        <v>500.1</v>
      </c>
      <c r="Z5" s="33">
        <f t="shared" si="0"/>
        <v>331.3</v>
      </c>
      <c r="AA5" s="33">
        <f t="shared" si="0"/>
        <v>490.5</v>
      </c>
      <c r="AB5" s="33">
        <f t="shared" si="0"/>
        <v>520.29999999999995</v>
      </c>
      <c r="AC5" s="33">
        <f t="shared" si="0"/>
        <v>509.9</v>
      </c>
      <c r="AD5" s="33">
        <f t="shared" si="0"/>
        <v>513.20000000000005</v>
      </c>
      <c r="AE5" s="33">
        <f t="shared" si="0"/>
        <v>485.29999999999995</v>
      </c>
      <c r="AF5" s="33">
        <f>B82</f>
        <v>521.20000000000005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1522MW at 7:30hr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Load=1115</v>
      </c>
      <c r="B7" s="38">
        <f t="shared" ref="B7:AF7" si="1">B89</f>
        <v>1283.94</v>
      </c>
      <c r="C7" s="38">
        <f t="shared" si="1"/>
        <v>1270.6399999999999</v>
      </c>
      <c r="D7" s="38">
        <f t="shared" si="1"/>
        <v>1142.04</v>
      </c>
      <c r="E7" s="38">
        <f t="shared" si="1"/>
        <v>1146.54</v>
      </c>
      <c r="F7" s="38">
        <f t="shared" si="1"/>
        <v>1115.24</v>
      </c>
      <c r="G7" s="38">
        <f t="shared" si="1"/>
        <v>1121.24</v>
      </c>
      <c r="H7" s="38">
        <f t="shared" si="1"/>
        <v>1179.74</v>
      </c>
      <c r="I7" s="38">
        <f t="shared" si="1"/>
        <v>1122.74</v>
      </c>
      <c r="J7" s="38">
        <f t="shared" si="1"/>
        <v>1292.74</v>
      </c>
      <c r="K7" s="38">
        <f t="shared" si="1"/>
        <v>1381.74</v>
      </c>
      <c r="L7" s="38">
        <f t="shared" si="1"/>
        <v>1521.6399999999999</v>
      </c>
      <c r="M7" s="38">
        <f t="shared" si="1"/>
        <v>1346.2399999999998</v>
      </c>
      <c r="N7" s="38">
        <f>N89</f>
        <v>1330.44</v>
      </c>
      <c r="O7" s="38">
        <f t="shared" si="1"/>
        <v>1372.54</v>
      </c>
      <c r="P7" s="38">
        <f t="shared" si="1"/>
        <v>1202.54</v>
      </c>
      <c r="Q7" s="38">
        <f t="shared" si="1"/>
        <v>1265.8400000000001</v>
      </c>
      <c r="R7" s="38">
        <f t="shared" si="1"/>
        <v>1414.2400000000002</v>
      </c>
      <c r="S7" s="38">
        <f t="shared" si="1"/>
        <v>1316.2400000000002</v>
      </c>
      <c r="T7" s="38">
        <f t="shared" si="1"/>
        <v>1309.6400000000001</v>
      </c>
      <c r="U7" s="38">
        <f t="shared" si="1"/>
        <v>1305.94</v>
      </c>
      <c r="V7" s="38">
        <f t="shared" si="1"/>
        <v>1337.94</v>
      </c>
      <c r="W7" s="38">
        <f t="shared" si="1"/>
        <v>1354.94</v>
      </c>
      <c r="X7" s="38">
        <f t="shared" si="1"/>
        <v>1186.44</v>
      </c>
      <c r="Y7" s="38">
        <f t="shared" si="1"/>
        <v>1427.74</v>
      </c>
      <c r="Z7" s="38">
        <f t="shared" si="1"/>
        <v>1461.84</v>
      </c>
      <c r="AA7" s="38">
        <f t="shared" si="1"/>
        <v>1457.24</v>
      </c>
      <c r="AB7" s="38">
        <f t="shared" si="1"/>
        <v>1535.18</v>
      </c>
      <c r="AC7" s="38">
        <f t="shared" si="1"/>
        <v>1499.3799999999999</v>
      </c>
      <c r="AD7" s="38">
        <f t="shared" si="1"/>
        <v>1483.6399999999999</v>
      </c>
      <c r="AE7" s="38">
        <f t="shared" si="1"/>
        <v>1437.94</v>
      </c>
      <c r="AF7" s="38">
        <f t="shared" si="1"/>
        <v>1359.94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24</v>
      </c>
      <c r="C11" s="50">
        <v>24</v>
      </c>
      <c r="D11" s="50">
        <v>24</v>
      </c>
      <c r="E11" s="50">
        <v>24</v>
      </c>
      <c r="F11" s="50">
        <v>24</v>
      </c>
      <c r="G11" s="50">
        <v>24</v>
      </c>
      <c r="H11" s="50">
        <v>24</v>
      </c>
      <c r="I11" s="50">
        <v>24</v>
      </c>
      <c r="J11" s="50">
        <v>24</v>
      </c>
      <c r="K11" s="50">
        <v>24</v>
      </c>
      <c r="L11" s="50">
        <v>24</v>
      </c>
      <c r="M11" s="50">
        <v>25</v>
      </c>
      <c r="N11" s="50">
        <v>25</v>
      </c>
      <c r="O11" s="50">
        <v>25</v>
      </c>
      <c r="P11" s="50">
        <v>25</v>
      </c>
      <c r="Q11" s="50">
        <v>25</v>
      </c>
      <c r="R11" s="50">
        <v>25</v>
      </c>
      <c r="S11" s="50">
        <v>25</v>
      </c>
      <c r="T11" s="50">
        <v>25</v>
      </c>
      <c r="U11" s="50">
        <v>25</v>
      </c>
      <c r="V11" s="50">
        <v>25</v>
      </c>
      <c r="W11" s="50">
        <v>25</v>
      </c>
      <c r="X11" s="50">
        <v>25</v>
      </c>
      <c r="Y11" s="50">
        <v>25</v>
      </c>
      <c r="Z11" s="50">
        <v>25</v>
      </c>
      <c r="AA11" s="50">
        <v>25</v>
      </c>
      <c r="AB11" s="50">
        <v>25</v>
      </c>
      <c r="AC11" s="50">
        <v>25</v>
      </c>
      <c r="AD11" s="50">
        <v>25</v>
      </c>
      <c r="AE11" s="50">
        <v>25</v>
      </c>
      <c r="AF11" s="50">
        <v>25</v>
      </c>
      <c r="AG11" s="51">
        <v>86</v>
      </c>
      <c r="AH11" s="52">
        <f t="shared" ref="AH11:AH74" si="2">MAX(B11:AF11)</f>
        <v>25</v>
      </c>
      <c r="AI11" s="53">
        <f t="shared" ref="AI11:AI74" si="3">MIN(B11:AF11)</f>
        <v>24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13.5</v>
      </c>
      <c r="C12" s="50">
        <v>13.5</v>
      </c>
      <c r="D12" s="50">
        <v>13.5</v>
      </c>
      <c r="E12" s="50">
        <v>13.5</v>
      </c>
      <c r="F12" s="50">
        <v>13.5</v>
      </c>
      <c r="G12" s="50">
        <v>13.5</v>
      </c>
      <c r="H12" s="50">
        <v>13.5</v>
      </c>
      <c r="I12" s="50">
        <v>13.5</v>
      </c>
      <c r="J12" s="50">
        <v>13.5</v>
      </c>
      <c r="K12" s="50">
        <v>13.5</v>
      </c>
      <c r="L12" s="50">
        <v>13.5</v>
      </c>
      <c r="M12" s="50">
        <v>15</v>
      </c>
      <c r="N12" s="50">
        <v>15</v>
      </c>
      <c r="O12" s="50">
        <v>15</v>
      </c>
      <c r="P12" s="50">
        <v>15</v>
      </c>
      <c r="Q12" s="50">
        <v>15</v>
      </c>
      <c r="R12" s="50">
        <v>15</v>
      </c>
      <c r="S12" s="50">
        <v>15</v>
      </c>
      <c r="T12" s="50">
        <v>15</v>
      </c>
      <c r="U12" s="50">
        <v>15</v>
      </c>
      <c r="V12" s="50">
        <v>15</v>
      </c>
      <c r="W12" s="50">
        <v>15</v>
      </c>
      <c r="X12" s="50">
        <v>15</v>
      </c>
      <c r="Y12" s="50">
        <v>15</v>
      </c>
      <c r="Z12" s="50">
        <v>15</v>
      </c>
      <c r="AA12" s="50">
        <v>15</v>
      </c>
      <c r="AB12" s="50">
        <v>15</v>
      </c>
      <c r="AC12" s="50">
        <v>15</v>
      </c>
      <c r="AD12" s="50">
        <v>15</v>
      </c>
      <c r="AE12" s="50">
        <v>15</v>
      </c>
      <c r="AF12" s="50">
        <v>15</v>
      </c>
      <c r="AG12" s="51">
        <v>52.4</v>
      </c>
      <c r="AH12" s="52">
        <f t="shared" si="2"/>
        <v>15</v>
      </c>
      <c r="AI12" s="53">
        <f t="shared" si="3"/>
        <v>13.5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29.1</v>
      </c>
      <c r="C13" s="50">
        <v>29.1</v>
      </c>
      <c r="D13" s="50">
        <v>28.9</v>
      </c>
      <c r="E13" s="50">
        <v>28.9</v>
      </c>
      <c r="F13" s="50">
        <v>28.9</v>
      </c>
      <c r="G13" s="50">
        <v>28.9</v>
      </c>
      <c r="H13" s="50">
        <v>28.9</v>
      </c>
      <c r="I13" s="50">
        <v>28.9</v>
      </c>
      <c r="J13" s="50">
        <v>28.9</v>
      </c>
      <c r="K13" s="50">
        <v>28.9</v>
      </c>
      <c r="L13" s="50">
        <v>28.9</v>
      </c>
      <c r="M13" s="50">
        <v>28.3</v>
      </c>
      <c r="N13" s="50">
        <v>28.3</v>
      </c>
      <c r="O13" s="50">
        <v>28.3</v>
      </c>
      <c r="P13" s="50">
        <v>28.3</v>
      </c>
      <c r="Q13" s="50">
        <v>28.3</v>
      </c>
      <c r="R13" s="50">
        <v>28.3</v>
      </c>
      <c r="S13" s="50">
        <v>28.3</v>
      </c>
      <c r="T13" s="50">
        <v>28.3</v>
      </c>
      <c r="U13" s="50">
        <v>28.3</v>
      </c>
      <c r="V13" s="50">
        <v>28.3</v>
      </c>
      <c r="W13" s="50">
        <v>28.3</v>
      </c>
      <c r="X13" s="50">
        <v>28.3</v>
      </c>
      <c r="Y13" s="50">
        <v>28.3</v>
      </c>
      <c r="Z13" s="50">
        <v>29.3</v>
      </c>
      <c r="AA13" s="50">
        <v>29.3</v>
      </c>
      <c r="AB13" s="50">
        <v>29.3</v>
      </c>
      <c r="AC13" s="50">
        <v>29.3</v>
      </c>
      <c r="AD13" s="50">
        <v>29.3</v>
      </c>
      <c r="AE13" s="50">
        <v>29.3</v>
      </c>
      <c r="AF13" s="50">
        <v>29.3</v>
      </c>
      <c r="AG13" s="55">
        <v>50</v>
      </c>
      <c r="AH13" s="52">
        <f t="shared" si="2"/>
        <v>29.3</v>
      </c>
      <c r="AI13" s="53">
        <f t="shared" si="3"/>
        <v>28.3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17.100000000000001</v>
      </c>
      <c r="C14" s="50">
        <v>17.100000000000001</v>
      </c>
      <c r="D14" s="50">
        <v>17</v>
      </c>
      <c r="E14" s="50">
        <v>17</v>
      </c>
      <c r="F14" s="50">
        <v>17</v>
      </c>
      <c r="G14" s="50">
        <v>17</v>
      </c>
      <c r="H14" s="50">
        <v>17</v>
      </c>
      <c r="I14" s="50">
        <v>17</v>
      </c>
      <c r="J14" s="50">
        <v>17</v>
      </c>
      <c r="K14" s="50">
        <v>17</v>
      </c>
      <c r="L14" s="50">
        <v>17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16.100000000000001</v>
      </c>
      <c r="AA14" s="50">
        <v>16.100000000000001</v>
      </c>
      <c r="AB14" s="50">
        <v>16.100000000000001</v>
      </c>
      <c r="AC14" s="50">
        <v>16.100000000000001</v>
      </c>
      <c r="AD14" s="50">
        <v>16.100000000000001</v>
      </c>
      <c r="AE14" s="50">
        <v>16.100000000000001</v>
      </c>
      <c r="AF14" s="50">
        <v>16.100000000000001</v>
      </c>
      <c r="AG14" s="55">
        <v>45</v>
      </c>
      <c r="AH14" s="52">
        <f t="shared" si="2"/>
        <v>17.100000000000001</v>
      </c>
      <c r="AI14" s="53">
        <f t="shared" si="3"/>
        <v>0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10</v>
      </c>
      <c r="L15" s="50">
        <v>10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11</v>
      </c>
      <c r="AA15" s="50">
        <v>11</v>
      </c>
      <c r="AB15" s="50">
        <v>11</v>
      </c>
      <c r="AC15" s="50">
        <v>11</v>
      </c>
      <c r="AD15" s="50">
        <v>11</v>
      </c>
      <c r="AE15" s="50">
        <v>11</v>
      </c>
      <c r="AF15" s="50">
        <v>11</v>
      </c>
      <c r="AG15" s="55">
        <v>42</v>
      </c>
      <c r="AH15" s="52">
        <f t="shared" si="2"/>
        <v>11</v>
      </c>
      <c r="AI15" s="53">
        <f t="shared" si="3"/>
        <v>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9.6</v>
      </c>
      <c r="C17" s="50">
        <v>9.6</v>
      </c>
      <c r="D17" s="50">
        <v>9.6</v>
      </c>
      <c r="E17" s="50">
        <v>9.6</v>
      </c>
      <c r="F17" s="50">
        <v>9.6</v>
      </c>
      <c r="G17" s="50">
        <v>9.6</v>
      </c>
      <c r="H17" s="50">
        <v>9.6</v>
      </c>
      <c r="I17" s="50">
        <v>9.6</v>
      </c>
      <c r="J17" s="50">
        <v>9.6</v>
      </c>
      <c r="K17" s="50">
        <v>9.6</v>
      </c>
      <c r="L17" s="50">
        <v>9.6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10.9</v>
      </c>
      <c r="AC17" s="50">
        <v>10.9</v>
      </c>
      <c r="AD17" s="50">
        <v>10.9</v>
      </c>
      <c r="AE17" s="50">
        <v>10.9</v>
      </c>
      <c r="AF17" s="50">
        <v>10.9</v>
      </c>
      <c r="AG17" s="55">
        <v>36</v>
      </c>
      <c r="AH17" s="52">
        <f t="shared" si="2"/>
        <v>10.9</v>
      </c>
      <c r="AI17" s="53">
        <f t="shared" si="3"/>
        <v>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8.8000000000000007</v>
      </c>
      <c r="C18" s="50">
        <v>8.8000000000000007</v>
      </c>
      <c r="D18" s="50">
        <v>9.3000000000000007</v>
      </c>
      <c r="E18" s="50">
        <v>9.3000000000000007</v>
      </c>
      <c r="F18" s="50">
        <v>9.3000000000000007</v>
      </c>
      <c r="G18" s="50">
        <v>9.3000000000000007</v>
      </c>
      <c r="H18" s="50">
        <v>9.3000000000000007</v>
      </c>
      <c r="I18" s="50">
        <v>9.3000000000000007</v>
      </c>
      <c r="J18" s="50">
        <v>9.3000000000000007</v>
      </c>
      <c r="K18" s="50">
        <v>9.3000000000000007</v>
      </c>
      <c r="L18" s="50">
        <v>9.3000000000000007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9.1999999999999993</v>
      </c>
      <c r="AA18" s="50">
        <v>9.1999999999999993</v>
      </c>
      <c r="AB18" s="50">
        <v>9.1999999999999993</v>
      </c>
      <c r="AC18" s="50">
        <v>9.1999999999999993</v>
      </c>
      <c r="AD18" s="50">
        <v>9.1999999999999993</v>
      </c>
      <c r="AE18" s="50">
        <v>9.1999999999999993</v>
      </c>
      <c r="AF18" s="50">
        <v>9.1999999999999993</v>
      </c>
      <c r="AG18" s="56">
        <v>30</v>
      </c>
      <c r="AH18" s="52">
        <f t="shared" si="2"/>
        <v>9.3000000000000007</v>
      </c>
      <c r="AI18" s="53">
        <f t="shared" si="3"/>
        <v>0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6.6</v>
      </c>
      <c r="O19" s="50">
        <v>6.6</v>
      </c>
      <c r="P19" s="50">
        <v>6.6</v>
      </c>
      <c r="Q19" s="50">
        <v>6.6</v>
      </c>
      <c r="R19" s="50">
        <v>6.6</v>
      </c>
      <c r="S19" s="50">
        <v>6.6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6.6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9.5</v>
      </c>
      <c r="V20" s="50">
        <v>9.5</v>
      </c>
      <c r="W20" s="50">
        <v>9.5</v>
      </c>
      <c r="X20" s="50">
        <v>9.5</v>
      </c>
      <c r="Y20" s="50">
        <v>9.5</v>
      </c>
      <c r="Z20" s="50">
        <v>9.5</v>
      </c>
      <c r="AA20" s="50">
        <v>9.5</v>
      </c>
      <c r="AB20" s="50">
        <v>9.5</v>
      </c>
      <c r="AC20" s="50">
        <v>9.5</v>
      </c>
      <c r="AD20" s="50">
        <v>9.5</v>
      </c>
      <c r="AE20" s="50">
        <v>9.5</v>
      </c>
      <c r="AF20" s="50">
        <v>9.5</v>
      </c>
      <c r="AG20" s="55">
        <v>28</v>
      </c>
      <c r="AH20" s="52">
        <f t="shared" si="2"/>
        <v>9.5</v>
      </c>
      <c r="AI20" s="53">
        <f t="shared" si="3"/>
        <v>9.5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7</v>
      </c>
      <c r="C21" s="50">
        <v>7</v>
      </c>
      <c r="D21" s="50">
        <v>7</v>
      </c>
      <c r="E21" s="50">
        <v>7</v>
      </c>
      <c r="F21" s="50">
        <v>7</v>
      </c>
      <c r="G21" s="50">
        <v>7</v>
      </c>
      <c r="H21" s="50">
        <v>7</v>
      </c>
      <c r="I21" s="50">
        <v>7</v>
      </c>
      <c r="J21" s="50">
        <v>7</v>
      </c>
      <c r="K21" s="50">
        <v>7</v>
      </c>
      <c r="L21" s="50">
        <v>7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6">
        <v>30</v>
      </c>
      <c r="AH21" s="52">
        <f t="shared" si="2"/>
        <v>7</v>
      </c>
      <c r="AI21" s="53">
        <f t="shared" si="3"/>
        <v>0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8.9</v>
      </c>
      <c r="C22" s="50">
        <v>8.9</v>
      </c>
      <c r="D22" s="50">
        <v>9.6999999999999993</v>
      </c>
      <c r="E22" s="50">
        <v>9.6999999999999993</v>
      </c>
      <c r="F22" s="50">
        <v>9.6999999999999993</v>
      </c>
      <c r="G22" s="50">
        <v>9.6999999999999993</v>
      </c>
      <c r="H22" s="50">
        <v>9.6999999999999993</v>
      </c>
      <c r="I22" s="50">
        <v>9.6999999999999993</v>
      </c>
      <c r="J22" s="50">
        <v>9.6999999999999993</v>
      </c>
      <c r="K22" s="50">
        <v>9.6999999999999993</v>
      </c>
      <c r="L22" s="50">
        <v>9.6999999999999993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9.1999999999999993</v>
      </c>
      <c r="AC22" s="50">
        <v>9.1999999999999993</v>
      </c>
      <c r="AD22" s="50">
        <v>9.1999999999999993</v>
      </c>
      <c r="AE22" s="50">
        <v>9.1999999999999993</v>
      </c>
      <c r="AF22" s="50">
        <v>9.1999999999999993</v>
      </c>
      <c r="AG22" s="55">
        <v>25</v>
      </c>
      <c r="AH22" s="52">
        <f t="shared" si="2"/>
        <v>9.6999999999999993</v>
      </c>
      <c r="AI22" s="53">
        <f t="shared" si="3"/>
        <v>0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6.3</v>
      </c>
      <c r="C26" s="50">
        <v>6.3</v>
      </c>
      <c r="D26" s="50">
        <v>5.6</v>
      </c>
      <c r="E26" s="50">
        <v>5.6</v>
      </c>
      <c r="F26" s="50">
        <v>5.6</v>
      </c>
      <c r="G26" s="50">
        <v>5.6</v>
      </c>
      <c r="H26" s="50">
        <v>5.6</v>
      </c>
      <c r="I26" s="50">
        <v>5.6</v>
      </c>
      <c r="J26" s="50">
        <v>5.6</v>
      </c>
      <c r="K26" s="50">
        <v>5.6</v>
      </c>
      <c r="L26" s="50">
        <v>5.6</v>
      </c>
      <c r="M26" s="50">
        <v>5.6</v>
      </c>
      <c r="N26" s="50">
        <v>5.6</v>
      </c>
      <c r="O26" s="50">
        <v>5.6</v>
      </c>
      <c r="P26" s="50">
        <v>5.6</v>
      </c>
      <c r="Q26" s="50">
        <v>5.6</v>
      </c>
      <c r="R26" s="50">
        <v>5.6</v>
      </c>
      <c r="S26" s="50">
        <v>5.6</v>
      </c>
      <c r="T26" s="50">
        <v>5.6</v>
      </c>
      <c r="U26" s="50">
        <v>5.6</v>
      </c>
      <c r="V26" s="50">
        <v>5.6</v>
      </c>
      <c r="W26" s="50">
        <v>5.6</v>
      </c>
      <c r="X26" s="50">
        <v>5.6</v>
      </c>
      <c r="Y26" s="50">
        <v>5.6</v>
      </c>
      <c r="Z26" s="50">
        <v>5.6</v>
      </c>
      <c r="AA26" s="50">
        <v>5.6</v>
      </c>
      <c r="AB26" s="50">
        <v>5.6</v>
      </c>
      <c r="AC26" s="50">
        <v>5.6</v>
      </c>
      <c r="AD26" s="50">
        <v>5.6</v>
      </c>
      <c r="AE26" s="50">
        <v>5.6</v>
      </c>
      <c r="AF26" s="50">
        <v>5.6</v>
      </c>
      <c r="AG26" s="55">
        <v>23.5</v>
      </c>
      <c r="AH26" s="52">
        <f t="shared" si="2"/>
        <v>6.3</v>
      </c>
      <c r="AI26" s="53">
        <f t="shared" si="3"/>
        <v>5.6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5">
        <v>22.2</v>
      </c>
      <c r="AH27" s="52">
        <f t="shared" si="2"/>
        <v>3</v>
      </c>
      <c r="AI27" s="53">
        <f t="shared" si="3"/>
        <v>0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6</v>
      </c>
      <c r="C28" s="50">
        <v>6</v>
      </c>
      <c r="D28" s="50">
        <v>6</v>
      </c>
      <c r="E28" s="50">
        <v>6</v>
      </c>
      <c r="F28" s="50">
        <v>6</v>
      </c>
      <c r="G28" s="50">
        <v>6</v>
      </c>
      <c r="H28" s="50">
        <v>6</v>
      </c>
      <c r="I28" s="50">
        <v>6</v>
      </c>
      <c r="J28" s="50">
        <v>6</v>
      </c>
      <c r="K28" s="50">
        <v>6</v>
      </c>
      <c r="L28" s="50">
        <v>6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5">
        <v>22.1</v>
      </c>
      <c r="AH28" s="52">
        <f t="shared" si="2"/>
        <v>6</v>
      </c>
      <c r="AI28" s="53">
        <f t="shared" si="3"/>
        <v>0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10</v>
      </c>
      <c r="T29" s="50">
        <v>10</v>
      </c>
      <c r="U29" s="50">
        <v>10</v>
      </c>
      <c r="V29" s="50">
        <v>10</v>
      </c>
      <c r="W29" s="50">
        <v>10</v>
      </c>
      <c r="X29" s="50">
        <v>10</v>
      </c>
      <c r="Y29" s="50">
        <v>10</v>
      </c>
      <c r="Z29" s="50">
        <v>10</v>
      </c>
      <c r="AA29" s="50">
        <v>10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10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10.5</v>
      </c>
      <c r="AA30" s="50">
        <v>10.5</v>
      </c>
      <c r="AB30" s="50">
        <v>10.5</v>
      </c>
      <c r="AC30" s="50">
        <v>10.5</v>
      </c>
      <c r="AD30" s="50">
        <v>10.5</v>
      </c>
      <c r="AE30" s="50">
        <v>10.5</v>
      </c>
      <c r="AF30" s="50">
        <v>10.5</v>
      </c>
      <c r="AG30" s="55">
        <v>22</v>
      </c>
      <c r="AH30" s="52">
        <f t="shared" si="2"/>
        <v>10.5</v>
      </c>
      <c r="AI30" s="53">
        <f t="shared" si="3"/>
        <v>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7</v>
      </c>
      <c r="C31" s="50">
        <v>7</v>
      </c>
      <c r="D31" s="50">
        <v>7</v>
      </c>
      <c r="E31" s="50">
        <v>7</v>
      </c>
      <c r="F31" s="50">
        <v>7</v>
      </c>
      <c r="G31" s="50">
        <v>7</v>
      </c>
      <c r="H31" s="50">
        <v>7</v>
      </c>
      <c r="I31" s="50">
        <v>7</v>
      </c>
      <c r="J31" s="50">
        <v>7</v>
      </c>
      <c r="K31" s="50">
        <v>7</v>
      </c>
      <c r="L31" s="50">
        <v>7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5.9</v>
      </c>
      <c r="AC31" s="50">
        <v>5.9</v>
      </c>
      <c r="AD31" s="50">
        <v>5.9</v>
      </c>
      <c r="AE31" s="50">
        <v>5.9</v>
      </c>
      <c r="AF31" s="50">
        <v>5.9</v>
      </c>
      <c r="AG31" s="55">
        <v>20</v>
      </c>
      <c r="AH31" s="52">
        <f t="shared" si="2"/>
        <v>7</v>
      </c>
      <c r="AI31" s="53">
        <f t="shared" si="3"/>
        <v>0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3.8</v>
      </c>
      <c r="C32" s="50">
        <v>3.8</v>
      </c>
      <c r="D32" s="50">
        <v>3.8</v>
      </c>
      <c r="E32" s="50">
        <v>3.8</v>
      </c>
      <c r="F32" s="50">
        <v>3.8</v>
      </c>
      <c r="G32" s="50">
        <v>3.8</v>
      </c>
      <c r="H32" s="50">
        <v>3.8</v>
      </c>
      <c r="I32" s="50">
        <v>3.8</v>
      </c>
      <c r="J32" s="50">
        <v>3.8</v>
      </c>
      <c r="K32" s="50">
        <v>3.8</v>
      </c>
      <c r="L32" s="50">
        <v>3.8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55">
        <v>18</v>
      </c>
      <c r="AH32" s="52">
        <f t="shared" si="2"/>
        <v>3.8</v>
      </c>
      <c r="AI32" s="53">
        <f t="shared" si="3"/>
        <v>0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3.5</v>
      </c>
      <c r="C37" s="50">
        <v>3.5</v>
      </c>
      <c r="D37" s="50">
        <v>3.5</v>
      </c>
      <c r="E37" s="50">
        <v>3.5</v>
      </c>
      <c r="F37" s="50">
        <v>3.5</v>
      </c>
      <c r="G37" s="50">
        <v>3.5</v>
      </c>
      <c r="H37" s="50">
        <v>3.5</v>
      </c>
      <c r="I37" s="50">
        <v>3.5</v>
      </c>
      <c r="J37" s="50">
        <v>3.5</v>
      </c>
      <c r="K37" s="50">
        <v>3.5</v>
      </c>
      <c r="L37" s="50">
        <v>3.5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5">
        <v>12</v>
      </c>
      <c r="AH37" s="52">
        <f t="shared" si="2"/>
        <v>3.5</v>
      </c>
      <c r="AI37" s="53">
        <f t="shared" si="3"/>
        <v>0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6.7</v>
      </c>
      <c r="C38" s="50">
        <v>6.7</v>
      </c>
      <c r="D38" s="50">
        <v>6.7</v>
      </c>
      <c r="E38" s="50">
        <v>6.7</v>
      </c>
      <c r="F38" s="50">
        <v>6.7</v>
      </c>
      <c r="G38" s="50">
        <v>6.7</v>
      </c>
      <c r="H38" s="50">
        <v>6.7</v>
      </c>
      <c r="I38" s="50">
        <v>6.7</v>
      </c>
      <c r="J38" s="50">
        <v>6.7</v>
      </c>
      <c r="K38" s="50">
        <v>6.7</v>
      </c>
      <c r="L38" s="50">
        <v>6.7</v>
      </c>
      <c r="M38" s="50">
        <v>0</v>
      </c>
      <c r="N38" s="50">
        <v>0</v>
      </c>
      <c r="O38" s="50">
        <v>0</v>
      </c>
      <c r="P38" s="50">
        <v>0</v>
      </c>
      <c r="Q38" s="50">
        <v>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0</v>
      </c>
      <c r="Y38" s="50">
        <v>0</v>
      </c>
      <c r="Z38" s="50">
        <v>0</v>
      </c>
      <c r="AA38" s="50">
        <v>0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6.7</v>
      </c>
      <c r="AI38" s="53">
        <f t="shared" si="3"/>
        <v>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7</v>
      </c>
      <c r="T39" s="50">
        <v>7</v>
      </c>
      <c r="U39" s="50">
        <v>7</v>
      </c>
      <c r="V39" s="50">
        <v>7</v>
      </c>
      <c r="W39" s="50">
        <v>7</v>
      </c>
      <c r="X39" s="50">
        <v>7</v>
      </c>
      <c r="Y39" s="50">
        <v>7</v>
      </c>
      <c r="Z39" s="50">
        <v>7</v>
      </c>
      <c r="AA39" s="50">
        <v>7</v>
      </c>
      <c r="AB39" s="50">
        <v>7</v>
      </c>
      <c r="AC39" s="50">
        <v>7</v>
      </c>
      <c r="AD39" s="50">
        <v>7</v>
      </c>
      <c r="AE39" s="50">
        <v>7</v>
      </c>
      <c r="AF39" s="50">
        <v>7</v>
      </c>
      <c r="AG39" s="55">
        <v>12</v>
      </c>
      <c r="AH39" s="52">
        <f t="shared" si="2"/>
        <v>7</v>
      </c>
      <c r="AI39" s="53">
        <f t="shared" si="3"/>
        <v>7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6</v>
      </c>
      <c r="U40" s="50">
        <v>6</v>
      </c>
      <c r="V40" s="50">
        <v>6</v>
      </c>
      <c r="W40" s="50">
        <v>6</v>
      </c>
      <c r="X40" s="50">
        <v>6</v>
      </c>
      <c r="Y40" s="50">
        <v>6</v>
      </c>
      <c r="Z40" s="50">
        <v>6</v>
      </c>
      <c r="AA40" s="50">
        <v>6</v>
      </c>
      <c r="AB40" s="50">
        <v>6</v>
      </c>
      <c r="AC40" s="50">
        <v>6</v>
      </c>
      <c r="AD40" s="50">
        <v>6</v>
      </c>
      <c r="AE40" s="50">
        <v>6</v>
      </c>
      <c r="AF40" s="50">
        <v>6</v>
      </c>
      <c r="AG40" s="57">
        <v>22</v>
      </c>
      <c r="AH40" s="52">
        <f t="shared" si="2"/>
        <v>6</v>
      </c>
      <c r="AI40" s="53">
        <f t="shared" si="3"/>
        <v>6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3.4</v>
      </c>
      <c r="C41" s="50">
        <v>3.4</v>
      </c>
      <c r="D41" s="50">
        <v>3.4</v>
      </c>
      <c r="E41" s="50">
        <v>3.4</v>
      </c>
      <c r="F41" s="50">
        <v>3.4</v>
      </c>
      <c r="G41" s="50">
        <v>3.4</v>
      </c>
      <c r="H41" s="50">
        <v>3.4</v>
      </c>
      <c r="I41" s="50">
        <v>3.4</v>
      </c>
      <c r="J41" s="50">
        <v>3.4</v>
      </c>
      <c r="K41" s="50">
        <v>3.4</v>
      </c>
      <c r="L41" s="50">
        <v>3.4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6">
        <v>11.88</v>
      </c>
      <c r="AH41" s="52">
        <f t="shared" si="2"/>
        <v>3.4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</v>
      </c>
      <c r="C43" s="50">
        <v>4</v>
      </c>
      <c r="D43" s="50">
        <v>4</v>
      </c>
      <c r="E43" s="50">
        <v>4</v>
      </c>
      <c r="F43" s="50">
        <v>4</v>
      </c>
      <c r="G43" s="50">
        <v>4</v>
      </c>
      <c r="H43" s="50">
        <v>4</v>
      </c>
      <c r="I43" s="50">
        <v>4</v>
      </c>
      <c r="J43" s="50">
        <v>4</v>
      </c>
      <c r="K43" s="50">
        <v>4</v>
      </c>
      <c r="L43" s="50">
        <v>4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61">
        <v>10</v>
      </c>
      <c r="AH43" s="52">
        <f t="shared" si="2"/>
        <v>4</v>
      </c>
      <c r="AI43" s="53">
        <f t="shared" si="3"/>
        <v>0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" si="4">SUM(B12:B46)</f>
        <v>362.9</v>
      </c>
      <c r="C48" s="67">
        <f t="shared" ref="C48:AG48" si="5">SUM(C12:C46)</f>
        <v>362.9</v>
      </c>
      <c r="D48" s="67">
        <f t="shared" ref="D48" si="6">SUM(D12:D46)</f>
        <v>363.2</v>
      </c>
      <c r="E48" s="67">
        <f t="shared" si="5"/>
        <v>363.2</v>
      </c>
      <c r="F48" s="67">
        <f t="shared" si="5"/>
        <v>363.2</v>
      </c>
      <c r="G48" s="67">
        <f t="shared" si="5"/>
        <v>363.2</v>
      </c>
      <c r="H48" s="67">
        <f t="shared" si="5"/>
        <v>363.2</v>
      </c>
      <c r="I48" s="67">
        <f t="shared" si="5"/>
        <v>363.2</v>
      </c>
      <c r="J48" s="67">
        <f t="shared" si="5"/>
        <v>363.2</v>
      </c>
      <c r="K48" s="67">
        <f t="shared" si="5"/>
        <v>363.2</v>
      </c>
      <c r="L48" s="67">
        <f t="shared" si="5"/>
        <v>363.2</v>
      </c>
      <c r="M48" s="67">
        <f t="shared" si="5"/>
        <v>254.10000000000002</v>
      </c>
      <c r="N48" s="67">
        <f t="shared" si="5"/>
        <v>254.10000000000002</v>
      </c>
      <c r="O48" s="67">
        <f t="shared" si="5"/>
        <v>254.10000000000002</v>
      </c>
      <c r="P48" s="67">
        <f t="shared" si="5"/>
        <v>254.10000000000002</v>
      </c>
      <c r="Q48" s="67">
        <f t="shared" si="5"/>
        <v>254.10000000000002</v>
      </c>
      <c r="R48" s="67">
        <f t="shared" si="5"/>
        <v>254.10000000000002</v>
      </c>
      <c r="S48" s="67">
        <f t="shared" si="5"/>
        <v>254.10000000000002</v>
      </c>
      <c r="T48" s="67">
        <f t="shared" si="5"/>
        <v>254.10000000000002</v>
      </c>
      <c r="U48" s="67">
        <f t="shared" si="5"/>
        <v>254.10000000000002</v>
      </c>
      <c r="V48" s="67">
        <f t="shared" si="5"/>
        <v>254.10000000000002</v>
      </c>
      <c r="W48" s="67">
        <f t="shared" si="5"/>
        <v>254.10000000000002</v>
      </c>
      <c r="X48" s="67">
        <f t="shared" si="5"/>
        <v>254.10000000000002</v>
      </c>
      <c r="Y48" s="67">
        <f t="shared" si="5"/>
        <v>254.10000000000002</v>
      </c>
      <c r="Z48" s="67">
        <v>301.89999999999998</v>
      </c>
      <c r="AA48" s="67">
        <f t="shared" si="5"/>
        <v>301.89999999999998</v>
      </c>
      <c r="AB48" s="67">
        <f t="shared" si="5"/>
        <v>333.1</v>
      </c>
      <c r="AC48" s="67">
        <f t="shared" si="5"/>
        <v>333.1</v>
      </c>
      <c r="AD48" s="67">
        <f t="shared" si="5"/>
        <v>333.1</v>
      </c>
      <c r="AE48" s="67">
        <f t="shared" si="5"/>
        <v>333.1</v>
      </c>
      <c r="AF48" s="67">
        <f t="shared" si="5"/>
        <v>333.1</v>
      </c>
      <c r="AG48" s="68">
        <f t="shared" si="5"/>
        <v>875.68</v>
      </c>
      <c r="AH48" s="52">
        <f t="shared" si="2"/>
        <v>363.2</v>
      </c>
      <c r="AI48" s="53">
        <f t="shared" si="3"/>
        <v>254.10000000000002</v>
      </c>
      <c r="AK48" s="54"/>
    </row>
    <row r="49" spans="1:41" x14ac:dyDescent="0.25">
      <c r="A49" s="69" t="s">
        <v>53</v>
      </c>
      <c r="B49" s="50">
        <v>120</v>
      </c>
      <c r="C49" s="50">
        <v>120</v>
      </c>
      <c r="D49" s="50">
        <v>140</v>
      </c>
      <c r="E49" s="50">
        <v>105</v>
      </c>
      <c r="F49" s="50">
        <v>30</v>
      </c>
      <c r="G49" s="50">
        <v>20</v>
      </c>
      <c r="H49" s="50">
        <v>75</v>
      </c>
      <c r="I49" s="50">
        <v>75</v>
      </c>
      <c r="J49" s="50">
        <v>75</v>
      </c>
      <c r="K49" s="50">
        <v>75</v>
      </c>
      <c r="L49" s="50">
        <v>60</v>
      </c>
      <c r="M49" s="70">
        <v>60</v>
      </c>
      <c r="N49" s="70">
        <v>15</v>
      </c>
      <c r="O49" s="70">
        <v>15</v>
      </c>
      <c r="P49" s="70">
        <v>15</v>
      </c>
      <c r="Q49" s="70">
        <v>50</v>
      </c>
      <c r="R49" s="70">
        <v>60</v>
      </c>
      <c r="S49" s="50">
        <v>30</v>
      </c>
      <c r="T49" s="50">
        <v>30</v>
      </c>
      <c r="U49" s="50">
        <v>30</v>
      </c>
      <c r="V49" s="50">
        <v>70</v>
      </c>
      <c r="W49" s="50">
        <v>90</v>
      </c>
      <c r="X49" s="50">
        <v>70</v>
      </c>
      <c r="Y49" s="50">
        <v>115</v>
      </c>
      <c r="Z49" s="50">
        <v>245</v>
      </c>
      <c r="AA49" s="50">
        <v>280</v>
      </c>
      <c r="AB49" s="50">
        <v>150</v>
      </c>
      <c r="AC49" s="50">
        <v>101</v>
      </c>
      <c r="AD49" s="50">
        <v>102.5</v>
      </c>
      <c r="AE49" s="50">
        <v>100</v>
      </c>
      <c r="AF49" s="50">
        <v>100</v>
      </c>
      <c r="AG49" s="56">
        <v>456</v>
      </c>
      <c r="AH49" s="52">
        <f t="shared" si="2"/>
        <v>280</v>
      </c>
      <c r="AI49" s="53">
        <f t="shared" si="3"/>
        <v>15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10</v>
      </c>
      <c r="C51" s="74">
        <v>10</v>
      </c>
      <c r="D51" s="74">
        <v>10</v>
      </c>
      <c r="E51" s="74">
        <v>10</v>
      </c>
      <c r="F51" s="74">
        <v>10</v>
      </c>
      <c r="G51" s="74">
        <v>10</v>
      </c>
      <c r="H51" s="74">
        <v>10</v>
      </c>
      <c r="I51" s="74">
        <v>10</v>
      </c>
      <c r="J51" s="74">
        <v>10</v>
      </c>
      <c r="K51" s="74">
        <v>10</v>
      </c>
      <c r="L51" s="74">
        <v>10</v>
      </c>
      <c r="M51" s="74">
        <v>10</v>
      </c>
      <c r="N51" s="74">
        <v>10</v>
      </c>
      <c r="O51" s="74">
        <v>10</v>
      </c>
      <c r="P51" s="74">
        <v>10</v>
      </c>
      <c r="Q51" s="74">
        <v>10</v>
      </c>
      <c r="R51" s="74">
        <v>10</v>
      </c>
      <c r="S51" s="74">
        <v>10</v>
      </c>
      <c r="T51" s="74">
        <v>10</v>
      </c>
      <c r="U51" s="74">
        <v>10</v>
      </c>
      <c r="V51" s="74">
        <v>10</v>
      </c>
      <c r="W51" s="74">
        <v>10</v>
      </c>
      <c r="X51" s="74">
        <v>10</v>
      </c>
      <c r="Y51" s="74">
        <v>10</v>
      </c>
      <c r="Z51" s="74">
        <v>10</v>
      </c>
      <c r="AA51" s="74">
        <v>10</v>
      </c>
      <c r="AB51" s="74">
        <v>10.6</v>
      </c>
      <c r="AC51" s="74">
        <v>10.6</v>
      </c>
      <c r="AD51" s="74">
        <v>10.6</v>
      </c>
      <c r="AE51" s="74">
        <v>10.6</v>
      </c>
      <c r="AF51" s="74">
        <v>10.6</v>
      </c>
      <c r="AG51" s="75">
        <v>22.1</v>
      </c>
      <c r="AH51" s="52">
        <f t="shared" si="2"/>
        <v>10.6</v>
      </c>
      <c r="AI51" s="53">
        <f t="shared" si="3"/>
        <v>10</v>
      </c>
      <c r="AK51" s="54"/>
    </row>
    <row r="52" spans="1:41" ht="15.75" thickBot="1" x14ac:dyDescent="0.3">
      <c r="A52" s="76" t="s">
        <v>56</v>
      </c>
      <c r="B52" s="67">
        <f t="shared" ref="B52" si="7">SUM(B49:B51)</f>
        <v>155</v>
      </c>
      <c r="C52" s="67">
        <f t="shared" ref="C52:AG52" si="8">SUM(C49:C51)</f>
        <v>155</v>
      </c>
      <c r="D52" s="67">
        <f t="shared" si="8"/>
        <v>175</v>
      </c>
      <c r="E52" s="67">
        <f t="shared" si="8"/>
        <v>140</v>
      </c>
      <c r="F52" s="67">
        <f t="shared" si="8"/>
        <v>65</v>
      </c>
      <c r="G52" s="67">
        <f t="shared" si="8"/>
        <v>55</v>
      </c>
      <c r="H52" s="67">
        <f t="shared" si="8"/>
        <v>110</v>
      </c>
      <c r="I52" s="67">
        <f t="shared" si="8"/>
        <v>110</v>
      </c>
      <c r="J52" s="67">
        <f t="shared" si="8"/>
        <v>110</v>
      </c>
      <c r="K52" s="67">
        <f t="shared" si="8"/>
        <v>110</v>
      </c>
      <c r="L52" s="67">
        <f t="shared" si="8"/>
        <v>95</v>
      </c>
      <c r="M52" s="67">
        <f t="shared" si="8"/>
        <v>95</v>
      </c>
      <c r="N52" s="67">
        <f t="shared" si="8"/>
        <v>50</v>
      </c>
      <c r="O52" s="67">
        <f t="shared" si="8"/>
        <v>50</v>
      </c>
      <c r="P52" s="67">
        <f t="shared" si="8"/>
        <v>50</v>
      </c>
      <c r="Q52" s="67">
        <f t="shared" si="8"/>
        <v>85</v>
      </c>
      <c r="R52" s="67">
        <f t="shared" si="8"/>
        <v>95</v>
      </c>
      <c r="S52" s="67">
        <f t="shared" ref="S52" si="9">SUM(S49:S51)</f>
        <v>65</v>
      </c>
      <c r="T52" s="67">
        <f t="shared" si="8"/>
        <v>65</v>
      </c>
      <c r="U52" s="67">
        <f t="shared" si="8"/>
        <v>65</v>
      </c>
      <c r="V52" s="67">
        <f t="shared" si="8"/>
        <v>105</v>
      </c>
      <c r="W52" s="67">
        <f t="shared" si="8"/>
        <v>125</v>
      </c>
      <c r="X52" s="67">
        <f t="shared" si="8"/>
        <v>105</v>
      </c>
      <c r="Y52" s="67">
        <f t="shared" si="8"/>
        <v>150</v>
      </c>
      <c r="Z52" s="67">
        <v>150</v>
      </c>
      <c r="AA52" s="67">
        <f t="shared" si="8"/>
        <v>315</v>
      </c>
      <c r="AB52" s="67">
        <f t="shared" si="8"/>
        <v>185.6</v>
      </c>
      <c r="AC52" s="67">
        <f t="shared" si="8"/>
        <v>136.6</v>
      </c>
      <c r="AD52" s="67">
        <f t="shared" si="8"/>
        <v>138.1</v>
      </c>
      <c r="AE52" s="67">
        <f>SUM(AE49:AE51)</f>
        <v>135.6</v>
      </c>
      <c r="AF52" s="67">
        <f t="shared" si="8"/>
        <v>135.6</v>
      </c>
      <c r="AG52" s="68">
        <f t="shared" si="8"/>
        <v>538.1</v>
      </c>
      <c r="AH52" s="52">
        <f t="shared" si="2"/>
        <v>315</v>
      </c>
      <c r="AI52" s="53">
        <f t="shared" si="3"/>
        <v>50</v>
      </c>
      <c r="AK52" s="54"/>
    </row>
    <row r="53" spans="1:41" x14ac:dyDescent="0.25">
      <c r="A53" s="49" t="s">
        <v>57</v>
      </c>
      <c r="B53" s="50">
        <v>30.5</v>
      </c>
      <c r="C53" s="50">
        <v>30.5</v>
      </c>
      <c r="D53" s="50">
        <v>30.6</v>
      </c>
      <c r="E53" s="50">
        <v>30.6</v>
      </c>
      <c r="F53" s="50">
        <v>30</v>
      </c>
      <c r="G53" s="50">
        <v>30</v>
      </c>
      <c r="H53" s="50">
        <v>30</v>
      </c>
      <c r="I53" s="50">
        <v>30</v>
      </c>
      <c r="J53" s="50">
        <v>30</v>
      </c>
      <c r="K53" s="50">
        <v>60</v>
      </c>
      <c r="L53" s="50">
        <v>60</v>
      </c>
      <c r="M53" s="50">
        <v>30</v>
      </c>
      <c r="N53" s="50">
        <v>30</v>
      </c>
      <c r="O53" s="50">
        <v>30</v>
      </c>
      <c r="P53" s="50">
        <v>30</v>
      </c>
      <c r="Q53" s="50">
        <v>97.4</v>
      </c>
      <c r="R53" s="50">
        <v>97.4</v>
      </c>
      <c r="S53" s="50">
        <v>97.4</v>
      </c>
      <c r="T53" s="50">
        <v>97.4</v>
      </c>
      <c r="U53" s="50">
        <v>97.4</v>
      </c>
      <c r="V53" s="50">
        <v>97.4</v>
      </c>
      <c r="W53" s="50">
        <v>97.4</v>
      </c>
      <c r="X53" s="50">
        <v>97.5</v>
      </c>
      <c r="Y53" s="50">
        <v>97.5</v>
      </c>
      <c r="Z53" s="50">
        <v>97.5</v>
      </c>
      <c r="AA53" s="50">
        <v>97</v>
      </c>
      <c r="AB53" s="50">
        <v>60.74</v>
      </c>
      <c r="AC53" s="50">
        <v>60.74</v>
      </c>
      <c r="AD53" s="50">
        <v>61.4</v>
      </c>
      <c r="AE53" s="50">
        <v>61.4</v>
      </c>
      <c r="AF53" s="50">
        <v>61.4</v>
      </c>
      <c r="AG53" s="56">
        <v>144</v>
      </c>
      <c r="AH53" s="52">
        <f t="shared" si="2"/>
        <v>97.5</v>
      </c>
      <c r="AI53" s="53">
        <f t="shared" si="3"/>
        <v>30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19</v>
      </c>
      <c r="H54" s="72">
        <v>35</v>
      </c>
      <c r="I54" s="72">
        <v>35</v>
      </c>
      <c r="J54" s="72">
        <v>35</v>
      </c>
      <c r="K54" s="72">
        <v>35</v>
      </c>
      <c r="L54" s="72">
        <v>35</v>
      </c>
      <c r="M54" s="72">
        <v>35.200000000000003</v>
      </c>
      <c r="N54" s="72">
        <v>35.200000000000003</v>
      </c>
      <c r="O54" s="72">
        <v>35.200000000000003</v>
      </c>
      <c r="P54" s="72">
        <v>35.200000000000003</v>
      </c>
      <c r="Q54" s="72">
        <v>54.3</v>
      </c>
      <c r="R54" s="72">
        <v>62.5</v>
      </c>
      <c r="S54" s="72">
        <v>62.5</v>
      </c>
      <c r="T54" s="72">
        <v>62.5</v>
      </c>
      <c r="U54" s="72">
        <v>62.5</v>
      </c>
      <c r="V54" s="72">
        <v>62.5</v>
      </c>
      <c r="W54" s="72">
        <v>62.5</v>
      </c>
      <c r="X54" s="72">
        <v>22.1</v>
      </c>
      <c r="Y54" s="72">
        <v>30.3</v>
      </c>
      <c r="Z54" s="50">
        <v>35</v>
      </c>
      <c r="AA54" s="50">
        <v>34.799999999999997</v>
      </c>
      <c r="AB54" s="72">
        <v>33</v>
      </c>
      <c r="AC54" s="72">
        <v>33</v>
      </c>
      <c r="AD54" s="72">
        <v>25</v>
      </c>
      <c r="AE54" s="72">
        <v>25</v>
      </c>
      <c r="AF54" s="72">
        <v>25</v>
      </c>
      <c r="AG54" s="61">
        <v>70</v>
      </c>
      <c r="AH54" s="52">
        <f t="shared" si="2"/>
        <v>62.5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36.1</v>
      </c>
      <c r="C55" s="72">
        <v>36.1</v>
      </c>
      <c r="D55" s="72">
        <v>17.600000000000001</v>
      </c>
      <c r="E55" s="72">
        <v>17.600000000000001</v>
      </c>
      <c r="F55" s="72">
        <v>18</v>
      </c>
      <c r="G55" s="72">
        <v>18</v>
      </c>
      <c r="H55" s="72">
        <v>22.5</v>
      </c>
      <c r="I55" s="72">
        <v>22.5</v>
      </c>
      <c r="J55" s="72">
        <v>22.5</v>
      </c>
      <c r="K55" s="72">
        <v>22.5</v>
      </c>
      <c r="L55" s="72">
        <v>22.5</v>
      </c>
      <c r="M55" s="72">
        <v>21.9</v>
      </c>
      <c r="N55" s="72">
        <v>21.9</v>
      </c>
      <c r="O55" s="72">
        <v>21.9</v>
      </c>
      <c r="P55" s="72">
        <v>21.9</v>
      </c>
      <c r="Q55" s="72">
        <v>41.5</v>
      </c>
      <c r="R55" s="72">
        <v>54.9</v>
      </c>
      <c r="S55" s="72">
        <v>54.9</v>
      </c>
      <c r="T55" s="72">
        <v>54.9</v>
      </c>
      <c r="U55" s="72">
        <v>54.9</v>
      </c>
      <c r="V55" s="72">
        <v>54.9</v>
      </c>
      <c r="W55" s="72">
        <v>54.9</v>
      </c>
      <c r="X55" s="72">
        <v>0</v>
      </c>
      <c r="Y55" s="72">
        <v>0</v>
      </c>
      <c r="Z55" s="50">
        <v>0</v>
      </c>
      <c r="AA55" s="50">
        <v>0</v>
      </c>
      <c r="AB55" s="72">
        <v>55</v>
      </c>
      <c r="AC55" s="72">
        <v>38.4</v>
      </c>
      <c r="AD55" s="72">
        <v>38</v>
      </c>
      <c r="AE55" s="72">
        <v>46.5</v>
      </c>
      <c r="AF55" s="72">
        <v>46.5</v>
      </c>
      <c r="AG55" s="61">
        <v>69</v>
      </c>
      <c r="AH55" s="52">
        <f t="shared" si="2"/>
        <v>55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38</v>
      </c>
      <c r="C56" s="72">
        <v>38</v>
      </c>
      <c r="D56" s="72">
        <v>38</v>
      </c>
      <c r="E56" s="72">
        <v>38</v>
      </c>
      <c r="F56" s="63">
        <v>38</v>
      </c>
      <c r="G56" s="63">
        <v>38</v>
      </c>
      <c r="H56" s="63">
        <v>38</v>
      </c>
      <c r="I56" s="63">
        <v>38</v>
      </c>
      <c r="J56" s="63">
        <v>38</v>
      </c>
      <c r="K56" s="63">
        <v>38</v>
      </c>
      <c r="L56" s="63">
        <v>38</v>
      </c>
      <c r="M56" s="72">
        <v>43</v>
      </c>
      <c r="N56" s="72">
        <v>43</v>
      </c>
      <c r="O56" s="72">
        <v>43</v>
      </c>
      <c r="P56" s="72">
        <v>43</v>
      </c>
      <c r="Q56" s="72">
        <v>43</v>
      </c>
      <c r="R56" s="72">
        <v>43</v>
      </c>
      <c r="S56" s="72">
        <v>43</v>
      </c>
      <c r="T56" s="72">
        <v>43</v>
      </c>
      <c r="U56" s="72">
        <v>43</v>
      </c>
      <c r="V56" s="72">
        <v>43</v>
      </c>
      <c r="W56" s="72">
        <v>43</v>
      </c>
      <c r="X56" s="72">
        <v>34.299999999999997</v>
      </c>
      <c r="Y56" s="72">
        <v>34.299999999999997</v>
      </c>
      <c r="Z56" s="50">
        <v>34.299999999999997</v>
      </c>
      <c r="AA56" s="50">
        <v>37.299999999999997</v>
      </c>
      <c r="AB56" s="50">
        <v>37.299999999999997</v>
      </c>
      <c r="AC56" s="50">
        <v>37.299999999999997</v>
      </c>
      <c r="AD56" s="72">
        <v>38.200000000000003</v>
      </c>
      <c r="AE56" s="72">
        <v>38.200000000000003</v>
      </c>
      <c r="AF56" s="72">
        <v>38.200000000000003</v>
      </c>
      <c r="AG56" s="61">
        <v>60</v>
      </c>
      <c r="AH56" s="52">
        <f t="shared" si="2"/>
        <v>43</v>
      </c>
      <c r="AI56" s="53">
        <f t="shared" si="3"/>
        <v>34.299999999999997</v>
      </c>
      <c r="AK56" s="54"/>
    </row>
    <row r="57" spans="1:41" x14ac:dyDescent="0.25">
      <c r="A57" s="60" t="s">
        <v>61</v>
      </c>
      <c r="B57" s="72">
        <v>0</v>
      </c>
      <c r="C57" s="72">
        <v>0</v>
      </c>
      <c r="D57" s="72">
        <v>0</v>
      </c>
      <c r="E57" s="72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72">
        <v>10</v>
      </c>
      <c r="N57" s="72">
        <v>10</v>
      </c>
      <c r="O57" s="72">
        <v>10</v>
      </c>
      <c r="P57" s="72">
        <v>10</v>
      </c>
      <c r="Q57" s="72">
        <v>15.1</v>
      </c>
      <c r="R57" s="72">
        <v>15.1</v>
      </c>
      <c r="S57" s="72">
        <v>15.1</v>
      </c>
      <c r="T57" s="72">
        <v>15.1</v>
      </c>
      <c r="U57" s="72">
        <v>15.1</v>
      </c>
      <c r="V57" s="72">
        <v>15.1</v>
      </c>
      <c r="W57" s="72">
        <v>15.1</v>
      </c>
      <c r="X57" s="72">
        <v>15.1</v>
      </c>
      <c r="Y57" s="72">
        <v>15.1</v>
      </c>
      <c r="Z57" s="50">
        <v>15.1</v>
      </c>
      <c r="AA57" s="50">
        <v>15.1</v>
      </c>
      <c r="AB57" s="50">
        <v>15.1</v>
      </c>
      <c r="AC57" s="50">
        <v>15.1</v>
      </c>
      <c r="AD57" s="50">
        <v>15.1</v>
      </c>
      <c r="AE57" s="50">
        <v>15.1</v>
      </c>
      <c r="AF57" s="50">
        <v>0</v>
      </c>
      <c r="AG57" s="61">
        <v>30</v>
      </c>
      <c r="AH57" s="52">
        <f t="shared" si="2"/>
        <v>15.1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11.8</v>
      </c>
      <c r="C61" s="72">
        <v>11.8</v>
      </c>
      <c r="D61" s="72">
        <v>9.9</v>
      </c>
      <c r="E61" s="72">
        <v>9.9</v>
      </c>
      <c r="F61" s="72">
        <v>9.9</v>
      </c>
      <c r="G61" s="72">
        <v>9.9</v>
      </c>
      <c r="H61" s="72">
        <v>9.9</v>
      </c>
      <c r="I61" s="72">
        <v>9.9</v>
      </c>
      <c r="J61" s="72">
        <v>9.9</v>
      </c>
      <c r="K61" s="72">
        <v>9.9</v>
      </c>
      <c r="L61" s="72">
        <v>9.9</v>
      </c>
      <c r="M61" s="72">
        <v>9.9</v>
      </c>
      <c r="N61" s="72">
        <v>9.9</v>
      </c>
      <c r="O61" s="72">
        <v>9.9</v>
      </c>
      <c r="P61" s="72">
        <v>9.9</v>
      </c>
      <c r="Q61" s="72">
        <v>9.9</v>
      </c>
      <c r="R61" s="72">
        <v>9.9</v>
      </c>
      <c r="S61" s="72">
        <v>9.9</v>
      </c>
      <c r="T61" s="72">
        <v>9.9</v>
      </c>
      <c r="U61" s="72">
        <v>9.9</v>
      </c>
      <c r="V61" s="72">
        <v>9.9</v>
      </c>
      <c r="W61" s="72">
        <v>9.9</v>
      </c>
      <c r="X61" s="72">
        <v>9.9</v>
      </c>
      <c r="Y61" s="72">
        <v>9.9</v>
      </c>
      <c r="Z61" s="72">
        <v>9.9</v>
      </c>
      <c r="AA61" s="72">
        <v>9.9</v>
      </c>
      <c r="AB61" s="72">
        <v>9.9</v>
      </c>
      <c r="AC61" s="72">
        <v>9.9</v>
      </c>
      <c r="AD61" s="72">
        <v>9.9</v>
      </c>
      <c r="AE61" s="72">
        <v>9.9</v>
      </c>
      <c r="AF61" s="72">
        <v>9.9</v>
      </c>
      <c r="AG61" s="61">
        <v>14.1</v>
      </c>
      <c r="AH61" s="52">
        <f t="shared" si="2"/>
        <v>11.8</v>
      </c>
      <c r="AI61" s="53">
        <f t="shared" si="3"/>
        <v>9.9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5.3</v>
      </c>
      <c r="C62" s="72">
        <v>5.3</v>
      </c>
      <c r="D62" s="72">
        <v>5.2</v>
      </c>
      <c r="E62" s="72">
        <v>5.2</v>
      </c>
      <c r="F62" s="72">
        <v>5.2</v>
      </c>
      <c r="G62" s="72">
        <v>5.2</v>
      </c>
      <c r="H62" s="72">
        <v>5.2</v>
      </c>
      <c r="I62" s="72">
        <v>5.2</v>
      </c>
      <c r="J62" s="72">
        <v>5.2</v>
      </c>
      <c r="K62" s="72">
        <v>5.2</v>
      </c>
      <c r="L62" s="72">
        <v>5.2</v>
      </c>
      <c r="M62" s="72">
        <v>5.2</v>
      </c>
      <c r="N62" s="72">
        <v>5.2</v>
      </c>
      <c r="O62" s="72">
        <v>5.2</v>
      </c>
      <c r="P62" s="72">
        <v>5.2</v>
      </c>
      <c r="Q62" s="72">
        <v>5.2</v>
      </c>
      <c r="R62" s="72">
        <v>5.2</v>
      </c>
      <c r="S62" s="72">
        <v>5.2</v>
      </c>
      <c r="T62" s="72">
        <v>5.2</v>
      </c>
      <c r="U62" s="72">
        <v>5.2</v>
      </c>
      <c r="V62" s="72">
        <v>5.2</v>
      </c>
      <c r="W62" s="72">
        <v>5.2</v>
      </c>
      <c r="X62" s="72">
        <v>5.2</v>
      </c>
      <c r="Y62" s="72">
        <v>5.2</v>
      </c>
      <c r="Z62" s="72">
        <v>5.2</v>
      </c>
      <c r="AA62" s="72">
        <v>5.2</v>
      </c>
      <c r="AB62" s="72">
        <v>5.2</v>
      </c>
      <c r="AC62" s="72">
        <v>5.2</v>
      </c>
      <c r="AD62" s="72">
        <v>5.2</v>
      </c>
      <c r="AE62" s="72">
        <v>5.2</v>
      </c>
      <c r="AF62" s="72">
        <v>5.2</v>
      </c>
      <c r="AG62" s="61">
        <v>14</v>
      </c>
      <c r="AH62" s="52">
        <f t="shared" si="2"/>
        <v>5.3</v>
      </c>
      <c r="AI62" s="53">
        <f t="shared" si="3"/>
        <v>5.2</v>
      </c>
      <c r="AK62" s="54"/>
    </row>
    <row r="63" spans="1:41" x14ac:dyDescent="0.25">
      <c r="A63" s="60" t="s">
        <v>67</v>
      </c>
      <c r="B63" s="72">
        <v>3.8</v>
      </c>
      <c r="C63" s="72">
        <v>3.8</v>
      </c>
      <c r="D63" s="72">
        <v>3.8</v>
      </c>
      <c r="E63" s="72">
        <v>3.8</v>
      </c>
      <c r="F63" s="72">
        <v>3.8</v>
      </c>
      <c r="G63" s="72">
        <v>3.8</v>
      </c>
      <c r="H63" s="72">
        <v>3.8</v>
      </c>
      <c r="I63" s="72">
        <v>3.8</v>
      </c>
      <c r="J63" s="72">
        <v>3.8</v>
      </c>
      <c r="K63" s="72">
        <v>3.8</v>
      </c>
      <c r="L63" s="72">
        <v>3.8</v>
      </c>
      <c r="M63" s="72">
        <v>3.8</v>
      </c>
      <c r="N63" s="72">
        <v>3.8</v>
      </c>
      <c r="O63" s="72">
        <v>3.8</v>
      </c>
      <c r="P63" s="72">
        <v>3.8</v>
      </c>
      <c r="Q63" s="72">
        <v>3.8</v>
      </c>
      <c r="R63" s="72">
        <v>3.8</v>
      </c>
      <c r="S63" s="72">
        <v>3.8</v>
      </c>
      <c r="T63" s="72">
        <v>3.8</v>
      </c>
      <c r="U63" s="72">
        <v>3.8</v>
      </c>
      <c r="V63" s="72">
        <v>3.8</v>
      </c>
      <c r="W63" s="72">
        <v>3.8</v>
      </c>
      <c r="X63" s="72">
        <v>3.8</v>
      </c>
      <c r="Y63" s="72">
        <v>3.8</v>
      </c>
      <c r="Z63" s="72">
        <v>3.8</v>
      </c>
      <c r="AA63" s="72">
        <v>3.8</v>
      </c>
      <c r="AB63" s="72">
        <v>3.8</v>
      </c>
      <c r="AC63" s="72">
        <v>3.8</v>
      </c>
      <c r="AD63" s="72">
        <v>3.8</v>
      </c>
      <c r="AE63" s="72">
        <v>3.8</v>
      </c>
      <c r="AF63" s="72">
        <v>3.8</v>
      </c>
      <c r="AG63" s="61">
        <v>10.050000000000001</v>
      </c>
      <c r="AH63" s="52">
        <f t="shared" si="2"/>
        <v>3.8</v>
      </c>
      <c r="AI63" s="53">
        <f t="shared" si="3"/>
        <v>3.8</v>
      </c>
      <c r="AK63" s="54"/>
    </row>
    <row r="64" spans="1:41" x14ac:dyDescent="0.25">
      <c r="A64" s="60" t="s">
        <v>68</v>
      </c>
      <c r="B64" s="72">
        <v>2.6</v>
      </c>
      <c r="C64" s="72">
        <v>2.6</v>
      </c>
      <c r="D64" s="72">
        <v>2.6</v>
      </c>
      <c r="E64" s="72">
        <v>2.6</v>
      </c>
      <c r="F64" s="72">
        <v>2.6</v>
      </c>
      <c r="G64" s="72">
        <v>2.6</v>
      </c>
      <c r="H64" s="72">
        <v>2.6</v>
      </c>
      <c r="I64" s="72">
        <v>2.6</v>
      </c>
      <c r="J64" s="72">
        <v>2.6</v>
      </c>
      <c r="K64" s="72">
        <v>2.6</v>
      </c>
      <c r="L64" s="72">
        <v>2.6</v>
      </c>
      <c r="M64" s="72">
        <v>2.6</v>
      </c>
      <c r="N64" s="72">
        <v>2.6</v>
      </c>
      <c r="O64" s="72">
        <v>2.6</v>
      </c>
      <c r="P64" s="72">
        <v>2.6</v>
      </c>
      <c r="Q64" s="72">
        <v>2.6</v>
      </c>
      <c r="R64" s="72">
        <v>2.6</v>
      </c>
      <c r="S64" s="72">
        <v>2.6</v>
      </c>
      <c r="T64" s="72">
        <v>2.6</v>
      </c>
      <c r="U64" s="72">
        <v>2.6</v>
      </c>
      <c r="V64" s="72">
        <v>2.6</v>
      </c>
      <c r="W64" s="72">
        <v>2.6</v>
      </c>
      <c r="X64" s="72">
        <v>2.6</v>
      </c>
      <c r="Y64" s="72">
        <v>2.6</v>
      </c>
      <c r="Z64" s="72">
        <v>2.6</v>
      </c>
      <c r="AA64" s="72">
        <v>2.6</v>
      </c>
      <c r="AB64" s="72">
        <v>2.6</v>
      </c>
      <c r="AC64" s="72">
        <v>2.6</v>
      </c>
      <c r="AD64" s="72">
        <v>2.6</v>
      </c>
      <c r="AE64" s="72">
        <v>2.6</v>
      </c>
      <c r="AF64" s="72">
        <v>2.6</v>
      </c>
      <c r="AG64" s="61">
        <v>6.2</v>
      </c>
      <c r="AH64" s="52">
        <f t="shared" si="2"/>
        <v>2.6</v>
      </c>
      <c r="AI64" s="53">
        <f t="shared" si="3"/>
        <v>2.6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C66" si="10">SUM(B53:B65)</f>
        <v>146.64000000000001</v>
      </c>
      <c r="C66" s="67">
        <f t="shared" si="10"/>
        <v>146.64000000000001</v>
      </c>
      <c r="D66" s="67">
        <f t="shared" ref="D66:AG66" si="11">SUM(D53:D65)</f>
        <v>126.24000000000001</v>
      </c>
      <c r="E66" s="67">
        <f t="shared" si="11"/>
        <v>126.24000000000001</v>
      </c>
      <c r="F66" s="67">
        <f t="shared" si="11"/>
        <v>126.04</v>
      </c>
      <c r="G66" s="67">
        <f t="shared" si="11"/>
        <v>145.04</v>
      </c>
      <c r="H66" s="67">
        <f t="shared" si="11"/>
        <v>165.54</v>
      </c>
      <c r="I66" s="67">
        <f t="shared" si="11"/>
        <v>165.54</v>
      </c>
      <c r="J66" s="67">
        <f t="shared" si="11"/>
        <v>165.54</v>
      </c>
      <c r="K66" s="67">
        <f t="shared" si="11"/>
        <v>195.54</v>
      </c>
      <c r="L66" s="67">
        <f t="shared" si="11"/>
        <v>195.54</v>
      </c>
      <c r="M66" s="67">
        <f t="shared" si="11"/>
        <v>180.14</v>
      </c>
      <c r="N66" s="67">
        <f t="shared" si="11"/>
        <v>180.14</v>
      </c>
      <c r="O66" s="67">
        <f t="shared" si="11"/>
        <v>180.14</v>
      </c>
      <c r="P66" s="67">
        <f t="shared" si="11"/>
        <v>180.14</v>
      </c>
      <c r="Q66" s="67">
        <f t="shared" si="11"/>
        <v>291.33999999999997</v>
      </c>
      <c r="R66" s="67">
        <f t="shared" si="11"/>
        <v>312.94000000000005</v>
      </c>
      <c r="S66" s="67">
        <f t="shared" ref="S66" si="12">SUM(S53:S65)</f>
        <v>312.94000000000005</v>
      </c>
      <c r="T66" s="67">
        <f t="shared" si="11"/>
        <v>312.94000000000005</v>
      </c>
      <c r="U66" s="67">
        <f t="shared" si="11"/>
        <v>312.94000000000005</v>
      </c>
      <c r="V66" s="67">
        <f t="shared" si="11"/>
        <v>312.94000000000005</v>
      </c>
      <c r="W66" s="67">
        <f t="shared" si="11"/>
        <v>312.94000000000005</v>
      </c>
      <c r="X66" s="67">
        <f t="shared" si="11"/>
        <v>209.03999999999996</v>
      </c>
      <c r="Y66" s="67">
        <f t="shared" si="11"/>
        <v>217.23999999999998</v>
      </c>
      <c r="Z66" s="67">
        <v>221.94</v>
      </c>
      <c r="AA66" s="67">
        <f t="shared" si="11"/>
        <v>224.24</v>
      </c>
      <c r="AB66" s="67">
        <f t="shared" si="11"/>
        <v>241.18</v>
      </c>
      <c r="AC66" s="67">
        <f t="shared" si="11"/>
        <v>224.57999999999998</v>
      </c>
      <c r="AD66" s="67">
        <f t="shared" si="11"/>
        <v>217.74</v>
      </c>
      <c r="AE66" s="67">
        <f t="shared" si="11"/>
        <v>226.24</v>
      </c>
      <c r="AF66" s="67">
        <f t="shared" si="11"/>
        <v>211.14000000000001</v>
      </c>
      <c r="AG66" s="68">
        <f t="shared" si="11"/>
        <v>489.91</v>
      </c>
      <c r="AH66" s="52">
        <f t="shared" si="2"/>
        <v>312.94000000000005</v>
      </c>
      <c r="AI66" s="53">
        <f t="shared" si="3"/>
        <v>126.04</v>
      </c>
      <c r="AK66" s="54"/>
    </row>
    <row r="67" spans="1:40" x14ac:dyDescent="0.25">
      <c r="A67" s="49" t="s">
        <v>71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40</v>
      </c>
      <c r="N67" s="50">
        <v>40</v>
      </c>
      <c r="O67" s="50">
        <v>40</v>
      </c>
      <c r="P67" s="50">
        <v>40</v>
      </c>
      <c r="Q67" s="50">
        <v>60</v>
      </c>
      <c r="R67" s="50">
        <v>40</v>
      </c>
      <c r="S67" s="50">
        <v>40</v>
      </c>
      <c r="T67" s="50">
        <v>0</v>
      </c>
      <c r="U67" s="50">
        <v>60</v>
      </c>
      <c r="V67" s="50">
        <v>60</v>
      </c>
      <c r="W67" s="50">
        <v>60</v>
      </c>
      <c r="X67" s="50">
        <v>60</v>
      </c>
      <c r="Y67" s="50">
        <v>45</v>
      </c>
      <c r="Z67" s="50">
        <v>55</v>
      </c>
      <c r="AA67" s="50">
        <v>60</v>
      </c>
      <c r="AB67" s="50">
        <v>60</v>
      </c>
      <c r="AC67" s="50">
        <v>60</v>
      </c>
      <c r="AD67" s="50">
        <v>60</v>
      </c>
      <c r="AE67" s="50">
        <v>60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0</v>
      </c>
      <c r="AK67" s="54"/>
    </row>
    <row r="68" spans="1:40" x14ac:dyDescent="0.25">
      <c r="A68" s="60" t="s">
        <v>72</v>
      </c>
      <c r="B68" s="50">
        <v>28</v>
      </c>
      <c r="C68" s="50">
        <v>28.1</v>
      </c>
      <c r="D68" s="72">
        <v>28.2</v>
      </c>
      <c r="E68" s="72">
        <v>28.2</v>
      </c>
      <c r="F68" s="72">
        <v>28.2</v>
      </c>
      <c r="G68" s="72">
        <v>28.2</v>
      </c>
      <c r="H68" s="72">
        <v>28.2</v>
      </c>
      <c r="I68" s="72">
        <v>28.2</v>
      </c>
      <c r="J68" s="72">
        <v>28.2</v>
      </c>
      <c r="K68" s="72">
        <v>28.2</v>
      </c>
      <c r="L68" s="72">
        <v>28.2</v>
      </c>
      <c r="M68" s="72">
        <v>17</v>
      </c>
      <c r="N68" s="72">
        <v>17</v>
      </c>
      <c r="O68" s="72">
        <v>17</v>
      </c>
      <c r="P68" s="72">
        <v>17</v>
      </c>
      <c r="Q68" s="72">
        <v>28</v>
      </c>
      <c r="R68" s="72">
        <v>17</v>
      </c>
      <c r="S68" s="72">
        <v>17</v>
      </c>
      <c r="T68" s="72">
        <v>0</v>
      </c>
      <c r="U68" s="72">
        <v>28</v>
      </c>
      <c r="V68" s="72">
        <v>28</v>
      </c>
      <c r="W68" s="72">
        <v>28</v>
      </c>
      <c r="X68" s="72">
        <v>28.5</v>
      </c>
      <c r="Y68" s="72">
        <v>24.1</v>
      </c>
      <c r="Z68" s="72">
        <v>24.1</v>
      </c>
      <c r="AA68" s="72">
        <v>25.5</v>
      </c>
      <c r="AB68" s="72">
        <v>25.5</v>
      </c>
      <c r="AC68" s="72">
        <v>25.5</v>
      </c>
      <c r="AD68" s="72">
        <v>25.5</v>
      </c>
      <c r="AE68" s="72">
        <v>25.5</v>
      </c>
      <c r="AF68" s="72">
        <v>25.5</v>
      </c>
      <c r="AG68" s="61">
        <v>32</v>
      </c>
      <c r="AH68" s="52">
        <f t="shared" si="2"/>
        <v>28.5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50">
        <v>10.199999999999999</v>
      </c>
      <c r="C69" s="50">
        <v>10.3</v>
      </c>
      <c r="D69" s="74">
        <v>10.3</v>
      </c>
      <c r="E69" s="74">
        <v>10.3</v>
      </c>
      <c r="F69" s="74">
        <v>10.3</v>
      </c>
      <c r="G69" s="74">
        <v>10.3</v>
      </c>
      <c r="H69" s="74">
        <v>10.3</v>
      </c>
      <c r="I69" s="74">
        <v>10.3</v>
      </c>
      <c r="J69" s="74">
        <v>10.3</v>
      </c>
      <c r="K69" s="74">
        <v>10.3</v>
      </c>
      <c r="L69" s="74">
        <v>10.3</v>
      </c>
      <c r="M69" s="74">
        <v>10.3</v>
      </c>
      <c r="N69" s="74">
        <v>10.3</v>
      </c>
      <c r="O69" s="74">
        <v>10.3</v>
      </c>
      <c r="P69" s="74">
        <v>10.3</v>
      </c>
      <c r="Q69" s="74">
        <v>10.5</v>
      </c>
      <c r="R69" s="74">
        <v>10.3</v>
      </c>
      <c r="S69" s="74">
        <v>10.3</v>
      </c>
      <c r="T69" s="74">
        <v>0</v>
      </c>
      <c r="U69" s="74">
        <v>10.3</v>
      </c>
      <c r="V69" s="74">
        <v>10.3</v>
      </c>
      <c r="W69" s="74">
        <v>10.3</v>
      </c>
      <c r="X69" s="74">
        <v>10.4</v>
      </c>
      <c r="Y69" s="74">
        <v>8.8000000000000007</v>
      </c>
      <c r="Z69" s="74">
        <v>8.8000000000000007</v>
      </c>
      <c r="AA69" s="74">
        <v>9.3000000000000007</v>
      </c>
      <c r="AB69" s="74">
        <v>9.3000000000000007</v>
      </c>
      <c r="AC69" s="74">
        <v>9.3000000000000007</v>
      </c>
      <c r="AD69" s="74">
        <v>9.3000000000000007</v>
      </c>
      <c r="AE69" s="74">
        <v>9.3000000000000007</v>
      </c>
      <c r="AF69" s="74">
        <v>9.3000000000000007</v>
      </c>
      <c r="AG69" s="75">
        <v>14</v>
      </c>
      <c r="AH69" s="52">
        <f t="shared" si="2"/>
        <v>10.5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:C70" si="13">B67+B68+B69</f>
        <v>98.2</v>
      </c>
      <c r="C70" s="67">
        <f t="shared" si="13"/>
        <v>98.399999999999991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98.5</v>
      </c>
      <c r="M70" s="67">
        <f t="shared" ref="M70:AF70" si="14">M67+M68+M69</f>
        <v>67.3</v>
      </c>
      <c r="N70" s="67">
        <f t="shared" si="14"/>
        <v>67.3</v>
      </c>
      <c r="O70" s="67">
        <f t="shared" si="14"/>
        <v>67.3</v>
      </c>
      <c r="P70" s="67">
        <f t="shared" si="14"/>
        <v>67.3</v>
      </c>
      <c r="Q70" s="67">
        <f t="shared" si="14"/>
        <v>98.5</v>
      </c>
      <c r="R70" s="67">
        <f t="shared" si="14"/>
        <v>67.3</v>
      </c>
      <c r="S70" s="67">
        <f t="shared" si="14"/>
        <v>67.3</v>
      </c>
      <c r="T70" s="67">
        <f t="shared" si="14"/>
        <v>0</v>
      </c>
      <c r="U70" s="67">
        <f t="shared" si="14"/>
        <v>98.3</v>
      </c>
      <c r="V70" s="67">
        <f t="shared" si="14"/>
        <v>98.3</v>
      </c>
      <c r="W70" s="67">
        <f t="shared" si="14"/>
        <v>98.3</v>
      </c>
      <c r="X70" s="67">
        <f t="shared" si="14"/>
        <v>98.9</v>
      </c>
      <c r="Y70" s="67">
        <f t="shared" si="14"/>
        <v>77.899999999999991</v>
      </c>
      <c r="Z70" s="67">
        <v>87.899999999999991</v>
      </c>
      <c r="AA70" s="67">
        <f t="shared" si="14"/>
        <v>94.8</v>
      </c>
      <c r="AB70" s="67">
        <f t="shared" si="14"/>
        <v>94.8</v>
      </c>
      <c r="AC70" s="67">
        <f t="shared" si="14"/>
        <v>94.8</v>
      </c>
      <c r="AD70" s="67">
        <f t="shared" si="14"/>
        <v>94.8</v>
      </c>
      <c r="AE70" s="67">
        <f t="shared" si="14"/>
        <v>94.8</v>
      </c>
      <c r="AF70" s="67">
        <f t="shared" si="14"/>
        <v>94.8</v>
      </c>
      <c r="AG70" s="68">
        <f>SUM(AG67:AG69)</f>
        <v>106</v>
      </c>
      <c r="AH70" s="52">
        <f t="shared" si="2"/>
        <v>98.9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71</v>
      </c>
      <c r="C71" s="50">
        <v>62.9</v>
      </c>
      <c r="D71" s="50">
        <v>58.6</v>
      </c>
      <c r="E71" s="50">
        <v>58.6</v>
      </c>
      <c r="F71" s="50">
        <v>58</v>
      </c>
      <c r="G71" s="50">
        <v>50</v>
      </c>
      <c r="H71" s="50">
        <v>59</v>
      </c>
      <c r="I71" s="50">
        <v>59</v>
      </c>
      <c r="J71" s="50">
        <v>56</v>
      </c>
      <c r="K71" s="50">
        <v>59</v>
      </c>
      <c r="L71" s="50">
        <v>58.4</v>
      </c>
      <c r="M71" s="50">
        <v>60.9</v>
      </c>
      <c r="N71" s="50">
        <v>60.9</v>
      </c>
      <c r="O71" s="50">
        <v>70</v>
      </c>
      <c r="P71" s="50">
        <v>70</v>
      </c>
      <c r="Q71" s="50">
        <v>65.8</v>
      </c>
      <c r="R71" s="50">
        <v>65.8</v>
      </c>
      <c r="S71" s="50">
        <v>65.8</v>
      </c>
      <c r="T71" s="50">
        <v>66.5</v>
      </c>
      <c r="U71" s="50">
        <v>66.5</v>
      </c>
      <c r="V71" s="50">
        <v>66.5</v>
      </c>
      <c r="W71" s="50">
        <v>66.5</v>
      </c>
      <c r="X71" s="50">
        <v>60.5</v>
      </c>
      <c r="Y71" s="50">
        <v>64.400000000000006</v>
      </c>
      <c r="Z71" s="50">
        <v>72</v>
      </c>
      <c r="AA71" s="50">
        <v>70</v>
      </c>
      <c r="AB71" s="50">
        <v>70</v>
      </c>
      <c r="AC71" s="50">
        <v>68</v>
      </c>
      <c r="AD71" s="50">
        <v>68</v>
      </c>
      <c r="AE71" s="50">
        <v>63</v>
      </c>
      <c r="AF71" s="50">
        <v>65</v>
      </c>
      <c r="AG71" s="56"/>
      <c r="AH71" s="52">
        <f t="shared" si="2"/>
        <v>72</v>
      </c>
      <c r="AI71" s="53">
        <f t="shared" si="3"/>
        <v>50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347</v>
      </c>
      <c r="C73" s="72">
        <v>340</v>
      </c>
      <c r="D73" s="72">
        <v>320.5</v>
      </c>
      <c r="E73" s="72">
        <v>360</v>
      </c>
      <c r="F73" s="72">
        <v>408</v>
      </c>
      <c r="G73" s="72">
        <v>411</v>
      </c>
      <c r="H73" s="72">
        <v>387</v>
      </c>
      <c r="I73" s="72">
        <v>330</v>
      </c>
      <c r="J73" s="72">
        <v>343</v>
      </c>
      <c r="K73" s="72">
        <v>380</v>
      </c>
      <c r="L73" s="72">
        <v>437</v>
      </c>
      <c r="M73" s="72">
        <v>387</v>
      </c>
      <c r="N73" s="72">
        <v>389</v>
      </c>
      <c r="O73" s="72">
        <v>422</v>
      </c>
      <c r="P73" s="72">
        <v>422</v>
      </c>
      <c r="Q73" s="72">
        <v>400</v>
      </c>
      <c r="R73" s="72">
        <v>463</v>
      </c>
      <c r="S73" s="72">
        <v>400</v>
      </c>
      <c r="T73" s="72">
        <v>460</v>
      </c>
      <c r="U73" s="72">
        <v>420</v>
      </c>
      <c r="V73" s="72">
        <v>400</v>
      </c>
      <c r="W73" s="72">
        <v>397</v>
      </c>
      <c r="X73" s="72">
        <v>366.7</v>
      </c>
      <c r="Y73" s="72">
        <v>393</v>
      </c>
      <c r="Z73" s="72">
        <v>307</v>
      </c>
      <c r="AA73" s="72">
        <v>141</v>
      </c>
      <c r="AB73" s="72">
        <v>290</v>
      </c>
      <c r="AC73" s="72">
        <v>315</v>
      </c>
      <c r="AD73" s="72">
        <v>296.5</v>
      </c>
      <c r="AE73" s="72">
        <v>356</v>
      </c>
      <c r="AF73" s="72">
        <v>317.7</v>
      </c>
      <c r="AG73" s="82"/>
      <c r="AH73" s="52">
        <f t="shared" si="2"/>
        <v>463</v>
      </c>
      <c r="AI73" s="53">
        <f t="shared" si="3"/>
        <v>141</v>
      </c>
      <c r="AK73" s="54"/>
    </row>
    <row r="74" spans="1:40" x14ac:dyDescent="0.25">
      <c r="A74" s="60" t="s">
        <v>78</v>
      </c>
      <c r="B74" s="72">
        <v>65</v>
      </c>
      <c r="C74" s="72">
        <v>68</v>
      </c>
      <c r="D74" s="72">
        <v>61.8</v>
      </c>
      <c r="E74" s="72">
        <v>61.8</v>
      </c>
      <c r="F74" s="83">
        <v>61</v>
      </c>
      <c r="G74" s="83">
        <v>63</v>
      </c>
      <c r="H74" s="83">
        <v>61</v>
      </c>
      <c r="I74" s="83">
        <v>61</v>
      </c>
      <c r="J74" s="83">
        <v>61</v>
      </c>
      <c r="K74" s="83">
        <v>67</v>
      </c>
      <c r="L74" s="83">
        <v>67</v>
      </c>
      <c r="M74" s="83">
        <v>68</v>
      </c>
      <c r="N74" s="83">
        <v>68</v>
      </c>
      <c r="O74" s="83">
        <v>68</v>
      </c>
      <c r="P74" s="83">
        <v>68</v>
      </c>
      <c r="Q74" s="83">
        <v>66.099999999999994</v>
      </c>
      <c r="R74" s="83">
        <v>66.099999999999994</v>
      </c>
      <c r="S74" s="83">
        <v>66.099999999999994</v>
      </c>
      <c r="T74" s="83">
        <v>66.099999999999994</v>
      </c>
      <c r="U74" s="83">
        <v>66.099999999999994</v>
      </c>
      <c r="V74" s="83">
        <v>66.099999999999994</v>
      </c>
      <c r="W74" s="83">
        <v>66.099999999999994</v>
      </c>
      <c r="X74" s="83">
        <v>59</v>
      </c>
      <c r="Y74" s="83">
        <v>59</v>
      </c>
      <c r="Z74" s="72">
        <v>59</v>
      </c>
      <c r="AA74" s="72">
        <v>59</v>
      </c>
      <c r="AB74" s="72">
        <v>63</v>
      </c>
      <c r="AC74" s="72">
        <v>65.3</v>
      </c>
      <c r="AD74" s="72">
        <v>65.7</v>
      </c>
      <c r="AE74" s="72">
        <v>65.7</v>
      </c>
      <c r="AF74" s="72">
        <v>65.7</v>
      </c>
      <c r="AG74" s="82"/>
      <c r="AH74" s="52">
        <f t="shared" si="2"/>
        <v>68</v>
      </c>
      <c r="AI74" s="53">
        <f t="shared" si="3"/>
        <v>59</v>
      </c>
      <c r="AK74" s="54"/>
    </row>
    <row r="75" spans="1:40" x14ac:dyDescent="0.25">
      <c r="A75" s="60" t="s">
        <v>79</v>
      </c>
      <c r="B75" s="50">
        <v>33.200000000000003</v>
      </c>
      <c r="C75" s="50">
        <v>31.8</v>
      </c>
      <c r="D75" s="50">
        <v>31.7</v>
      </c>
      <c r="E75" s="50">
        <v>31.7</v>
      </c>
      <c r="F75" s="50">
        <v>29</v>
      </c>
      <c r="G75" s="50">
        <v>29</v>
      </c>
      <c r="H75" s="50">
        <v>29</v>
      </c>
      <c r="I75" s="50">
        <v>29</v>
      </c>
      <c r="J75" s="50">
        <v>29</v>
      </c>
      <c r="K75" s="50">
        <v>32</v>
      </c>
      <c r="L75" s="50">
        <v>32</v>
      </c>
      <c r="M75" s="50">
        <v>58.8</v>
      </c>
      <c r="N75" s="50">
        <v>86</v>
      </c>
      <c r="O75" s="50">
        <v>86</v>
      </c>
      <c r="P75" s="50">
        <v>86</v>
      </c>
      <c r="Q75" s="50">
        <v>0</v>
      </c>
      <c r="R75" s="50">
        <v>90</v>
      </c>
      <c r="S75" s="50">
        <v>0</v>
      </c>
      <c r="T75" s="50">
        <v>0</v>
      </c>
      <c r="U75" s="50">
        <v>23</v>
      </c>
      <c r="V75" s="50">
        <v>30</v>
      </c>
      <c r="W75" s="50">
        <v>30</v>
      </c>
      <c r="X75" s="50">
        <v>28.2</v>
      </c>
      <c r="Y75" s="50">
        <v>57.1</v>
      </c>
      <c r="Z75" s="50">
        <v>57.1</v>
      </c>
      <c r="AA75" s="50">
        <v>56.3</v>
      </c>
      <c r="AB75" s="50">
        <v>62.5</v>
      </c>
      <c r="AC75" s="50">
        <v>67</v>
      </c>
      <c r="AD75" s="50">
        <v>74.7</v>
      </c>
      <c r="AE75" s="50">
        <v>23.5</v>
      </c>
      <c r="AF75" s="50">
        <v>31.9</v>
      </c>
      <c r="AG75" s="82"/>
      <c r="AH75" s="52">
        <f t="shared" ref="AH75:AH117" si="15">MAX(B75:AF75)</f>
        <v>90</v>
      </c>
      <c r="AI75" s="53">
        <f t="shared" ref="AI75:AI117" si="16">MIN(B75:AF75)</f>
        <v>0</v>
      </c>
      <c r="AK75" s="54"/>
    </row>
    <row r="76" spans="1:40" x14ac:dyDescent="0.25">
      <c r="A76" s="60" t="s">
        <v>80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5</v>
      </c>
      <c r="N76" s="84">
        <v>5</v>
      </c>
      <c r="O76" s="84">
        <v>5</v>
      </c>
      <c r="P76" s="84">
        <v>5</v>
      </c>
      <c r="Q76" s="84">
        <v>5</v>
      </c>
      <c r="R76" s="84">
        <v>0</v>
      </c>
      <c r="S76" s="84">
        <v>5</v>
      </c>
      <c r="T76" s="84">
        <v>5</v>
      </c>
      <c r="U76" s="84">
        <v>0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5"/>
        <v>5</v>
      </c>
      <c r="AI76" s="53">
        <f t="shared" si="16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5"/>
        <v>0</v>
      </c>
      <c r="AI77" s="53">
        <f t="shared" si="16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5"/>
        <v>0</v>
      </c>
      <c r="AI78" s="53">
        <f t="shared" si="16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5"/>
        <v>0</v>
      </c>
      <c r="AI79" s="53">
        <f t="shared" si="16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5"/>
        <v>0</v>
      </c>
      <c r="AI80" s="53">
        <f t="shared" si="16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5"/>
        <v>0</v>
      </c>
      <c r="AI81" s="53">
        <f t="shared" si="16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17">SUMIF(B71:B81,"&gt;0")</f>
        <v>521.20000000000005</v>
      </c>
      <c r="C82" s="67">
        <f t="shared" ref="C82:AF82" si="18">SUMIF(C71:C81,"&gt;0")</f>
        <v>507.7</v>
      </c>
      <c r="D82" s="67">
        <f t="shared" si="18"/>
        <v>477.6</v>
      </c>
      <c r="E82" s="67">
        <f t="shared" si="18"/>
        <v>517.1</v>
      </c>
      <c r="F82" s="67">
        <f t="shared" si="18"/>
        <v>561</v>
      </c>
      <c r="G82" s="67">
        <f t="shared" si="18"/>
        <v>558</v>
      </c>
      <c r="H82" s="67">
        <f t="shared" si="18"/>
        <v>541</v>
      </c>
      <c r="I82" s="67">
        <f t="shared" si="18"/>
        <v>484</v>
      </c>
      <c r="J82" s="67">
        <f t="shared" si="18"/>
        <v>494</v>
      </c>
      <c r="K82" s="67">
        <f t="shared" si="18"/>
        <v>543</v>
      </c>
      <c r="L82" s="67">
        <f t="shared" si="18"/>
        <v>599.4</v>
      </c>
      <c r="M82" s="67">
        <f t="shared" si="18"/>
        <v>579.69999999999993</v>
      </c>
      <c r="N82" s="67">
        <f t="shared" si="18"/>
        <v>608.9</v>
      </c>
      <c r="O82" s="67">
        <f t="shared" si="18"/>
        <v>651</v>
      </c>
      <c r="P82" s="67">
        <f t="shared" si="18"/>
        <v>651</v>
      </c>
      <c r="Q82" s="67">
        <f t="shared" si="18"/>
        <v>536.9</v>
      </c>
      <c r="R82" s="67">
        <f t="shared" si="18"/>
        <v>684.9</v>
      </c>
      <c r="S82" s="67">
        <f t="shared" si="18"/>
        <v>536.9</v>
      </c>
      <c r="T82" s="67">
        <f t="shared" si="18"/>
        <v>597.6</v>
      </c>
      <c r="U82" s="67">
        <f t="shared" si="18"/>
        <v>575.6</v>
      </c>
      <c r="V82" s="67">
        <f t="shared" si="18"/>
        <v>567.6</v>
      </c>
      <c r="W82" s="67">
        <f t="shared" si="18"/>
        <v>564.6</v>
      </c>
      <c r="X82" s="67">
        <f t="shared" si="18"/>
        <v>519.4</v>
      </c>
      <c r="Y82" s="67">
        <f t="shared" si="18"/>
        <v>578.5</v>
      </c>
      <c r="Z82" s="67">
        <v>500.1</v>
      </c>
      <c r="AA82" s="67">
        <f t="shared" si="18"/>
        <v>331.3</v>
      </c>
      <c r="AB82" s="67">
        <f t="shared" si="18"/>
        <v>490.5</v>
      </c>
      <c r="AC82" s="67">
        <f t="shared" si="18"/>
        <v>520.29999999999995</v>
      </c>
      <c r="AD82" s="67">
        <f t="shared" si="18"/>
        <v>509.9</v>
      </c>
      <c r="AE82" s="67">
        <f t="shared" si="18"/>
        <v>513.20000000000005</v>
      </c>
      <c r="AF82" s="67">
        <f t="shared" si="18"/>
        <v>485.29999999999995</v>
      </c>
      <c r="AG82" s="95">
        <f>SUM(AG71:AG81)</f>
        <v>0</v>
      </c>
      <c r="AH82" s="52">
        <f t="shared" si="15"/>
        <v>684.9</v>
      </c>
      <c r="AI82" s="53">
        <f t="shared" si="16"/>
        <v>331.3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5"/>
        <v>0</v>
      </c>
      <c r="AI83" s="53">
        <f t="shared" si="16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5"/>
        <v>0</v>
      </c>
      <c r="AI84" s="53">
        <f t="shared" si="16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5"/>
        <v>0</v>
      </c>
      <c r="AI85" s="53">
        <f t="shared" si="16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>
        <v>0</v>
      </c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5"/>
        <v>0</v>
      </c>
      <c r="AI86" s="53">
        <f t="shared" si="16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19">B48+B52+B70+B66+B82+B86</f>
        <v>1283.94</v>
      </c>
      <c r="C87" s="102">
        <f t="shared" ref="C87:AG87" si="20">C48+C52+C70+C66+C82+C86</f>
        <v>1270.6399999999999</v>
      </c>
      <c r="D87" s="102">
        <f t="shared" si="20"/>
        <v>1142.04</v>
      </c>
      <c r="E87" s="102">
        <f t="shared" si="20"/>
        <v>1146.54</v>
      </c>
      <c r="F87" s="102">
        <f t="shared" si="20"/>
        <v>1115.24</v>
      </c>
      <c r="G87" s="102">
        <f t="shared" si="20"/>
        <v>1121.24</v>
      </c>
      <c r="H87" s="102">
        <f t="shared" si="20"/>
        <v>1179.74</v>
      </c>
      <c r="I87" s="102">
        <f t="shared" si="20"/>
        <v>1122.74</v>
      </c>
      <c r="J87" s="102">
        <f t="shared" si="20"/>
        <v>1132.74</v>
      </c>
      <c r="K87" s="102">
        <f t="shared" si="20"/>
        <v>1211.74</v>
      </c>
      <c r="L87" s="102">
        <f t="shared" si="20"/>
        <v>1351.6399999999999</v>
      </c>
      <c r="M87" s="102">
        <f t="shared" si="20"/>
        <v>1176.2399999999998</v>
      </c>
      <c r="N87" s="102">
        <f t="shared" si="20"/>
        <v>1160.44</v>
      </c>
      <c r="O87" s="102">
        <f t="shared" si="20"/>
        <v>1202.54</v>
      </c>
      <c r="P87" s="102">
        <f t="shared" si="20"/>
        <v>1202.54</v>
      </c>
      <c r="Q87" s="102">
        <f t="shared" si="20"/>
        <v>1265.8400000000001</v>
      </c>
      <c r="R87" s="102">
        <f t="shared" si="20"/>
        <v>1414.2400000000002</v>
      </c>
      <c r="S87" s="102">
        <f t="shared" si="20"/>
        <v>1236.2400000000002</v>
      </c>
      <c r="T87" s="102">
        <f t="shared" si="20"/>
        <v>1229.6400000000001</v>
      </c>
      <c r="U87" s="102">
        <f t="shared" si="20"/>
        <v>1305.94</v>
      </c>
      <c r="V87" s="102">
        <f t="shared" si="20"/>
        <v>1337.94</v>
      </c>
      <c r="W87" s="102">
        <f t="shared" si="20"/>
        <v>1354.94</v>
      </c>
      <c r="X87" s="102">
        <f t="shared" si="20"/>
        <v>1186.44</v>
      </c>
      <c r="Y87" s="102">
        <f t="shared" si="20"/>
        <v>1277.74</v>
      </c>
      <c r="Z87" s="102">
        <v>1261.8399999999999</v>
      </c>
      <c r="AA87" s="102">
        <f t="shared" si="20"/>
        <v>1267.24</v>
      </c>
      <c r="AB87" s="102">
        <f t="shared" si="20"/>
        <v>1345.18</v>
      </c>
      <c r="AC87" s="102">
        <f t="shared" si="20"/>
        <v>1309.3799999999999</v>
      </c>
      <c r="AD87" s="102">
        <f t="shared" si="20"/>
        <v>1293.6399999999999</v>
      </c>
      <c r="AE87" s="102">
        <f t="shared" si="20"/>
        <v>1302.94</v>
      </c>
      <c r="AF87" s="102">
        <f t="shared" si="20"/>
        <v>1259.94</v>
      </c>
      <c r="AG87" s="68">
        <f t="shared" si="20"/>
        <v>2065.09</v>
      </c>
      <c r="AH87" s="52">
        <f>MAX(B87:AF87)</f>
        <v>1414.2400000000002</v>
      </c>
      <c r="AI87" s="53">
        <f>MIN(B87:AF87)</f>
        <v>1115.24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>
        <v>160</v>
      </c>
      <c r="K88" s="104">
        <v>170</v>
      </c>
      <c r="L88" s="104">
        <v>170</v>
      </c>
      <c r="M88" s="104">
        <v>170</v>
      </c>
      <c r="N88" s="104">
        <v>170</v>
      </c>
      <c r="O88" s="104">
        <v>170</v>
      </c>
      <c r="P88" s="104"/>
      <c r="Q88" s="104"/>
      <c r="R88" s="104"/>
      <c r="S88" s="104">
        <v>80</v>
      </c>
      <c r="T88" s="104">
        <v>80</v>
      </c>
      <c r="U88" s="104"/>
      <c r="V88" s="104"/>
      <c r="W88" s="104"/>
      <c r="X88" s="104"/>
      <c r="Y88" s="104">
        <v>150</v>
      </c>
      <c r="Z88" s="104">
        <v>200</v>
      </c>
      <c r="AA88" s="104">
        <v>190</v>
      </c>
      <c r="AB88" s="104">
        <v>190</v>
      </c>
      <c r="AC88" s="104">
        <v>190</v>
      </c>
      <c r="AD88" s="104">
        <v>190</v>
      </c>
      <c r="AE88" s="104">
        <v>135</v>
      </c>
      <c r="AF88" s="104">
        <v>100</v>
      </c>
      <c r="AG88" s="95"/>
      <c r="AH88" s="52">
        <f t="shared" si="15"/>
        <v>200</v>
      </c>
      <c r="AI88" s="53">
        <f t="shared" si="16"/>
        <v>80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21">B87+B88</f>
        <v>1283.94</v>
      </c>
      <c r="C89" s="102">
        <f t="shared" ref="C89:AF89" si="22">C87+C88</f>
        <v>1270.6399999999999</v>
      </c>
      <c r="D89" s="102">
        <f t="shared" si="22"/>
        <v>1142.04</v>
      </c>
      <c r="E89" s="102">
        <f t="shared" si="22"/>
        <v>1146.54</v>
      </c>
      <c r="F89" s="102">
        <f t="shared" si="22"/>
        <v>1115.24</v>
      </c>
      <c r="G89" s="102">
        <f t="shared" si="22"/>
        <v>1121.24</v>
      </c>
      <c r="H89" s="102">
        <f t="shared" si="22"/>
        <v>1179.74</v>
      </c>
      <c r="I89" s="102">
        <f t="shared" si="22"/>
        <v>1122.74</v>
      </c>
      <c r="J89" s="102">
        <f t="shared" si="22"/>
        <v>1292.74</v>
      </c>
      <c r="K89" s="102">
        <f t="shared" si="22"/>
        <v>1381.74</v>
      </c>
      <c r="L89" s="102">
        <f t="shared" si="22"/>
        <v>1521.6399999999999</v>
      </c>
      <c r="M89" s="102">
        <f t="shared" si="22"/>
        <v>1346.2399999999998</v>
      </c>
      <c r="N89" s="102">
        <f t="shared" si="22"/>
        <v>1330.44</v>
      </c>
      <c r="O89" s="102">
        <f t="shared" si="22"/>
        <v>1372.54</v>
      </c>
      <c r="P89" s="102">
        <f t="shared" si="22"/>
        <v>1202.54</v>
      </c>
      <c r="Q89" s="102">
        <f t="shared" si="22"/>
        <v>1265.8400000000001</v>
      </c>
      <c r="R89" s="102">
        <f t="shared" si="22"/>
        <v>1414.2400000000002</v>
      </c>
      <c r="S89" s="102">
        <f t="shared" si="22"/>
        <v>1316.2400000000002</v>
      </c>
      <c r="T89" s="102">
        <f t="shared" si="22"/>
        <v>1309.6400000000001</v>
      </c>
      <c r="U89" s="102">
        <f t="shared" si="22"/>
        <v>1305.94</v>
      </c>
      <c r="V89" s="102">
        <f t="shared" si="22"/>
        <v>1337.94</v>
      </c>
      <c r="W89" s="102">
        <f t="shared" si="22"/>
        <v>1354.94</v>
      </c>
      <c r="X89" s="102">
        <f t="shared" si="22"/>
        <v>1186.44</v>
      </c>
      <c r="Y89" s="102">
        <f t="shared" si="22"/>
        <v>1427.74</v>
      </c>
      <c r="Z89" s="102">
        <v>1461.84</v>
      </c>
      <c r="AA89" s="102">
        <f t="shared" si="22"/>
        <v>1457.24</v>
      </c>
      <c r="AB89" s="102">
        <f t="shared" si="22"/>
        <v>1535.18</v>
      </c>
      <c r="AC89" s="102">
        <f t="shared" si="22"/>
        <v>1499.3799999999999</v>
      </c>
      <c r="AD89" s="102">
        <f t="shared" si="22"/>
        <v>1483.6399999999999</v>
      </c>
      <c r="AE89" s="102">
        <f t="shared" si="22"/>
        <v>1437.94</v>
      </c>
      <c r="AF89" s="102">
        <f t="shared" si="22"/>
        <v>1359.94</v>
      </c>
      <c r="AG89" s="95">
        <f>AG86+AG82+AG70+AG66+AG48+AG88</f>
        <v>1526.99</v>
      </c>
      <c r="AH89" s="52">
        <f t="shared" si="15"/>
        <v>1535.18</v>
      </c>
      <c r="AI89" s="53">
        <f t="shared" si="16"/>
        <v>1115.24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23">B89-B97</f>
        <v>1283.94</v>
      </c>
      <c r="C90" s="102">
        <f t="shared" ref="C90:AF90" si="24">C89-C97</f>
        <v>1270.6399999999999</v>
      </c>
      <c r="D90" s="102">
        <f t="shared" si="24"/>
        <v>1142.04</v>
      </c>
      <c r="E90" s="102">
        <f t="shared" si="24"/>
        <v>1146.54</v>
      </c>
      <c r="F90" s="102">
        <f t="shared" si="24"/>
        <v>1115.24</v>
      </c>
      <c r="G90" s="102">
        <f t="shared" si="24"/>
        <v>1121.24</v>
      </c>
      <c r="H90" s="102">
        <f t="shared" si="24"/>
        <v>1179.74</v>
      </c>
      <c r="I90" s="102">
        <f t="shared" si="24"/>
        <v>1122.74</v>
      </c>
      <c r="J90" s="102">
        <f t="shared" si="24"/>
        <v>1292.74</v>
      </c>
      <c r="K90" s="102">
        <f t="shared" si="24"/>
        <v>1381.74</v>
      </c>
      <c r="L90" s="102">
        <f t="shared" si="24"/>
        <v>1521.6399999999999</v>
      </c>
      <c r="M90" s="102">
        <f t="shared" si="24"/>
        <v>1346.2399999999998</v>
      </c>
      <c r="N90" s="102">
        <f t="shared" si="24"/>
        <v>1330.44</v>
      </c>
      <c r="O90" s="102">
        <f t="shared" si="24"/>
        <v>1372.54</v>
      </c>
      <c r="P90" s="102">
        <f t="shared" si="24"/>
        <v>1202.54</v>
      </c>
      <c r="Q90" s="102">
        <f t="shared" si="24"/>
        <v>1265.8400000000001</v>
      </c>
      <c r="R90" s="102">
        <f t="shared" si="24"/>
        <v>1414.2400000000002</v>
      </c>
      <c r="S90" s="102">
        <f t="shared" si="24"/>
        <v>1316.2400000000002</v>
      </c>
      <c r="T90" s="102">
        <f t="shared" si="24"/>
        <v>1309.6400000000001</v>
      </c>
      <c r="U90" s="102">
        <f t="shared" si="24"/>
        <v>1305.94</v>
      </c>
      <c r="V90" s="102">
        <f t="shared" si="24"/>
        <v>1337.94</v>
      </c>
      <c r="W90" s="102">
        <f t="shared" si="24"/>
        <v>1354.94</v>
      </c>
      <c r="X90" s="102">
        <f t="shared" si="24"/>
        <v>1186.44</v>
      </c>
      <c r="Y90" s="102">
        <f t="shared" si="24"/>
        <v>1427.74</v>
      </c>
      <c r="Z90" s="102">
        <v>1461.84</v>
      </c>
      <c r="AA90" s="102">
        <f t="shared" si="24"/>
        <v>1457.24</v>
      </c>
      <c r="AB90" s="102">
        <f t="shared" si="24"/>
        <v>1535.18</v>
      </c>
      <c r="AC90" s="102">
        <f t="shared" si="24"/>
        <v>1499.3799999999999</v>
      </c>
      <c r="AD90" s="102">
        <f t="shared" si="24"/>
        <v>1483.6399999999999</v>
      </c>
      <c r="AE90" s="102">
        <f t="shared" si="24"/>
        <v>1437.94</v>
      </c>
      <c r="AF90" s="102">
        <f t="shared" si="24"/>
        <v>1359.94</v>
      </c>
      <c r="AG90" s="95"/>
      <c r="AH90" s="52">
        <f t="shared" si="15"/>
        <v>1535.18</v>
      </c>
      <c r="AI90" s="53">
        <f t="shared" si="16"/>
        <v>1115.24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5"/>
        <v>0</v>
      </c>
      <c r="AI91" s="53">
        <f t="shared" si="16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5"/>
        <v>0</v>
      </c>
      <c r="AI92" s="53">
        <f t="shared" si="16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5"/>
        <v>0</v>
      </c>
      <c r="AI93" s="53">
        <f t="shared" si="16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5"/>
        <v>0</v>
      </c>
      <c r="AI94" s="53">
        <f t="shared" si="16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5"/>
        <v>0</v>
      </c>
      <c r="AI95" s="53">
        <f t="shared" si="16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5"/>
        <v>0</v>
      </c>
      <c r="AI96" s="53">
        <f t="shared" si="16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15"/>
        <v>0</v>
      </c>
      <c r="AI97" s="53">
        <f t="shared" si="16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" si="25">B82-B97</f>
        <v>521.20000000000005</v>
      </c>
      <c r="C98" s="67">
        <f t="shared" ref="C98:AF98" si="26">C82-C97</f>
        <v>507.7</v>
      </c>
      <c r="D98" s="67">
        <f t="shared" si="26"/>
        <v>477.6</v>
      </c>
      <c r="E98" s="67">
        <f t="shared" si="26"/>
        <v>517.1</v>
      </c>
      <c r="F98" s="67">
        <f t="shared" si="26"/>
        <v>561</v>
      </c>
      <c r="G98" s="67">
        <f t="shared" si="26"/>
        <v>558</v>
      </c>
      <c r="H98" s="67">
        <f t="shared" si="26"/>
        <v>541</v>
      </c>
      <c r="I98" s="67">
        <f t="shared" si="26"/>
        <v>484</v>
      </c>
      <c r="J98" s="67">
        <f t="shared" si="26"/>
        <v>494</v>
      </c>
      <c r="K98" s="67">
        <f t="shared" si="26"/>
        <v>543</v>
      </c>
      <c r="L98" s="67">
        <f t="shared" si="26"/>
        <v>599.4</v>
      </c>
      <c r="M98" s="67">
        <f t="shared" si="26"/>
        <v>579.69999999999993</v>
      </c>
      <c r="N98" s="67">
        <f t="shared" si="26"/>
        <v>608.9</v>
      </c>
      <c r="O98" s="67">
        <f t="shared" si="26"/>
        <v>651</v>
      </c>
      <c r="P98" s="67">
        <f t="shared" si="26"/>
        <v>651</v>
      </c>
      <c r="Q98" s="67">
        <f t="shared" si="26"/>
        <v>536.9</v>
      </c>
      <c r="R98" s="67">
        <f t="shared" si="26"/>
        <v>684.9</v>
      </c>
      <c r="S98" s="67">
        <f t="shared" si="26"/>
        <v>536.9</v>
      </c>
      <c r="T98" s="67">
        <f t="shared" si="26"/>
        <v>597.6</v>
      </c>
      <c r="U98" s="67">
        <f t="shared" si="26"/>
        <v>575.6</v>
      </c>
      <c r="V98" s="67">
        <f t="shared" si="26"/>
        <v>567.6</v>
      </c>
      <c r="W98" s="67">
        <f t="shared" si="26"/>
        <v>564.6</v>
      </c>
      <c r="X98" s="67">
        <f t="shared" si="26"/>
        <v>519.4</v>
      </c>
      <c r="Y98" s="67">
        <f t="shared" si="26"/>
        <v>578.5</v>
      </c>
      <c r="Z98" s="67">
        <v>500.1</v>
      </c>
      <c r="AA98" s="67">
        <f t="shared" si="26"/>
        <v>331.3</v>
      </c>
      <c r="AB98" s="67">
        <f t="shared" si="26"/>
        <v>490.5</v>
      </c>
      <c r="AC98" s="67">
        <f t="shared" si="26"/>
        <v>520.29999999999995</v>
      </c>
      <c r="AD98" s="67">
        <f t="shared" si="26"/>
        <v>509.9</v>
      </c>
      <c r="AE98" s="67">
        <f t="shared" si="26"/>
        <v>513.20000000000005</v>
      </c>
      <c r="AF98" s="67">
        <f t="shared" si="26"/>
        <v>485.29999999999995</v>
      </c>
      <c r="AG98" s="95"/>
      <c r="AH98" s="52">
        <f t="shared" si="15"/>
        <v>684.9</v>
      </c>
      <c r="AI98" s="53">
        <f t="shared" si="16"/>
        <v>331.3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50.03</v>
      </c>
      <c r="C99" s="108">
        <v>49.98</v>
      </c>
      <c r="D99" s="108">
        <v>49.87</v>
      </c>
      <c r="E99" s="108">
        <v>49.98</v>
      </c>
      <c r="F99" s="108">
        <v>49.959000000000003</v>
      </c>
      <c r="G99" s="108">
        <v>49.959000000000003</v>
      </c>
      <c r="H99" s="108">
        <v>49.959000000000003</v>
      </c>
      <c r="I99" s="108">
        <v>49.959000000000003</v>
      </c>
      <c r="J99" s="108">
        <v>49.959000000000003</v>
      </c>
      <c r="K99" s="108">
        <v>49.959000000000003</v>
      </c>
      <c r="L99" s="108">
        <v>50.084000000000003</v>
      </c>
      <c r="M99" s="108">
        <v>49.994999999999997</v>
      </c>
      <c r="N99" s="108">
        <v>49.901000000000003</v>
      </c>
      <c r="O99" s="108">
        <v>50.048000000000002</v>
      </c>
      <c r="P99" s="108">
        <v>50.048000000000002</v>
      </c>
      <c r="Q99" s="108">
        <v>49.994</v>
      </c>
      <c r="R99" s="108">
        <v>49.993000000000002</v>
      </c>
      <c r="S99" s="108">
        <v>49.993000000000002</v>
      </c>
      <c r="T99" s="108">
        <v>49.993000000000002</v>
      </c>
      <c r="U99" s="108">
        <v>49.993000000000002</v>
      </c>
      <c r="V99" s="108">
        <v>49.98</v>
      </c>
      <c r="W99" s="108">
        <v>50.01</v>
      </c>
      <c r="X99" s="108">
        <v>50.22</v>
      </c>
      <c r="Y99" s="108">
        <v>49.93</v>
      </c>
      <c r="Z99" s="108">
        <v>49.92</v>
      </c>
      <c r="AA99" s="108">
        <v>50.04</v>
      </c>
      <c r="AB99" s="108">
        <v>50.030999999999999</v>
      </c>
      <c r="AC99" s="108">
        <v>50.02</v>
      </c>
      <c r="AD99" s="108">
        <v>49.98</v>
      </c>
      <c r="AE99" s="108">
        <v>49.881999999999998</v>
      </c>
      <c r="AF99" s="108">
        <v>50.002000000000002</v>
      </c>
      <c r="AG99" s="109"/>
      <c r="AH99" s="52">
        <f t="shared" si="15"/>
        <v>50.22</v>
      </c>
      <c r="AI99" s="53">
        <f t="shared" si="16"/>
        <v>49.87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127.1</v>
      </c>
      <c r="C100" s="72">
        <v>127.4</v>
      </c>
      <c r="D100" s="72">
        <v>127.8</v>
      </c>
      <c r="E100" s="72">
        <v>127</v>
      </c>
      <c r="F100" s="72">
        <v>129</v>
      </c>
      <c r="G100" s="72">
        <v>129</v>
      </c>
      <c r="H100" s="72">
        <v>129</v>
      </c>
      <c r="I100" s="72">
        <v>129</v>
      </c>
      <c r="J100" s="72">
        <v>129</v>
      </c>
      <c r="K100" s="72">
        <v>129</v>
      </c>
      <c r="L100" s="72">
        <v>125</v>
      </c>
      <c r="M100" s="72">
        <v>127.3</v>
      </c>
      <c r="N100" s="72">
        <v>127</v>
      </c>
      <c r="O100" s="72">
        <v>126.5</v>
      </c>
      <c r="P100" s="72">
        <v>126.5</v>
      </c>
      <c r="Q100" s="72">
        <v>123.7</v>
      </c>
      <c r="R100" s="72">
        <v>123.5</v>
      </c>
      <c r="S100" s="72">
        <v>123.5</v>
      </c>
      <c r="T100" s="72">
        <v>123.5</v>
      </c>
      <c r="U100" s="72">
        <v>123.5</v>
      </c>
      <c r="V100" s="72">
        <v>123.5</v>
      </c>
      <c r="W100" s="72">
        <v>123.5</v>
      </c>
      <c r="X100" s="72">
        <v>128.5</v>
      </c>
      <c r="Y100" s="72">
        <v>127.3</v>
      </c>
      <c r="Z100" s="72">
        <v>127</v>
      </c>
      <c r="AA100" s="72">
        <v>130</v>
      </c>
      <c r="AB100" s="72">
        <v>129.80000000000001</v>
      </c>
      <c r="AC100" s="72">
        <v>130.30000000000001</v>
      </c>
      <c r="AD100" s="72">
        <v>130.30000000000001</v>
      </c>
      <c r="AE100" s="72">
        <v>130.30000000000001</v>
      </c>
      <c r="AF100" s="72">
        <v>128</v>
      </c>
      <c r="AG100" s="111"/>
      <c r="AH100" s="52">
        <f t="shared" si="15"/>
        <v>130.30000000000001</v>
      </c>
      <c r="AI100" s="53">
        <f t="shared" si="16"/>
        <v>123.5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131.69999999999999</v>
      </c>
      <c r="C101" s="72">
        <v>131.69999999999999</v>
      </c>
      <c r="D101" s="72">
        <v>131.69999999999999</v>
      </c>
      <c r="E101" s="72">
        <v>131</v>
      </c>
      <c r="F101" s="72">
        <v>1233</v>
      </c>
      <c r="G101" s="72">
        <v>1233</v>
      </c>
      <c r="H101" s="72">
        <v>1233</v>
      </c>
      <c r="I101" s="72">
        <v>1233</v>
      </c>
      <c r="J101" s="72">
        <v>1233</v>
      </c>
      <c r="K101" s="72">
        <v>1233</v>
      </c>
      <c r="L101" s="72">
        <v>129</v>
      </c>
      <c r="M101" s="72">
        <v>127.7</v>
      </c>
      <c r="N101" s="72">
        <v>128.30000000000001</v>
      </c>
      <c r="O101" s="72">
        <v>128.5</v>
      </c>
      <c r="P101" s="72">
        <v>128.5</v>
      </c>
      <c r="Q101" s="72">
        <v>126.4</v>
      </c>
      <c r="R101" s="72">
        <v>125.2</v>
      </c>
      <c r="S101" s="72">
        <v>125.2</v>
      </c>
      <c r="T101" s="72">
        <v>125.2</v>
      </c>
      <c r="U101" s="72">
        <v>125.2</v>
      </c>
      <c r="V101" s="72">
        <v>125.2</v>
      </c>
      <c r="W101" s="72">
        <v>125.2</v>
      </c>
      <c r="X101" s="72">
        <v>130.4</v>
      </c>
      <c r="Y101" s="72">
        <v>129.4</v>
      </c>
      <c r="Z101" s="72">
        <v>129.19999999999999</v>
      </c>
      <c r="AA101" s="72">
        <v>132.30000000000001</v>
      </c>
      <c r="AB101" s="72">
        <v>132</v>
      </c>
      <c r="AC101" s="72">
        <v>132.80000000000001</v>
      </c>
      <c r="AD101" s="72">
        <v>132.80000000000001</v>
      </c>
      <c r="AE101" s="72">
        <v>132.80000000000001</v>
      </c>
      <c r="AF101" s="72">
        <v>131.6</v>
      </c>
      <c r="AG101" s="111"/>
      <c r="AH101" s="52">
        <f t="shared" si="15"/>
        <v>1233</v>
      </c>
      <c r="AI101" s="53">
        <f t="shared" si="16"/>
        <v>125.2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130.5</v>
      </c>
      <c r="C102" s="72">
        <v>129.19999999999999</v>
      </c>
      <c r="D102" s="72">
        <v>129.5</v>
      </c>
      <c r="E102" s="72">
        <v>130</v>
      </c>
      <c r="F102" s="72">
        <v>131</v>
      </c>
      <c r="G102" s="72">
        <v>131</v>
      </c>
      <c r="H102" s="72">
        <v>131</v>
      </c>
      <c r="I102" s="72">
        <v>131</v>
      </c>
      <c r="J102" s="72">
        <v>131</v>
      </c>
      <c r="K102" s="72">
        <v>131</v>
      </c>
      <c r="L102" s="72">
        <v>128</v>
      </c>
      <c r="M102" s="72">
        <v>128.30000000000001</v>
      </c>
      <c r="N102" s="72">
        <v>128.19999999999999</v>
      </c>
      <c r="O102" s="72">
        <v>124.5</v>
      </c>
      <c r="P102" s="72">
        <v>124.5</v>
      </c>
      <c r="Q102" s="72">
        <v>129.4</v>
      </c>
      <c r="R102" s="72">
        <v>122.5</v>
      </c>
      <c r="S102" s="72">
        <v>122.5</v>
      </c>
      <c r="T102" s="72">
        <v>122.5</v>
      </c>
      <c r="U102" s="72">
        <v>122.5</v>
      </c>
      <c r="V102" s="72">
        <v>122.5</v>
      </c>
      <c r="W102" s="72">
        <v>122.5</v>
      </c>
      <c r="X102" s="72">
        <v>128.69999999999999</v>
      </c>
      <c r="Y102" s="72">
        <v>125.5</v>
      </c>
      <c r="Z102" s="72">
        <v>130.4</v>
      </c>
      <c r="AA102" s="72">
        <v>128.4</v>
      </c>
      <c r="AB102" s="72">
        <v>129</v>
      </c>
      <c r="AC102" s="72">
        <v>128.69999999999999</v>
      </c>
      <c r="AD102" s="72">
        <v>128.69999999999999</v>
      </c>
      <c r="AE102" s="72">
        <v>128.69999999999999</v>
      </c>
      <c r="AF102" s="72">
        <v>127.8</v>
      </c>
      <c r="AG102" s="111"/>
      <c r="AH102" s="52">
        <f t="shared" si="15"/>
        <v>131</v>
      </c>
      <c r="AI102" s="53">
        <f t="shared" si="16"/>
        <v>122.5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5"/>
        <v>0</v>
      </c>
      <c r="AI103" s="53">
        <f t="shared" si="16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132.4</v>
      </c>
      <c r="C104" s="113">
        <v>129.5</v>
      </c>
      <c r="D104" s="113">
        <v>130.9</v>
      </c>
      <c r="E104" s="113">
        <v>132</v>
      </c>
      <c r="F104" s="113">
        <v>134</v>
      </c>
      <c r="G104" s="113">
        <v>134</v>
      </c>
      <c r="H104" s="113">
        <v>134</v>
      </c>
      <c r="I104" s="113">
        <v>134</v>
      </c>
      <c r="J104" s="113">
        <v>134</v>
      </c>
      <c r="K104" s="113">
        <v>134</v>
      </c>
      <c r="L104" s="113">
        <v>129</v>
      </c>
      <c r="M104" s="113">
        <v>127.3</v>
      </c>
      <c r="N104" s="113">
        <v>133.6</v>
      </c>
      <c r="O104" s="113">
        <v>131</v>
      </c>
      <c r="P104" s="113">
        <v>131</v>
      </c>
      <c r="Q104" s="113">
        <v>124.8</v>
      </c>
      <c r="R104" s="113">
        <v>131.5</v>
      </c>
      <c r="S104" s="113">
        <v>131.5</v>
      </c>
      <c r="T104" s="113">
        <v>131.5</v>
      </c>
      <c r="U104" s="113">
        <v>131.5</v>
      </c>
      <c r="V104" s="113">
        <v>131.5</v>
      </c>
      <c r="W104" s="113">
        <v>131.5</v>
      </c>
      <c r="X104" s="113">
        <v>136.19999999999999</v>
      </c>
      <c r="Y104" s="113">
        <v>135.1</v>
      </c>
      <c r="Z104" s="113">
        <v>134.1</v>
      </c>
      <c r="AA104" s="113">
        <v>134.5</v>
      </c>
      <c r="AB104" s="113">
        <v>132.6</v>
      </c>
      <c r="AC104" s="113">
        <v>133</v>
      </c>
      <c r="AD104" s="113">
        <v>133</v>
      </c>
      <c r="AE104" s="113">
        <v>133</v>
      </c>
      <c r="AF104" s="72">
        <v>132.19999999999999</v>
      </c>
      <c r="AG104" s="114"/>
      <c r="AH104" s="52">
        <f t="shared" si="15"/>
        <v>136.19999999999999</v>
      </c>
      <c r="AI104" s="53">
        <f t="shared" si="16"/>
        <v>124.8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129.4</v>
      </c>
      <c r="C105" s="72">
        <v>135.19999999999999</v>
      </c>
      <c r="D105" s="72">
        <v>135.5</v>
      </c>
      <c r="E105" s="72">
        <v>135</v>
      </c>
      <c r="F105" s="72">
        <v>125</v>
      </c>
      <c r="G105" s="72">
        <v>125</v>
      </c>
      <c r="H105" s="72">
        <v>125</v>
      </c>
      <c r="I105" s="72">
        <v>125</v>
      </c>
      <c r="J105" s="72">
        <v>125</v>
      </c>
      <c r="K105" s="72">
        <v>125</v>
      </c>
      <c r="L105" s="72">
        <v>127</v>
      </c>
      <c r="M105" s="72">
        <v>125.9</v>
      </c>
      <c r="N105" s="72">
        <v>127.3</v>
      </c>
      <c r="O105" s="72">
        <v>129.19999999999999</v>
      </c>
      <c r="P105" s="72">
        <v>129.19999999999999</v>
      </c>
      <c r="Q105" s="72">
        <v>127.8</v>
      </c>
      <c r="R105" s="72">
        <v>125.9</v>
      </c>
      <c r="S105" s="72">
        <v>125.9</v>
      </c>
      <c r="T105" s="72">
        <v>125.9</v>
      </c>
      <c r="U105" s="72">
        <v>125.9</v>
      </c>
      <c r="V105" s="72">
        <v>125.9</v>
      </c>
      <c r="W105" s="72">
        <v>125.9</v>
      </c>
      <c r="X105" s="72">
        <v>133.9</v>
      </c>
      <c r="Y105" s="72">
        <v>127.5</v>
      </c>
      <c r="Z105" s="72"/>
      <c r="AA105" s="72"/>
      <c r="AB105" s="72"/>
      <c r="AC105" s="72"/>
      <c r="AD105" s="72"/>
      <c r="AE105" s="72"/>
      <c r="AF105" s="113">
        <v>130.6</v>
      </c>
      <c r="AG105" s="111"/>
      <c r="AH105" s="52">
        <f t="shared" si="15"/>
        <v>135.5</v>
      </c>
      <c r="AI105" s="53">
        <f t="shared" si="16"/>
        <v>125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66.400000000000006</v>
      </c>
      <c r="C106" s="99">
        <v>66.5</v>
      </c>
      <c r="D106" s="99">
        <v>66.599999999999994</v>
      </c>
      <c r="E106" s="99">
        <v>66.400000000000006</v>
      </c>
      <c r="F106" s="99">
        <v>67</v>
      </c>
      <c r="G106" s="99">
        <v>67</v>
      </c>
      <c r="H106" s="99">
        <v>67</v>
      </c>
      <c r="I106" s="99">
        <v>67</v>
      </c>
      <c r="J106" s="99">
        <v>67</v>
      </c>
      <c r="K106" s="99">
        <v>67</v>
      </c>
      <c r="L106" s="99">
        <v>64</v>
      </c>
      <c r="M106" s="99">
        <v>64.099999999999994</v>
      </c>
      <c r="N106" s="99">
        <v>64.5</v>
      </c>
      <c r="O106" s="99">
        <v>64.7</v>
      </c>
      <c r="P106" s="99">
        <v>64.7</v>
      </c>
      <c r="Q106" s="99">
        <v>63.7</v>
      </c>
      <c r="R106" s="99">
        <v>62.4</v>
      </c>
      <c r="S106" s="99">
        <v>62.4</v>
      </c>
      <c r="T106" s="99">
        <v>62.4</v>
      </c>
      <c r="U106" s="99">
        <v>62.4</v>
      </c>
      <c r="V106" s="99">
        <v>62.4</v>
      </c>
      <c r="W106" s="99">
        <v>62.4</v>
      </c>
      <c r="X106" s="99">
        <v>65.3</v>
      </c>
      <c r="Y106" s="99">
        <v>64.8</v>
      </c>
      <c r="Z106" s="99">
        <v>64.8</v>
      </c>
      <c r="AA106" s="99">
        <v>66.2</v>
      </c>
      <c r="AB106" s="99">
        <v>66</v>
      </c>
      <c r="AC106" s="99">
        <v>66.5</v>
      </c>
      <c r="AD106" s="99">
        <v>66.5</v>
      </c>
      <c r="AE106" s="99">
        <v>66.5</v>
      </c>
      <c r="AF106" s="99">
        <v>65.7</v>
      </c>
      <c r="AG106" s="115"/>
      <c r="AH106" s="52">
        <f t="shared" si="15"/>
        <v>67</v>
      </c>
      <c r="AI106" s="53">
        <f t="shared" si="16"/>
        <v>62.4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 t="s">
        <v>111</v>
      </c>
      <c r="AA107" s="99"/>
      <c r="AB107" s="99"/>
      <c r="AC107" s="99"/>
      <c r="AD107" s="99"/>
      <c r="AE107" s="99"/>
      <c r="AF107" s="99"/>
      <c r="AG107" s="115"/>
      <c r="AH107" s="52">
        <f t="shared" si="15"/>
        <v>0</v>
      </c>
      <c r="AI107" s="53">
        <f t="shared" si="16"/>
        <v>0</v>
      </c>
    </row>
    <row r="108" spans="1:88" ht="15.75" thickBot="1" x14ac:dyDescent="0.3">
      <c r="A108" s="117" t="s">
        <v>112</v>
      </c>
      <c r="B108" s="118">
        <f t="shared" ref="B108" si="27">SUM(B18,B24,B27:B28,B56,B58:B59,B61,B63,B109:B113,B135,B141,B147,B156,B158,B170,B177,B180:B181,B188,B190,B192,B196:B198,B200:B202,B207,B213:B214,B216:B218,B226,B231)</f>
        <v>129.4</v>
      </c>
      <c r="C108" s="118">
        <f t="shared" ref="C108:AF108" si="28">SUM(C18,C24,C27:C28,C56,C58:C59,C61,C63,C109:C113,C135,C141,C147,C156,C158,C170,C177,C180:C181,C188,C190,C192,C196:C198,C200:C202,C207,C213:C214,C216:C218,C226,C231)</f>
        <v>122.33999999999999</v>
      </c>
      <c r="D108" s="118">
        <f t="shared" si="28"/>
        <v>119.24</v>
      </c>
      <c r="E108" s="118">
        <f t="shared" si="28"/>
        <v>114.94</v>
      </c>
      <c r="F108" s="118">
        <f t="shared" si="28"/>
        <v>115.94</v>
      </c>
      <c r="G108" s="118">
        <f t="shared" si="28"/>
        <v>149.94</v>
      </c>
      <c r="H108" s="118">
        <f t="shared" si="28"/>
        <v>169.94</v>
      </c>
      <c r="I108" s="118">
        <f t="shared" si="28"/>
        <v>169.94</v>
      </c>
      <c r="J108" s="118">
        <f t="shared" si="28"/>
        <v>169.94</v>
      </c>
      <c r="K108" s="118">
        <f t="shared" si="28"/>
        <v>169.94</v>
      </c>
      <c r="L108" s="118">
        <f t="shared" si="28"/>
        <v>280.94</v>
      </c>
      <c r="M108" s="118">
        <f t="shared" si="28"/>
        <v>278.04000000000002</v>
      </c>
      <c r="N108" s="118">
        <f t="shared" si="28"/>
        <v>272.14</v>
      </c>
      <c r="O108" s="118">
        <f t="shared" si="28"/>
        <v>260.54000000000002</v>
      </c>
      <c r="P108" s="118">
        <v>42</v>
      </c>
      <c r="Q108" s="118">
        <f t="shared" si="28"/>
        <v>250.09999999999997</v>
      </c>
      <c r="R108" s="118">
        <f t="shared" si="28"/>
        <v>247.8</v>
      </c>
      <c r="S108" s="118">
        <f t="shared" si="28"/>
        <v>247.8</v>
      </c>
      <c r="T108" s="118">
        <f t="shared" si="28"/>
        <v>254.7</v>
      </c>
      <c r="U108" s="118">
        <f t="shared" si="28"/>
        <v>252.7</v>
      </c>
      <c r="V108" s="118">
        <f t="shared" si="28"/>
        <v>248.7</v>
      </c>
      <c r="W108" s="118">
        <f t="shared" si="28"/>
        <v>278.7</v>
      </c>
      <c r="X108" s="118">
        <f t="shared" si="28"/>
        <v>254.1</v>
      </c>
      <c r="Y108" s="118">
        <f t="shared" si="28"/>
        <v>278</v>
      </c>
      <c r="Z108" s="118">
        <v>368.09708333333327</v>
      </c>
      <c r="AA108" s="118">
        <f t="shared" si="28"/>
        <v>275.39999999999998</v>
      </c>
      <c r="AB108" s="118">
        <f t="shared" si="28"/>
        <v>277.3</v>
      </c>
      <c r="AC108" s="118">
        <f t="shared" si="28"/>
        <v>253.3</v>
      </c>
      <c r="AD108" s="118">
        <f t="shared" si="28"/>
        <v>240.3</v>
      </c>
      <c r="AE108" s="118">
        <f t="shared" si="28"/>
        <v>82.100000000000009</v>
      </c>
      <c r="AF108" s="118">
        <f t="shared" si="28"/>
        <v>133.80000000000001</v>
      </c>
      <c r="AG108" s="119"/>
      <c r="AH108" s="52">
        <f t="shared" si="15"/>
        <v>368.09708333333327</v>
      </c>
      <c r="AI108" s="53">
        <f t="shared" si="16"/>
        <v>42</v>
      </c>
    </row>
    <row r="109" spans="1:88" x14ac:dyDescent="0.25">
      <c r="A109" s="107" t="s">
        <v>113</v>
      </c>
      <c r="B109" s="120">
        <v>-19.3</v>
      </c>
      <c r="C109" s="120">
        <v>-24.2</v>
      </c>
      <c r="D109" s="120">
        <v>-24.8</v>
      </c>
      <c r="E109" s="120">
        <v>-24</v>
      </c>
      <c r="F109" s="120">
        <v>-22</v>
      </c>
      <c r="G109" s="120">
        <v>-22</v>
      </c>
      <c r="H109" s="120">
        <v>-20</v>
      </c>
      <c r="I109" s="120">
        <v>-20</v>
      </c>
      <c r="J109" s="120">
        <v>-20</v>
      </c>
      <c r="K109" s="120">
        <v>-20</v>
      </c>
      <c r="L109" s="120">
        <v>0</v>
      </c>
      <c r="M109" s="120">
        <v>6.3</v>
      </c>
      <c r="N109" s="120">
        <v>7.1</v>
      </c>
      <c r="O109" s="120">
        <v>-2.9</v>
      </c>
      <c r="P109" s="120">
        <v>-2.9</v>
      </c>
      <c r="Q109" s="120">
        <v>9.6</v>
      </c>
      <c r="R109" s="120">
        <v>23.2</v>
      </c>
      <c r="S109" s="120">
        <v>23.2</v>
      </c>
      <c r="T109" s="120">
        <v>15</v>
      </c>
      <c r="U109" s="120">
        <v>14</v>
      </c>
      <c r="V109" s="120">
        <v>10</v>
      </c>
      <c r="W109" s="120">
        <v>5</v>
      </c>
      <c r="X109" s="120">
        <v>0</v>
      </c>
      <c r="Y109" s="120">
        <v>1</v>
      </c>
      <c r="Z109" s="120">
        <v>8.3000000000000007</v>
      </c>
      <c r="AA109" s="120">
        <v>17.899999999999999</v>
      </c>
      <c r="AB109" s="120">
        <v>2.7</v>
      </c>
      <c r="AC109" s="120">
        <v>3.2</v>
      </c>
      <c r="AD109" s="120">
        <v>4.9000000000000004</v>
      </c>
      <c r="AE109" s="120"/>
      <c r="AF109" s="120">
        <v>-3.8</v>
      </c>
      <c r="AG109" s="121">
        <v>75</v>
      </c>
      <c r="AH109" s="52">
        <f t="shared" si="15"/>
        <v>23.2</v>
      </c>
      <c r="AI109" s="53">
        <f t="shared" si="16"/>
        <v>-24.8</v>
      </c>
    </row>
    <row r="110" spans="1:88" x14ac:dyDescent="0.25">
      <c r="A110" s="110" t="s">
        <v>114</v>
      </c>
      <c r="B110" s="187">
        <v>-26.8</v>
      </c>
      <c r="C110" s="187">
        <v>-30.6</v>
      </c>
      <c r="D110" s="187">
        <v>-31.8</v>
      </c>
      <c r="E110" s="187">
        <v>-30</v>
      </c>
      <c r="F110" s="187">
        <v>-30</v>
      </c>
      <c r="G110" s="187">
        <v>-28</v>
      </c>
      <c r="H110" s="187">
        <v>-23</v>
      </c>
      <c r="I110" s="187">
        <v>-23</v>
      </c>
      <c r="J110" s="187">
        <v>-23</v>
      </c>
      <c r="K110" s="187">
        <v>-23</v>
      </c>
      <c r="L110" s="187">
        <v>-2</v>
      </c>
      <c r="M110" s="187">
        <v>-5.3</v>
      </c>
      <c r="N110" s="187">
        <v>-5.2</v>
      </c>
      <c r="O110" s="187">
        <v>-5.2</v>
      </c>
      <c r="P110" s="188">
        <v>-5.2</v>
      </c>
      <c r="Q110" s="187">
        <v>-5.2</v>
      </c>
      <c r="R110" s="187">
        <v>-5.0999999999999996</v>
      </c>
      <c r="S110" s="188">
        <v>-5.0999999999999996</v>
      </c>
      <c r="T110" s="188">
        <v>10</v>
      </c>
      <c r="U110" s="188">
        <v>9</v>
      </c>
      <c r="V110" s="188">
        <v>9</v>
      </c>
      <c r="W110" s="187">
        <v>5</v>
      </c>
      <c r="X110" s="187">
        <v>3.3</v>
      </c>
      <c r="Y110" s="187">
        <v>-2.2999999999999998</v>
      </c>
      <c r="Z110" s="187">
        <v>4.3</v>
      </c>
      <c r="AA110" s="187">
        <v>19.5</v>
      </c>
      <c r="AB110" s="187">
        <v>-0.6</v>
      </c>
      <c r="AC110" s="188">
        <v>3</v>
      </c>
      <c r="AD110" s="187">
        <v>3.8</v>
      </c>
      <c r="AE110" s="187"/>
      <c r="AF110" s="187">
        <v>-2.2999999999999998</v>
      </c>
      <c r="AG110" s="121">
        <v>240</v>
      </c>
      <c r="AH110" s="52">
        <f t="shared" si="15"/>
        <v>19.5</v>
      </c>
      <c r="AI110" s="53">
        <f t="shared" si="16"/>
        <v>-31.8</v>
      </c>
    </row>
    <row r="111" spans="1:88" x14ac:dyDescent="0.25">
      <c r="A111" s="110" t="s">
        <v>115</v>
      </c>
      <c r="B111" s="187">
        <f>-10.7-21.1</f>
        <v>-31.8</v>
      </c>
      <c r="C111" s="187">
        <f>-8.3-17.9</f>
        <v>-26.2</v>
      </c>
      <c r="D111" s="187">
        <f>-8.3-18.2</f>
        <v>-26.5</v>
      </c>
      <c r="E111" s="187">
        <v>-33</v>
      </c>
      <c r="F111" s="187">
        <v>-27</v>
      </c>
      <c r="G111" s="187">
        <v>-13</v>
      </c>
      <c r="H111" s="187">
        <v>-9</v>
      </c>
      <c r="I111" s="187">
        <v>-9</v>
      </c>
      <c r="J111" s="187">
        <v>-9</v>
      </c>
      <c r="K111" s="187">
        <v>-9</v>
      </c>
      <c r="L111" s="187">
        <v>33</v>
      </c>
      <c r="M111" s="187">
        <v>38</v>
      </c>
      <c r="N111" s="187">
        <f>23.6+20.4</f>
        <v>44</v>
      </c>
      <c r="O111" s="187">
        <f>22+19</f>
        <v>41</v>
      </c>
      <c r="P111" s="188">
        <f>22+19</f>
        <v>41</v>
      </c>
      <c r="Q111" s="187">
        <v>11</v>
      </c>
      <c r="R111" s="187">
        <v>37</v>
      </c>
      <c r="S111" s="188">
        <v>37</v>
      </c>
      <c r="T111" s="188">
        <v>37</v>
      </c>
      <c r="U111" s="188">
        <v>37</v>
      </c>
      <c r="V111" s="188">
        <v>37</v>
      </c>
      <c r="W111" s="187">
        <v>30</v>
      </c>
      <c r="X111" s="187">
        <f>1.1+34.1</f>
        <v>35.200000000000003</v>
      </c>
      <c r="Y111" s="187">
        <f>9.5+40</f>
        <v>49.5</v>
      </c>
      <c r="Z111" s="187">
        <v>50.800000000000004</v>
      </c>
      <c r="AA111" s="187">
        <f>-13.4+16.8</f>
        <v>3.4000000000000004</v>
      </c>
      <c r="AB111" s="187">
        <v>60</v>
      </c>
      <c r="AC111" s="188">
        <v>42.3</v>
      </c>
      <c r="AD111" s="187">
        <v>33.5</v>
      </c>
      <c r="AE111" s="187"/>
      <c r="AF111" s="187">
        <v>-39.200000000000003</v>
      </c>
      <c r="AG111" s="121">
        <v>240</v>
      </c>
      <c r="AH111" s="52">
        <f t="shared" si="15"/>
        <v>60</v>
      </c>
      <c r="AI111" s="53">
        <f t="shared" si="16"/>
        <v>-39.200000000000003</v>
      </c>
    </row>
    <row r="112" spans="1:88" x14ac:dyDescent="0.25">
      <c r="A112" s="110" t="s">
        <v>116</v>
      </c>
      <c r="B112" s="187">
        <v>32</v>
      </c>
      <c r="C112" s="187">
        <v>26.5</v>
      </c>
      <c r="D112" s="187">
        <v>26.3</v>
      </c>
      <c r="E112" s="187">
        <v>26</v>
      </c>
      <c r="F112" s="187">
        <v>30</v>
      </c>
      <c r="G112" s="187">
        <v>28</v>
      </c>
      <c r="H112" s="187">
        <v>33</v>
      </c>
      <c r="I112" s="187">
        <v>33</v>
      </c>
      <c r="J112" s="187">
        <v>33</v>
      </c>
      <c r="K112" s="187">
        <v>33</v>
      </c>
      <c r="L112" s="187">
        <v>46</v>
      </c>
      <c r="M112" s="187">
        <v>41.4</v>
      </c>
      <c r="N112" s="187">
        <v>45.1</v>
      </c>
      <c r="O112" s="187">
        <v>44</v>
      </c>
      <c r="P112" s="188">
        <v>44</v>
      </c>
      <c r="Q112" s="187">
        <v>53.8</v>
      </c>
      <c r="R112" s="187">
        <v>0</v>
      </c>
      <c r="S112" s="188">
        <v>0</v>
      </c>
      <c r="T112" s="188">
        <v>0</v>
      </c>
      <c r="U112" s="188">
        <v>0</v>
      </c>
      <c r="V112" s="188">
        <v>0</v>
      </c>
      <c r="W112" s="187">
        <v>55</v>
      </c>
      <c r="X112" s="187">
        <v>60.7</v>
      </c>
      <c r="Y112" s="187">
        <v>60.6</v>
      </c>
      <c r="Z112" s="187">
        <v>61.2</v>
      </c>
      <c r="AA112" s="187">
        <v>57</v>
      </c>
      <c r="AB112" s="187">
        <v>60</v>
      </c>
      <c r="AC112" s="188">
        <v>58.3</v>
      </c>
      <c r="AD112" s="187">
        <v>57.5</v>
      </c>
      <c r="AE112" s="187"/>
      <c r="AF112" s="187">
        <v>30.6</v>
      </c>
      <c r="AG112" s="121">
        <v>60</v>
      </c>
      <c r="AH112" s="52">
        <f t="shared" si="15"/>
        <v>61.2</v>
      </c>
      <c r="AI112" s="53">
        <f t="shared" si="16"/>
        <v>0</v>
      </c>
    </row>
    <row r="113" spans="1:37" x14ac:dyDescent="0.25">
      <c r="A113" s="123" t="s">
        <v>117</v>
      </c>
      <c r="B113" s="124">
        <v>82.9</v>
      </c>
      <c r="C113" s="124">
        <v>83.5</v>
      </c>
      <c r="D113" s="124">
        <v>84.1</v>
      </c>
      <c r="E113" s="124">
        <v>84</v>
      </c>
      <c r="F113" s="124">
        <v>73</v>
      </c>
      <c r="G113" s="124">
        <v>93</v>
      </c>
      <c r="H113" s="124">
        <v>97</v>
      </c>
      <c r="I113" s="124">
        <v>97</v>
      </c>
      <c r="J113" s="124">
        <v>97</v>
      </c>
      <c r="K113" s="124">
        <v>97</v>
      </c>
      <c r="L113" s="124">
        <v>112</v>
      </c>
      <c r="M113" s="124">
        <v>119</v>
      </c>
      <c r="N113" s="124">
        <v>102.5</v>
      </c>
      <c r="O113" s="124">
        <v>105</v>
      </c>
      <c r="P113" s="124">
        <v>105</v>
      </c>
      <c r="Q113" s="124">
        <v>103.2</v>
      </c>
      <c r="R113" s="124">
        <v>115</v>
      </c>
      <c r="S113" s="124">
        <v>115</v>
      </c>
      <c r="T113" s="124">
        <v>115</v>
      </c>
      <c r="U113" s="124">
        <v>115</v>
      </c>
      <c r="V113" s="124">
        <v>115</v>
      </c>
      <c r="W113" s="124">
        <v>106</v>
      </c>
      <c r="X113" s="124">
        <v>85.9</v>
      </c>
      <c r="Y113" s="124">
        <v>100.2</v>
      </c>
      <c r="Z113" s="124">
        <v>115.6</v>
      </c>
      <c r="AA113" s="124">
        <v>96.4</v>
      </c>
      <c r="AB113" s="124">
        <v>74</v>
      </c>
      <c r="AC113" s="124">
        <v>65.3</v>
      </c>
      <c r="AD113" s="124">
        <v>58.5</v>
      </c>
      <c r="AE113" s="124"/>
      <c r="AF113" s="124">
        <v>66.400000000000006</v>
      </c>
      <c r="AG113" s="125">
        <v>120</v>
      </c>
      <c r="AH113" s="52">
        <f t="shared" si="15"/>
        <v>119</v>
      </c>
      <c r="AI113" s="53">
        <f t="shared" si="16"/>
        <v>58.5</v>
      </c>
    </row>
    <row r="114" spans="1:37" x14ac:dyDescent="0.25">
      <c r="A114" s="123" t="s">
        <v>118</v>
      </c>
      <c r="B114" s="124">
        <v>89.8</v>
      </c>
      <c r="C114" s="124">
        <v>90.1</v>
      </c>
      <c r="D114" s="124">
        <v>85</v>
      </c>
      <c r="E114" s="124">
        <v>91</v>
      </c>
      <c r="F114" s="124">
        <v>81</v>
      </c>
      <c r="G114" s="124">
        <v>100</v>
      </c>
      <c r="H114" s="124">
        <v>97</v>
      </c>
      <c r="I114" s="124">
        <v>97</v>
      </c>
      <c r="J114" s="124">
        <v>97</v>
      </c>
      <c r="K114" s="124">
        <v>97</v>
      </c>
      <c r="L114" s="124">
        <v>96</v>
      </c>
      <c r="M114" s="124">
        <v>80.2</v>
      </c>
      <c r="N114" s="124">
        <v>80.7</v>
      </c>
      <c r="O114" s="124">
        <v>83.1</v>
      </c>
      <c r="P114" s="124">
        <v>83.1</v>
      </c>
      <c r="Q114" s="124">
        <v>97.9</v>
      </c>
      <c r="R114" s="124">
        <v>97.9</v>
      </c>
      <c r="S114" s="124">
        <v>97.9</v>
      </c>
      <c r="T114" s="124">
        <v>97.9</v>
      </c>
      <c r="U114" s="124">
        <v>97.9</v>
      </c>
      <c r="V114" s="124">
        <v>97.9</v>
      </c>
      <c r="W114" s="124">
        <v>87</v>
      </c>
      <c r="X114" s="124">
        <v>93.3</v>
      </c>
      <c r="Y114" s="124">
        <v>100.8</v>
      </c>
      <c r="Z114" s="124">
        <v>102.3</v>
      </c>
      <c r="AA114" s="124">
        <v>57.2</v>
      </c>
      <c r="AB114" s="124">
        <v>80</v>
      </c>
      <c r="AC114" s="124">
        <v>71.3</v>
      </c>
      <c r="AD114" s="124">
        <v>58.3</v>
      </c>
      <c r="AE114" s="124"/>
      <c r="AF114" s="124">
        <v>68</v>
      </c>
      <c r="AG114" s="125"/>
      <c r="AH114" s="52">
        <f t="shared" si="15"/>
        <v>102.3</v>
      </c>
      <c r="AI114" s="53">
        <f t="shared" si="16"/>
        <v>57.2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>
        <v>45.9</v>
      </c>
      <c r="AG115" s="126"/>
      <c r="AH115" s="52">
        <f t="shared" si="15"/>
        <v>45.9</v>
      </c>
      <c r="AI115" s="53">
        <f t="shared" si="16"/>
        <v>45.9</v>
      </c>
    </row>
    <row r="116" spans="1:37" x14ac:dyDescent="0.25">
      <c r="A116" s="127" t="s">
        <v>120</v>
      </c>
      <c r="B116" s="113">
        <v>-12</v>
      </c>
      <c r="C116" s="113">
        <v>-11.5</v>
      </c>
      <c r="D116" s="113">
        <v>-10.5</v>
      </c>
      <c r="E116" s="113">
        <v>-21</v>
      </c>
      <c r="F116" s="113">
        <v>-10</v>
      </c>
      <c r="G116" s="113">
        <v>-23</v>
      </c>
      <c r="H116" s="113">
        <v>-26</v>
      </c>
      <c r="I116" s="113">
        <v>-26</v>
      </c>
      <c r="J116" s="113">
        <v>-26</v>
      </c>
      <c r="K116" s="113">
        <v>-26</v>
      </c>
      <c r="L116" s="113">
        <v>-49</v>
      </c>
      <c r="M116" s="113">
        <v>-45.6</v>
      </c>
      <c r="N116" s="113">
        <v>-42.7</v>
      </c>
      <c r="O116" s="113">
        <v>-46.9</v>
      </c>
      <c r="P116" s="113">
        <v>-46.9</v>
      </c>
      <c r="Q116" s="113">
        <v>-49</v>
      </c>
      <c r="R116" s="113">
        <v>-49</v>
      </c>
      <c r="S116" s="113">
        <v>-49</v>
      </c>
      <c r="T116" s="113">
        <v>-49</v>
      </c>
      <c r="U116" s="113">
        <v>-49</v>
      </c>
      <c r="V116" s="113">
        <v>-49</v>
      </c>
      <c r="W116" s="113">
        <v>-26</v>
      </c>
      <c r="X116" s="113">
        <v>-56.7</v>
      </c>
      <c r="Y116" s="113">
        <v>-61.1</v>
      </c>
      <c r="Z116" s="113">
        <v>-56.7</v>
      </c>
      <c r="AA116" s="113">
        <v>-37.5</v>
      </c>
      <c r="AB116" s="113">
        <v>-33.299999999999997</v>
      </c>
      <c r="AC116" s="113">
        <v>-33</v>
      </c>
      <c r="AD116" s="113">
        <v>-32.4</v>
      </c>
      <c r="AE116" s="113"/>
      <c r="AF116" s="113">
        <v>-21.1</v>
      </c>
      <c r="AG116" s="126"/>
      <c r="AH116" s="52">
        <f t="shared" si="15"/>
        <v>-10</v>
      </c>
      <c r="AI116" s="53">
        <f t="shared" si="16"/>
        <v>-61.1</v>
      </c>
    </row>
    <row r="117" spans="1:37" ht="15.75" thickBot="1" x14ac:dyDescent="0.3">
      <c r="A117" s="127" t="s">
        <v>121</v>
      </c>
      <c r="B117" s="113">
        <v>101.2</v>
      </c>
      <c r="C117" s="113">
        <v>100.7</v>
      </c>
      <c r="D117" s="113">
        <v>99.9</v>
      </c>
      <c r="E117" s="113">
        <v>100</v>
      </c>
      <c r="F117" s="113">
        <v>89</v>
      </c>
      <c r="G117" s="113">
        <v>87</v>
      </c>
      <c r="H117" s="113">
        <v>89</v>
      </c>
      <c r="I117" s="113">
        <v>89</v>
      </c>
      <c r="J117" s="113">
        <v>89</v>
      </c>
      <c r="K117" s="113">
        <v>89</v>
      </c>
      <c r="L117" s="113">
        <v>102</v>
      </c>
      <c r="M117" s="113">
        <v>101.2</v>
      </c>
      <c r="N117" s="113">
        <v>89.8</v>
      </c>
      <c r="O117" s="113">
        <v>100</v>
      </c>
      <c r="P117" s="113">
        <v>100</v>
      </c>
      <c r="Q117" s="113">
        <v>85.5</v>
      </c>
      <c r="R117" s="113">
        <v>85.5</v>
      </c>
      <c r="S117" s="113">
        <v>85.5</v>
      </c>
      <c r="T117" s="113">
        <v>85.5</v>
      </c>
      <c r="U117" s="113">
        <v>85.5</v>
      </c>
      <c r="V117" s="113">
        <v>85.5</v>
      </c>
      <c r="W117" s="113">
        <v>104</v>
      </c>
      <c r="X117" s="113">
        <v>106.8</v>
      </c>
      <c r="Y117" s="113">
        <v>102.8</v>
      </c>
      <c r="Z117" s="113">
        <v>104.4</v>
      </c>
      <c r="AA117" s="113">
        <v>102.8</v>
      </c>
      <c r="AB117" s="113">
        <v>100.9</v>
      </c>
      <c r="AC117" s="113">
        <v>100.8</v>
      </c>
      <c r="AD117" s="113">
        <v>100.7</v>
      </c>
      <c r="AE117" s="113"/>
      <c r="AF117" s="113">
        <v>114.2</v>
      </c>
      <c r="AG117" s="126"/>
      <c r="AH117" s="52">
        <f t="shared" si="15"/>
        <v>114.2</v>
      </c>
      <c r="AI117" s="53">
        <f t="shared" si="16"/>
        <v>85.5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9">SUM(B119:B223)</f>
        <v>0</v>
      </c>
      <c r="C224" s="144">
        <f t="shared" si="29"/>
        <v>0</v>
      </c>
      <c r="D224" s="144">
        <f t="shared" si="29"/>
        <v>0</v>
      </c>
      <c r="E224" s="144">
        <f t="shared" si="29"/>
        <v>0</v>
      </c>
      <c r="F224" s="144">
        <f t="shared" si="29"/>
        <v>0</v>
      </c>
      <c r="G224" s="144">
        <f t="shared" si="29"/>
        <v>0</v>
      </c>
      <c r="H224" s="144">
        <f t="shared" si="29"/>
        <v>0</v>
      </c>
      <c r="I224" s="144">
        <f t="shared" si="29"/>
        <v>0</v>
      </c>
      <c r="J224" s="144">
        <f t="shared" si="29"/>
        <v>0</v>
      </c>
      <c r="K224" s="144">
        <f t="shared" si="29"/>
        <v>0</v>
      </c>
      <c r="L224" s="144">
        <f t="shared" si="29"/>
        <v>0</v>
      </c>
      <c r="M224" s="144">
        <f t="shared" si="29"/>
        <v>0</v>
      </c>
      <c r="N224" s="144">
        <f t="shared" si="29"/>
        <v>0</v>
      </c>
      <c r="O224" s="144">
        <f t="shared" si="29"/>
        <v>0</v>
      </c>
      <c r="P224" s="144">
        <f t="shared" si="29"/>
        <v>0</v>
      </c>
      <c r="Q224" s="144">
        <f t="shared" si="29"/>
        <v>0</v>
      </c>
      <c r="R224" s="144">
        <f t="shared" si="29"/>
        <v>0</v>
      </c>
      <c r="S224" s="144">
        <f t="shared" si="29"/>
        <v>0</v>
      </c>
      <c r="T224" s="144">
        <f t="shared" si="29"/>
        <v>0</v>
      </c>
      <c r="U224" s="144">
        <f t="shared" si="29"/>
        <v>0</v>
      </c>
      <c r="V224" s="144">
        <f t="shared" si="29"/>
        <v>0</v>
      </c>
      <c r="W224" s="144">
        <f t="shared" si="29"/>
        <v>0</v>
      </c>
      <c r="X224" s="144">
        <f t="shared" si="29"/>
        <v>0</v>
      </c>
      <c r="Y224" s="144">
        <f t="shared" si="29"/>
        <v>0</v>
      </c>
      <c r="Z224" s="144">
        <f t="shared" si="29"/>
        <v>0</v>
      </c>
      <c r="AA224" s="144">
        <f t="shared" si="29"/>
        <v>0</v>
      </c>
      <c r="AB224" s="144">
        <f t="shared" si="29"/>
        <v>0</v>
      </c>
      <c r="AC224" s="144">
        <f t="shared" si="29"/>
        <v>0</v>
      </c>
      <c r="AD224" s="144">
        <f t="shared" si="29"/>
        <v>0</v>
      </c>
      <c r="AE224" s="144">
        <f t="shared" si="29"/>
        <v>0</v>
      </c>
      <c r="AF224" s="145">
        <f t="shared" si="29"/>
        <v>0</v>
      </c>
      <c r="AG224" s="146">
        <f t="shared" si="29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30">AF226</f>
        <v>0</v>
      </c>
      <c r="C226" s="149">
        <v>0.3</v>
      </c>
      <c r="D226" s="149">
        <f t="shared" ref="D226:P231" si="31">C226</f>
        <v>0.3</v>
      </c>
      <c r="E226" s="149">
        <f t="shared" si="31"/>
        <v>0.3</v>
      </c>
      <c r="F226" s="149">
        <f t="shared" si="31"/>
        <v>0.3</v>
      </c>
      <c r="G226" s="149">
        <f t="shared" si="31"/>
        <v>0.3</v>
      </c>
      <c r="H226" s="149">
        <f t="shared" si="31"/>
        <v>0.3</v>
      </c>
      <c r="I226" s="149">
        <f t="shared" si="31"/>
        <v>0.3</v>
      </c>
      <c r="J226" s="149">
        <f t="shared" si="31"/>
        <v>0.3</v>
      </c>
      <c r="K226" s="149">
        <f t="shared" si="31"/>
        <v>0.3</v>
      </c>
      <c r="L226" s="149">
        <f t="shared" si="31"/>
        <v>0.3</v>
      </c>
      <c r="M226" s="149">
        <f t="shared" si="31"/>
        <v>0.3</v>
      </c>
      <c r="N226" s="149">
        <f t="shared" si="31"/>
        <v>0.3</v>
      </c>
      <c r="O226" s="149">
        <f t="shared" si="31"/>
        <v>0.3</v>
      </c>
      <c r="P226" s="149">
        <f t="shared" si="31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30"/>
        <v>0</v>
      </c>
      <c r="C227" s="136">
        <v>0.4</v>
      </c>
      <c r="D227" s="136">
        <f t="shared" si="31"/>
        <v>0.4</v>
      </c>
      <c r="E227" s="136">
        <f t="shared" si="31"/>
        <v>0.4</v>
      </c>
      <c r="F227" s="136">
        <f t="shared" si="31"/>
        <v>0.4</v>
      </c>
      <c r="G227" s="136">
        <f t="shared" si="31"/>
        <v>0.4</v>
      </c>
      <c r="H227" s="136">
        <f t="shared" si="31"/>
        <v>0.4</v>
      </c>
      <c r="I227" s="136">
        <f t="shared" si="31"/>
        <v>0.4</v>
      </c>
      <c r="J227" s="136">
        <f t="shared" si="31"/>
        <v>0.4</v>
      </c>
      <c r="K227" s="136">
        <f t="shared" si="31"/>
        <v>0.4</v>
      </c>
      <c r="L227" s="136">
        <f t="shared" si="31"/>
        <v>0.4</v>
      </c>
      <c r="M227" s="136">
        <f t="shared" si="31"/>
        <v>0.4</v>
      </c>
      <c r="N227" s="136">
        <f t="shared" si="31"/>
        <v>0.4</v>
      </c>
      <c r="O227" s="136">
        <f t="shared" si="31"/>
        <v>0.4</v>
      </c>
      <c r="P227" s="136">
        <f t="shared" si="31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30"/>
        <v>0</v>
      </c>
      <c r="C228" s="136">
        <v>1.5</v>
      </c>
      <c r="D228" s="136">
        <f t="shared" si="31"/>
        <v>1.5</v>
      </c>
      <c r="E228" s="136">
        <f t="shared" si="31"/>
        <v>1.5</v>
      </c>
      <c r="F228" s="136">
        <f t="shared" si="31"/>
        <v>1.5</v>
      </c>
      <c r="G228" s="136">
        <f t="shared" si="31"/>
        <v>1.5</v>
      </c>
      <c r="H228" s="136">
        <f t="shared" si="31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31"/>
        <v>1.5</v>
      </c>
      <c r="K228" s="136">
        <f t="shared" ca="1" si="31"/>
        <v>1.5</v>
      </c>
      <c r="L228" s="136">
        <f t="shared" ca="1" si="31"/>
        <v>1.5</v>
      </c>
      <c r="M228" s="136">
        <f t="shared" ca="1" si="31"/>
        <v>1.5</v>
      </c>
      <c r="N228" s="136">
        <f t="shared" ca="1" si="31"/>
        <v>1.5</v>
      </c>
      <c r="O228" s="136">
        <f t="shared" ca="1" si="31"/>
        <v>1.5</v>
      </c>
      <c r="P228" s="136">
        <f t="shared" ca="1" si="31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30"/>
        <v>0</v>
      </c>
      <c r="C229" s="136">
        <v>0.3</v>
      </c>
      <c r="D229" s="136">
        <f t="shared" si="31"/>
        <v>0.3</v>
      </c>
      <c r="E229" s="136">
        <f t="shared" si="31"/>
        <v>0.3</v>
      </c>
      <c r="F229" s="136">
        <f t="shared" si="31"/>
        <v>0.3</v>
      </c>
      <c r="G229" s="136">
        <f t="shared" si="31"/>
        <v>0.3</v>
      </c>
      <c r="H229" s="136">
        <f t="shared" si="31"/>
        <v>0.3</v>
      </c>
      <c r="I229" s="136">
        <f t="shared" si="31"/>
        <v>0.3</v>
      </c>
      <c r="J229" s="136">
        <f t="shared" si="31"/>
        <v>0.3</v>
      </c>
      <c r="K229" s="136">
        <f t="shared" si="31"/>
        <v>0.3</v>
      </c>
      <c r="L229" s="136">
        <f t="shared" si="31"/>
        <v>0.3</v>
      </c>
      <c r="M229" s="136">
        <f t="shared" si="31"/>
        <v>0.3</v>
      </c>
      <c r="N229" s="136">
        <f t="shared" si="31"/>
        <v>0.3</v>
      </c>
      <c r="O229" s="136">
        <f t="shared" si="31"/>
        <v>0.3</v>
      </c>
      <c r="P229" s="136">
        <f t="shared" si="31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30"/>
        <v>0</v>
      </c>
      <c r="C230" s="136">
        <v>0.4</v>
      </c>
      <c r="D230" s="136">
        <f t="shared" si="31"/>
        <v>0.4</v>
      </c>
      <c r="E230" s="136">
        <f t="shared" si="31"/>
        <v>0.4</v>
      </c>
      <c r="F230" s="136">
        <f t="shared" si="31"/>
        <v>0.4</v>
      </c>
      <c r="G230" s="136">
        <f t="shared" si="31"/>
        <v>0.4</v>
      </c>
      <c r="H230" s="136">
        <f t="shared" si="31"/>
        <v>0.4</v>
      </c>
      <c r="I230" s="136">
        <f t="shared" si="31"/>
        <v>0.4</v>
      </c>
      <c r="J230" s="136">
        <f t="shared" si="31"/>
        <v>0.4</v>
      </c>
      <c r="K230" s="136">
        <f t="shared" si="31"/>
        <v>0.4</v>
      </c>
      <c r="L230" s="136">
        <f t="shared" si="31"/>
        <v>0.4</v>
      </c>
      <c r="M230" s="136">
        <f t="shared" si="31"/>
        <v>0.4</v>
      </c>
      <c r="N230" s="136">
        <f t="shared" si="31"/>
        <v>0.4</v>
      </c>
      <c r="O230" s="136">
        <f t="shared" si="31"/>
        <v>0.4</v>
      </c>
      <c r="P230" s="136">
        <f t="shared" si="31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30"/>
        <v>0</v>
      </c>
      <c r="C231" s="140">
        <v>0.64</v>
      </c>
      <c r="D231" s="140">
        <f t="shared" si="31"/>
        <v>0.64</v>
      </c>
      <c r="E231" s="140">
        <f t="shared" si="31"/>
        <v>0.64</v>
      </c>
      <c r="F231" s="140">
        <f t="shared" si="31"/>
        <v>0.64</v>
      </c>
      <c r="G231" s="140">
        <f t="shared" si="31"/>
        <v>0.64</v>
      </c>
      <c r="H231" s="140">
        <f t="shared" si="31"/>
        <v>0.64</v>
      </c>
      <c r="I231" s="140">
        <f t="shared" si="31"/>
        <v>0.64</v>
      </c>
      <c r="J231" s="140">
        <f t="shared" si="31"/>
        <v>0.64</v>
      </c>
      <c r="K231" s="140">
        <f t="shared" si="31"/>
        <v>0.64</v>
      </c>
      <c r="L231" s="140">
        <f t="shared" si="31"/>
        <v>0.64</v>
      </c>
      <c r="M231" s="140">
        <f t="shared" si="31"/>
        <v>0.64</v>
      </c>
      <c r="N231" s="140">
        <f t="shared" si="31"/>
        <v>0.64</v>
      </c>
      <c r="O231" s="140">
        <f t="shared" si="31"/>
        <v>0.64</v>
      </c>
      <c r="P231" s="140">
        <f t="shared" si="31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32">SUM(B226:B231)</f>
        <v>0</v>
      </c>
      <c r="C232" s="144">
        <f t="shared" si="32"/>
        <v>3.54</v>
      </c>
      <c r="D232" s="144">
        <f t="shared" si="32"/>
        <v>3.54</v>
      </c>
      <c r="E232" s="144">
        <f t="shared" si="32"/>
        <v>3.54</v>
      </c>
      <c r="F232" s="144">
        <f t="shared" si="32"/>
        <v>3.54</v>
      </c>
      <c r="G232" s="144">
        <f t="shared" si="32"/>
        <v>3.54</v>
      </c>
      <c r="H232" s="144">
        <f t="shared" si="32"/>
        <v>3.54</v>
      </c>
      <c r="I232" s="144">
        <f t="shared" ca="1" si="32"/>
        <v>3.54</v>
      </c>
      <c r="J232" s="144">
        <f t="shared" ca="1" si="32"/>
        <v>3.54</v>
      </c>
      <c r="K232" s="144">
        <f t="shared" ca="1" si="32"/>
        <v>3.54</v>
      </c>
      <c r="L232" s="144">
        <f t="shared" ca="1" si="32"/>
        <v>3.54</v>
      </c>
      <c r="M232" s="144">
        <f t="shared" ca="1" si="32"/>
        <v>3.54</v>
      </c>
      <c r="N232" s="144">
        <f t="shared" ca="1" si="32"/>
        <v>3.54</v>
      </c>
      <c r="O232" s="144">
        <f t="shared" ca="1" si="32"/>
        <v>3.54</v>
      </c>
      <c r="P232" s="144">
        <f t="shared" ca="1" si="32"/>
        <v>3.54</v>
      </c>
      <c r="Q232" s="144">
        <f t="shared" si="32"/>
        <v>0</v>
      </c>
      <c r="R232" s="144">
        <f t="shared" si="32"/>
        <v>0</v>
      </c>
      <c r="S232" s="144">
        <f t="shared" si="32"/>
        <v>0</v>
      </c>
      <c r="T232" s="144">
        <f t="shared" si="32"/>
        <v>0</v>
      </c>
      <c r="U232" s="144">
        <f t="shared" si="32"/>
        <v>0</v>
      </c>
      <c r="V232" s="144">
        <f t="shared" si="32"/>
        <v>0</v>
      </c>
      <c r="W232" s="144">
        <f t="shared" si="32"/>
        <v>0</v>
      </c>
      <c r="X232" s="144">
        <f t="shared" si="32"/>
        <v>0</v>
      </c>
      <c r="Y232" s="144">
        <f t="shared" si="32"/>
        <v>0</v>
      </c>
      <c r="Z232" s="144">
        <f t="shared" si="32"/>
        <v>0</v>
      </c>
      <c r="AA232" s="144">
        <f t="shared" si="32"/>
        <v>0</v>
      </c>
      <c r="AB232" s="144">
        <f t="shared" si="32"/>
        <v>0</v>
      </c>
      <c r="AC232" s="144">
        <f t="shared" si="32"/>
        <v>0</v>
      </c>
      <c r="AD232" s="144">
        <f t="shared" si="32"/>
        <v>0</v>
      </c>
      <c r="AE232" s="144">
        <f t="shared" si="32"/>
        <v>0</v>
      </c>
      <c r="AF232" s="144">
        <f t="shared" si="32"/>
        <v>0</v>
      </c>
      <c r="AG232" s="154">
        <f t="shared" si="32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1521.6399999999999</v>
      </c>
      <c r="C241" s="170">
        <f>INDEX(G9:N9,1,MATCH(MAX(G89:N89),G89:N89,0))</f>
        <v>0.3125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29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2079/12/29)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2079/12/29)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3">B89</f>
        <v>1283.94</v>
      </c>
      <c r="U246" s="180">
        <f t="shared" si="33"/>
        <v>1270.6399999999999</v>
      </c>
      <c r="V246" s="180">
        <f t="shared" si="33"/>
        <v>1142.04</v>
      </c>
      <c r="W246" s="180">
        <f t="shared" si="33"/>
        <v>1146.54</v>
      </c>
      <c r="X246" s="180">
        <f t="shared" si="33"/>
        <v>1115.24</v>
      </c>
      <c r="Y246" s="180">
        <f t="shared" si="33"/>
        <v>1121.24</v>
      </c>
      <c r="Z246" s="180">
        <f t="shared" si="33"/>
        <v>1179.74</v>
      </c>
      <c r="AA246" s="180">
        <f t="shared" si="33"/>
        <v>1122.74</v>
      </c>
      <c r="AB246" s="180">
        <f t="shared" si="33"/>
        <v>1292.74</v>
      </c>
      <c r="AC246" s="180">
        <f t="shared" si="33"/>
        <v>1381.74</v>
      </c>
      <c r="AD246" s="180">
        <f t="shared" si="33"/>
        <v>1521.6399999999999</v>
      </c>
      <c r="AE246" s="180">
        <f t="shared" si="33"/>
        <v>1346.2399999999998</v>
      </c>
      <c r="AF246" s="180">
        <f t="shared" si="33"/>
        <v>1330.44</v>
      </c>
      <c r="AG246" s="180">
        <f t="shared" si="33"/>
        <v>1372.54</v>
      </c>
      <c r="AH246" s="180">
        <f t="shared" si="33"/>
        <v>1202.54</v>
      </c>
      <c r="AI246" s="180">
        <f t="shared" si="33"/>
        <v>1265.8400000000001</v>
      </c>
      <c r="AJ246" s="180">
        <f t="shared" si="33"/>
        <v>1414.2400000000002</v>
      </c>
      <c r="AK246" s="180">
        <f t="shared" si="33"/>
        <v>1316.2400000000002</v>
      </c>
      <c r="AL246" s="180">
        <f t="shared" si="33"/>
        <v>1309.6400000000001</v>
      </c>
      <c r="AM246" s="180">
        <f t="shared" si="33"/>
        <v>1305.94</v>
      </c>
      <c r="AN246" s="180">
        <f t="shared" si="33"/>
        <v>1337.94</v>
      </c>
      <c r="AO246" s="180">
        <f t="shared" si="33"/>
        <v>1354.94</v>
      </c>
      <c r="AP246" s="180">
        <f t="shared" si="33"/>
        <v>1186.44</v>
      </c>
      <c r="AQ246" s="180">
        <f t="shared" si="33"/>
        <v>1427.74</v>
      </c>
      <c r="AR246" s="180">
        <f t="shared" si="33"/>
        <v>1461.84</v>
      </c>
      <c r="AS246" s="180">
        <f t="shared" si="33"/>
        <v>1457.24</v>
      </c>
      <c r="AT246" s="180">
        <f t="shared" si="33"/>
        <v>1535.18</v>
      </c>
      <c r="AU246" s="180">
        <f t="shared" si="33"/>
        <v>1499.3799999999999</v>
      </c>
      <c r="AV246" s="180">
        <f t="shared" si="33"/>
        <v>1483.6399999999999</v>
      </c>
      <c r="AW246" s="180">
        <f t="shared" si="33"/>
        <v>1437.94</v>
      </c>
      <c r="AX246" s="180">
        <f t="shared" si="33"/>
        <v>1359.94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4">C231</f>
        <v>0.64</v>
      </c>
      <c r="C267" s="183">
        <f t="shared" si="34"/>
        <v>0.64</v>
      </c>
      <c r="D267" s="183">
        <f t="shared" si="34"/>
        <v>0.64</v>
      </c>
      <c r="E267" s="183">
        <f t="shared" si="34"/>
        <v>0.64</v>
      </c>
      <c r="F267" s="183">
        <f t="shared" si="34"/>
        <v>0.64</v>
      </c>
      <c r="G267" s="183">
        <f t="shared" si="34"/>
        <v>0.64</v>
      </c>
      <c r="H267" s="183">
        <f t="shared" si="34"/>
        <v>0.64</v>
      </c>
      <c r="I267" s="183">
        <f t="shared" si="34"/>
        <v>0.64</v>
      </c>
      <c r="J267" s="183">
        <f t="shared" si="34"/>
        <v>0.64</v>
      </c>
      <c r="K267" s="183">
        <f t="shared" si="34"/>
        <v>0.64</v>
      </c>
      <c r="L267" s="183">
        <f t="shared" si="34"/>
        <v>0.64</v>
      </c>
      <c r="M267" s="183">
        <f t="shared" si="34"/>
        <v>0.64</v>
      </c>
      <c r="N267" s="183">
        <f t="shared" si="34"/>
        <v>0.64</v>
      </c>
      <c r="O267" s="183">
        <f t="shared" si="34"/>
        <v>0.64</v>
      </c>
      <c r="P267" s="183">
        <f t="shared" si="34"/>
        <v>0</v>
      </c>
      <c r="Q267" s="183">
        <f t="shared" si="34"/>
        <v>0</v>
      </c>
      <c r="R267" s="183">
        <f t="shared" si="34"/>
        <v>0</v>
      </c>
      <c r="S267" s="183">
        <f t="shared" si="34"/>
        <v>0</v>
      </c>
      <c r="T267" s="183">
        <f t="shared" si="34"/>
        <v>0</v>
      </c>
      <c r="U267" s="183">
        <f t="shared" si="34"/>
        <v>0</v>
      </c>
      <c r="V267" s="183">
        <f t="shared" si="34"/>
        <v>0</v>
      </c>
      <c r="W267" s="183">
        <f t="shared" si="34"/>
        <v>0</v>
      </c>
      <c r="X267" s="183">
        <f t="shared" si="34"/>
        <v>0</v>
      </c>
      <c r="Y267" s="183">
        <f t="shared" si="34"/>
        <v>0</v>
      </c>
      <c r="Z267" s="183">
        <f t="shared" si="34"/>
        <v>0</v>
      </c>
      <c r="AA267" s="183">
        <f t="shared" si="34"/>
        <v>0</v>
      </c>
      <c r="AB267" s="183">
        <f t="shared" si="34"/>
        <v>0</v>
      </c>
      <c r="AC267" s="183">
        <f t="shared" si="34"/>
        <v>0</v>
      </c>
      <c r="AD267" s="183">
        <f t="shared" si="34"/>
        <v>0</v>
      </c>
      <c r="AE267" s="183">
        <f t="shared" si="34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5">IF(B235&lt;100,"",B235-520)</f>
        <v/>
      </c>
      <c r="C268" s="184" t="str">
        <f t="shared" si="35"/>
        <v/>
      </c>
      <c r="D268" s="184" t="str">
        <f t="shared" si="35"/>
        <v/>
      </c>
      <c r="E268" s="184" t="str">
        <f t="shared" si="35"/>
        <v/>
      </c>
      <c r="F268" s="184" t="str">
        <f t="shared" si="35"/>
        <v/>
      </c>
      <c r="G268" s="184" t="str">
        <f t="shared" si="35"/>
        <v/>
      </c>
      <c r="H268" s="184" t="str">
        <f t="shared" si="35"/>
        <v/>
      </c>
      <c r="I268" s="184" t="str">
        <f t="shared" si="35"/>
        <v/>
      </c>
      <c r="J268" s="184" t="str">
        <f t="shared" si="35"/>
        <v/>
      </c>
      <c r="K268" s="184" t="str">
        <f t="shared" si="35"/>
        <v/>
      </c>
      <c r="L268" s="184" t="str">
        <f t="shared" si="35"/>
        <v/>
      </c>
      <c r="M268" s="184" t="str">
        <f t="shared" si="35"/>
        <v/>
      </c>
      <c r="N268" s="184" t="str">
        <f t="shared" si="35"/>
        <v/>
      </c>
      <c r="O268" s="184" t="str">
        <f t="shared" si="35"/>
        <v/>
      </c>
      <c r="P268" s="184" t="str">
        <f t="shared" si="35"/>
        <v/>
      </c>
      <c r="Q268" s="184" t="str">
        <f t="shared" si="35"/>
        <v/>
      </c>
      <c r="R268" s="184" t="str">
        <f t="shared" si="35"/>
        <v/>
      </c>
      <c r="S268" s="184" t="str">
        <f t="shared" si="35"/>
        <v/>
      </c>
      <c r="T268" s="184" t="str">
        <f t="shared" si="35"/>
        <v/>
      </c>
      <c r="U268" s="184" t="str">
        <f t="shared" si="35"/>
        <v/>
      </c>
      <c r="V268" s="184" t="str">
        <f t="shared" si="35"/>
        <v/>
      </c>
      <c r="W268" s="184" t="str">
        <f t="shared" si="35"/>
        <v/>
      </c>
      <c r="X268" s="184" t="str">
        <f t="shared" si="35"/>
        <v/>
      </c>
      <c r="Y268" s="184" t="str">
        <f t="shared" si="35"/>
        <v/>
      </c>
      <c r="Z268" s="184" t="str">
        <f t="shared" si="35"/>
        <v/>
      </c>
      <c r="AA268" s="184" t="str">
        <f t="shared" si="35"/>
        <v/>
      </c>
      <c r="AB268" s="184" t="str">
        <f t="shared" si="35"/>
        <v/>
      </c>
      <c r="AC268" s="184" t="str">
        <f t="shared" si="35"/>
        <v/>
      </c>
      <c r="AD268" s="184" t="str">
        <f t="shared" si="35"/>
        <v/>
      </c>
      <c r="AE268" s="184" t="str">
        <f t="shared" si="35"/>
        <v/>
      </c>
      <c r="AF268" s="184" t="str">
        <f t="shared" si="35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6">IF(B236&lt;100,"",B236-620)</f>
        <v/>
      </c>
      <c r="C269" s="184" t="str">
        <f t="shared" si="36"/>
        <v/>
      </c>
      <c r="D269" s="184" t="str">
        <f t="shared" si="36"/>
        <v/>
      </c>
      <c r="E269" s="184" t="str">
        <f t="shared" si="36"/>
        <v/>
      </c>
      <c r="F269" s="184" t="str">
        <f t="shared" si="36"/>
        <v/>
      </c>
      <c r="G269" s="184" t="str">
        <f t="shared" si="36"/>
        <v/>
      </c>
      <c r="H269" s="184" t="str">
        <f t="shared" si="36"/>
        <v/>
      </c>
      <c r="I269" s="184" t="str">
        <f t="shared" si="36"/>
        <v/>
      </c>
      <c r="J269" s="184" t="str">
        <f t="shared" si="36"/>
        <v/>
      </c>
      <c r="K269" s="184" t="str">
        <f t="shared" si="36"/>
        <v/>
      </c>
      <c r="L269" s="184" t="str">
        <f t="shared" si="36"/>
        <v/>
      </c>
      <c r="M269" s="184" t="str">
        <f t="shared" si="36"/>
        <v/>
      </c>
      <c r="N269" s="184" t="str">
        <f t="shared" si="36"/>
        <v/>
      </c>
      <c r="O269" s="184" t="str">
        <f t="shared" si="36"/>
        <v/>
      </c>
      <c r="P269" s="184" t="str">
        <f t="shared" si="36"/>
        <v/>
      </c>
      <c r="Q269" s="184" t="str">
        <f t="shared" si="36"/>
        <v/>
      </c>
      <c r="R269" s="184" t="str">
        <f t="shared" si="36"/>
        <v/>
      </c>
      <c r="S269" s="184" t="str">
        <f t="shared" si="36"/>
        <v/>
      </c>
      <c r="T269" s="184" t="str">
        <f t="shared" si="36"/>
        <v/>
      </c>
      <c r="U269" s="184" t="str">
        <f t="shared" si="36"/>
        <v/>
      </c>
      <c r="V269" s="184" t="str">
        <f t="shared" si="36"/>
        <v/>
      </c>
      <c r="W269" s="184" t="str">
        <f t="shared" si="36"/>
        <v/>
      </c>
      <c r="X269" s="184" t="str">
        <f t="shared" si="36"/>
        <v/>
      </c>
      <c r="Y269" s="184" t="str">
        <f t="shared" si="36"/>
        <v/>
      </c>
      <c r="Z269" s="184" t="str">
        <f t="shared" si="36"/>
        <v/>
      </c>
      <c r="AA269" s="184" t="str">
        <f t="shared" si="36"/>
        <v/>
      </c>
      <c r="AB269" s="184" t="str">
        <f t="shared" si="36"/>
        <v/>
      </c>
      <c r="AC269" s="184" t="str">
        <f t="shared" si="36"/>
        <v/>
      </c>
      <c r="AD269" s="184" t="str">
        <f t="shared" si="36"/>
        <v/>
      </c>
      <c r="AE269" s="184" t="str">
        <f t="shared" si="36"/>
        <v/>
      </c>
      <c r="AF269" s="184" t="str">
        <f t="shared" si="36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7">IF(B237&lt;100,"",B237-330)</f>
        <v/>
      </c>
      <c r="C270" s="184" t="str">
        <f t="shared" si="37"/>
        <v/>
      </c>
      <c r="D270" s="184" t="str">
        <f t="shared" si="37"/>
        <v/>
      </c>
      <c r="E270" s="184" t="str">
        <f t="shared" si="37"/>
        <v/>
      </c>
      <c r="F270" s="184" t="str">
        <f t="shared" si="37"/>
        <v/>
      </c>
      <c r="G270" s="184" t="str">
        <f t="shared" si="37"/>
        <v/>
      </c>
      <c r="H270" s="184" t="str">
        <f t="shared" si="37"/>
        <v/>
      </c>
      <c r="I270" s="184" t="str">
        <f t="shared" si="37"/>
        <v/>
      </c>
      <c r="J270" s="184" t="str">
        <f t="shared" si="37"/>
        <v/>
      </c>
      <c r="K270" s="184" t="str">
        <f t="shared" si="37"/>
        <v/>
      </c>
      <c r="L270" s="184" t="str">
        <f t="shared" si="37"/>
        <v/>
      </c>
      <c r="M270" s="184" t="str">
        <f t="shared" si="37"/>
        <v/>
      </c>
      <c r="N270" s="184" t="str">
        <f t="shared" si="37"/>
        <v/>
      </c>
      <c r="O270" s="184" t="str">
        <f t="shared" si="37"/>
        <v/>
      </c>
      <c r="P270" s="184" t="str">
        <f t="shared" si="37"/>
        <v/>
      </c>
      <c r="Q270" s="184" t="str">
        <f t="shared" si="37"/>
        <v/>
      </c>
      <c r="R270" s="184" t="str">
        <f t="shared" si="37"/>
        <v/>
      </c>
      <c r="S270" s="184" t="str">
        <f t="shared" si="37"/>
        <v/>
      </c>
      <c r="T270" s="184" t="str">
        <f t="shared" si="37"/>
        <v/>
      </c>
      <c r="U270" s="184" t="str">
        <f t="shared" si="37"/>
        <v/>
      </c>
      <c r="V270" s="184" t="str">
        <f t="shared" si="37"/>
        <v/>
      </c>
      <c r="W270" s="184" t="str">
        <f t="shared" si="37"/>
        <v/>
      </c>
      <c r="X270" s="184" t="str">
        <f t="shared" si="37"/>
        <v/>
      </c>
      <c r="Y270" s="184" t="str">
        <f t="shared" si="37"/>
        <v/>
      </c>
      <c r="Z270" s="184" t="str">
        <f t="shared" si="37"/>
        <v/>
      </c>
      <c r="AA270" s="184" t="str">
        <f t="shared" si="37"/>
        <v/>
      </c>
      <c r="AB270" s="184" t="str">
        <f t="shared" si="37"/>
        <v/>
      </c>
      <c r="AC270" s="184" t="str">
        <f t="shared" si="37"/>
        <v/>
      </c>
      <c r="AD270" s="184" t="str">
        <f t="shared" si="37"/>
        <v/>
      </c>
      <c r="AE270" s="184" t="str">
        <f t="shared" si="37"/>
        <v/>
      </c>
      <c r="AF270" s="184" t="str">
        <f t="shared" si="37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8">IF(B238&lt;100,"",B238-1500)</f>
        <v/>
      </c>
      <c r="C271" s="184" t="str">
        <f t="shared" si="38"/>
        <v/>
      </c>
      <c r="D271" s="184" t="str">
        <f t="shared" si="38"/>
        <v/>
      </c>
      <c r="E271" s="184" t="str">
        <f t="shared" si="38"/>
        <v/>
      </c>
      <c r="F271" s="184" t="str">
        <f t="shared" si="38"/>
        <v/>
      </c>
      <c r="G271" s="184" t="str">
        <f t="shared" si="38"/>
        <v/>
      </c>
      <c r="H271" s="184" t="str">
        <f t="shared" si="38"/>
        <v/>
      </c>
      <c r="I271" s="184" t="str">
        <f t="shared" si="38"/>
        <v/>
      </c>
      <c r="J271" s="184" t="str">
        <f t="shared" si="38"/>
        <v/>
      </c>
      <c r="K271" s="184" t="str">
        <f t="shared" si="38"/>
        <v/>
      </c>
      <c r="L271" s="184" t="str">
        <f t="shared" si="38"/>
        <v/>
      </c>
      <c r="M271" s="184" t="str">
        <f t="shared" si="38"/>
        <v/>
      </c>
      <c r="N271" s="184" t="str">
        <f t="shared" si="38"/>
        <v/>
      </c>
      <c r="O271" s="184" t="str">
        <f t="shared" si="38"/>
        <v/>
      </c>
      <c r="P271" s="184" t="str">
        <f t="shared" si="38"/>
        <v/>
      </c>
      <c r="Q271" s="184" t="str">
        <f t="shared" si="38"/>
        <v/>
      </c>
      <c r="R271" s="184" t="str">
        <f t="shared" si="38"/>
        <v/>
      </c>
      <c r="S271" s="184" t="str">
        <f t="shared" si="38"/>
        <v/>
      </c>
      <c r="T271" s="184" t="str">
        <f t="shared" si="38"/>
        <v/>
      </c>
      <c r="U271" s="184" t="str">
        <f t="shared" si="38"/>
        <v/>
      </c>
      <c r="V271" s="184" t="str">
        <f t="shared" si="38"/>
        <v/>
      </c>
      <c r="W271" s="184" t="str">
        <f t="shared" si="38"/>
        <v/>
      </c>
      <c r="X271" s="184" t="str">
        <f t="shared" si="38"/>
        <v/>
      </c>
      <c r="Y271" s="184" t="str">
        <f t="shared" si="38"/>
        <v/>
      </c>
      <c r="Z271" s="184" t="str">
        <f t="shared" si="38"/>
        <v/>
      </c>
      <c r="AA271" s="184" t="str">
        <f t="shared" si="38"/>
        <v/>
      </c>
      <c r="AB271" s="184" t="str">
        <f t="shared" si="38"/>
        <v/>
      </c>
      <c r="AC271" s="184" t="str">
        <f t="shared" si="38"/>
        <v/>
      </c>
      <c r="AD271" s="184" t="str">
        <f t="shared" si="38"/>
        <v/>
      </c>
      <c r="AE271" s="184" t="str">
        <f t="shared" si="38"/>
        <v/>
      </c>
      <c r="AF271" s="184" t="str">
        <f t="shared" si="38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59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97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11:AF116 D109:AF109">
    <cfRule type="expression" dxfId="1512" priority="593">
      <formula>B$9&gt;=20/24</formula>
    </cfRule>
    <cfRule type="expression" dxfId="1511" priority="594">
      <formula>AND(B$9&gt;=14/24,B$9&lt;20/24)</formula>
    </cfRule>
    <cfRule type="expression" dxfId="1510" priority="595">
      <formula>AND(B$9&gt;=8/24,B$9&lt;14/24)</formula>
    </cfRule>
    <cfRule type="expression" dxfId="1509" priority="596">
      <formula>B$9&lt;8/24</formula>
    </cfRule>
  </conditionalFormatting>
  <conditionalFormatting sqref="AL4:AL6">
    <cfRule type="iconSet" priority="592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508" priority="591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507" priority="590">
      <formula>$AH12=0</formula>
    </cfRule>
  </conditionalFormatting>
  <conditionalFormatting sqref="A114">
    <cfRule type="expression" dxfId="1506" priority="589">
      <formula>$AH114=0</formula>
    </cfRule>
  </conditionalFormatting>
  <conditionalFormatting sqref="AL42">
    <cfRule type="iconSet" priority="588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505" priority="587">
      <formula>$AH45=0</formula>
    </cfRule>
  </conditionalFormatting>
  <conditionalFormatting sqref="A98">
    <cfRule type="expression" dxfId="1504" priority="586">
      <formula>$AH98=0</formula>
    </cfRule>
  </conditionalFormatting>
  <conditionalFormatting sqref="A18">
    <cfRule type="expression" dxfId="1503" priority="585">
      <formula>$AH18=0</formula>
    </cfRule>
  </conditionalFormatting>
  <conditionalFormatting sqref="A196:A201">
    <cfRule type="expression" dxfId="1502" priority="584">
      <formula>$AH196=0</formula>
    </cfRule>
  </conditionalFormatting>
  <conditionalFormatting sqref="A190:A195">
    <cfRule type="expression" dxfId="1501" priority="583">
      <formula>$AH190=0</formula>
    </cfRule>
  </conditionalFormatting>
  <conditionalFormatting sqref="A58">
    <cfRule type="expression" dxfId="1500" priority="582">
      <formula>$AH58=0</formula>
    </cfRule>
  </conditionalFormatting>
  <conditionalFormatting sqref="A94">
    <cfRule type="expression" dxfId="1499" priority="581">
      <formula>$AH94=0</formula>
    </cfRule>
  </conditionalFormatting>
  <conditionalFormatting sqref="AD99:AF99 E99:X99">
    <cfRule type="expression" dxfId="1498" priority="577">
      <formula>E$9&gt;=20/24</formula>
    </cfRule>
    <cfRule type="expression" dxfId="1497" priority="578">
      <formula>AND(E$9&gt;=14/24,E$9&lt;20/24)</formula>
    </cfRule>
    <cfRule type="expression" dxfId="1496" priority="579">
      <formula>AND(E$9&gt;=8/24,E$9&lt;14/24)</formula>
    </cfRule>
    <cfRule type="expression" dxfId="1495" priority="580">
      <formula>E$9&lt;8/24</formula>
    </cfRule>
  </conditionalFormatting>
  <conditionalFormatting sqref="AL43">
    <cfRule type="iconSet" priority="57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94" priority="599">
      <formula>C$9&gt;=20/24</formula>
    </cfRule>
    <cfRule type="expression" dxfId="1493" priority="600">
      <formula>AND(C$9&gt;=14/24,C$9&lt;20/24)</formula>
    </cfRule>
    <cfRule type="expression" dxfId="1492" priority="601">
      <formula>AND(C$9&gt;=8/24,C$9&lt;14/24)</formula>
    </cfRule>
    <cfRule type="expression" dxfId="1491" priority="602">
      <formula>C$9&lt;8/24</formula>
    </cfRule>
  </conditionalFormatting>
  <conditionalFormatting sqref="A233">
    <cfRule type="expression" dxfId="1490" priority="603">
      <formula>$AH233=0</formula>
    </cfRule>
  </conditionalFormatting>
  <conditionalFormatting sqref="AG245">
    <cfRule type="expression" dxfId="1489" priority="604">
      <formula>B$9&gt;=20/24</formula>
    </cfRule>
    <cfRule type="expression" dxfId="1488" priority="605">
      <formula>AND(B$9&gt;=14/24,B$9&lt;20/24)</formula>
    </cfRule>
    <cfRule type="expression" dxfId="1487" priority="606">
      <formula>AND(B$9&gt;=8/24,B$9&lt;14/24)</formula>
    </cfRule>
    <cfRule type="expression" dxfId="1486" priority="607">
      <formula>B$9&lt;8/24</formula>
    </cfRule>
  </conditionalFormatting>
  <conditionalFormatting sqref="S8">
    <cfRule type="expression" dxfId="1485" priority="572">
      <formula>U$9&gt;=20/24</formula>
    </cfRule>
    <cfRule type="expression" dxfId="1484" priority="573">
      <formula>AND(U$9&gt;=14/24,U$9&lt;20/24)</formula>
    </cfRule>
    <cfRule type="expression" dxfId="1483" priority="574">
      <formula>AND(U$9&gt;=8/24,U$9&lt;14/24)</formula>
    </cfRule>
    <cfRule type="expression" dxfId="1482" priority="575">
      <formula>U$9&lt;8/24</formula>
    </cfRule>
  </conditionalFormatting>
  <conditionalFormatting sqref="AB8">
    <cfRule type="expression" dxfId="1481" priority="568">
      <formula>AD$9&gt;=20/24</formula>
    </cfRule>
    <cfRule type="expression" dxfId="1480" priority="569">
      <formula>AND(AD$9&gt;=14/24,AD$9&lt;20/24)</formula>
    </cfRule>
    <cfRule type="expression" dxfId="1479" priority="570">
      <formula>AND(AD$9&gt;=8/24,AD$9&lt;14/24)</formula>
    </cfRule>
    <cfRule type="expression" dxfId="1478" priority="571">
      <formula>AD$9&lt;8/24</formula>
    </cfRule>
  </conditionalFormatting>
  <conditionalFormatting sqref="AH245:AX245">
    <cfRule type="expression" dxfId="1477" priority="608">
      <formula>AG$9&gt;=20/24</formula>
    </cfRule>
    <cfRule type="expression" dxfId="1476" priority="609">
      <formula>AND(AG$9&gt;=14/24,AG$9&lt;20/24)</formula>
    </cfRule>
    <cfRule type="expression" dxfId="1475" priority="610">
      <formula>AND(AG$9&gt;=8/24,AG$9&lt;14/24)</formula>
    </cfRule>
    <cfRule type="expression" dxfId="1474" priority="611">
      <formula>AG$9&lt;8/24</formula>
    </cfRule>
  </conditionalFormatting>
  <conditionalFormatting sqref="T245">
    <cfRule type="expression" dxfId="1473" priority="612">
      <formula>AX$9&gt;=20/24</formula>
    </cfRule>
    <cfRule type="expression" dxfId="1472" priority="613">
      <formula>AND(AX$9&gt;=14/24,AX$9&lt;20/24)</formula>
    </cfRule>
    <cfRule type="expression" dxfId="1471" priority="614">
      <formula>AND(AX$9&gt;=8/24,AX$9&lt;14/24)</formula>
    </cfRule>
    <cfRule type="expression" dxfId="1470" priority="615">
      <formula>AX$9&lt;8/24</formula>
    </cfRule>
  </conditionalFormatting>
  <conditionalFormatting sqref="A115:A116">
    <cfRule type="expression" dxfId="1469" priority="567">
      <formula>$AH115=0</formula>
    </cfRule>
  </conditionalFormatting>
  <conditionalFormatting sqref="M54:Y58 AB54:AC55 F71:AF71 AD54:AF56">
    <cfRule type="expression" dxfId="1468" priority="563">
      <formula>F$9&gt;=20/24</formula>
    </cfRule>
    <cfRule type="expression" dxfId="1467" priority="564">
      <formula>AND(F$9&gt;=14/24,F$9&lt;20/24)</formula>
    </cfRule>
    <cfRule type="expression" dxfId="1466" priority="565">
      <formula>AND(F$9&gt;=8/24,F$9&lt;14/24)</formula>
    </cfRule>
    <cfRule type="expression" dxfId="1465" priority="566">
      <formula>F$9&lt;8/24</formula>
    </cfRule>
  </conditionalFormatting>
  <conditionalFormatting sqref="M53:Y53 AB53:AF53">
    <cfRule type="expression" dxfId="1464" priority="559">
      <formula>M$9&gt;=20/24</formula>
    </cfRule>
    <cfRule type="expression" dxfId="1463" priority="560">
      <formula>AND(M$9&gt;=14/24,M$9&lt;20/24)</formula>
    </cfRule>
    <cfRule type="expression" dxfId="1462" priority="561">
      <formula>AND(M$9&gt;=8/24,M$9&lt;14/24)</formula>
    </cfRule>
    <cfRule type="expression" dxfId="1461" priority="562">
      <formula>M$9&lt;8/24</formula>
    </cfRule>
  </conditionalFormatting>
  <conditionalFormatting sqref="M53:Y58 AB53:AC55 AD53:AF56">
    <cfRule type="expression" dxfId="1460" priority="558">
      <formula>M53&gt;$AG53</formula>
    </cfRule>
  </conditionalFormatting>
  <conditionalFormatting sqref="D86:AF86 X96:AF96 X47:AF47 M100:X106 F72:AF73 AC100:AF106 X67:AF69 Z74:AF74">
    <cfRule type="expression" dxfId="1459" priority="554">
      <formula>D$9&gt;=20/24</formula>
    </cfRule>
    <cfRule type="expression" dxfId="1458" priority="555">
      <formula>AND(D$9&gt;=14/24,D$9&lt;20/24)</formula>
    </cfRule>
    <cfRule type="expression" dxfId="1457" priority="556">
      <formula>AND(D$9&gt;=8/24,D$9&lt;14/24)</formula>
    </cfRule>
    <cfRule type="expression" dxfId="1456" priority="557">
      <formula>D$9&lt;8/24</formula>
    </cfRule>
  </conditionalFormatting>
  <conditionalFormatting sqref="X47:AF47 X67:AF69">
    <cfRule type="expression" dxfId="1455" priority="553">
      <formula>X47&gt;$AG47</formula>
    </cfRule>
  </conditionalFormatting>
  <conditionalFormatting sqref="Z53:AA58 AB56:AC58 AD57:AF58">
    <cfRule type="expression" dxfId="1454" priority="549">
      <formula>Z$9&gt;=20/24</formula>
    </cfRule>
    <cfRule type="expression" dxfId="1453" priority="550">
      <formula>AND(Z$9&gt;=14/24,Z$9&lt;20/24)</formula>
    </cfRule>
    <cfRule type="expression" dxfId="1452" priority="551">
      <formula>AND(Z$9&gt;=8/24,Z$9&lt;14/24)</formula>
    </cfRule>
    <cfRule type="expression" dxfId="1451" priority="552">
      <formula>Z$9&lt;8/24</formula>
    </cfRule>
  </conditionalFormatting>
  <conditionalFormatting sqref="Z53:AA58 AB56:AC58 AD57:AF58">
    <cfRule type="expression" dxfId="1450" priority="548">
      <formula>Z53&gt;$AG53</formula>
    </cfRule>
  </conditionalFormatting>
  <conditionalFormatting sqref="C97:AF97 D88:AF88">
    <cfRule type="expression" dxfId="1449" priority="544">
      <formula>C$9&gt;=20/24</formula>
    </cfRule>
    <cfRule type="expression" dxfId="1448" priority="545">
      <formula>AND(C$9&gt;=14/24,C$9&lt;20/24)</formula>
    </cfRule>
    <cfRule type="expression" dxfId="1447" priority="546">
      <formula>AND(C$9&gt;=8/24,C$9&lt;14/24)</formula>
    </cfRule>
    <cfRule type="expression" dxfId="1446" priority="547">
      <formula>C$9&lt;8/24</formula>
    </cfRule>
  </conditionalFormatting>
  <conditionalFormatting sqref="T47:W47">
    <cfRule type="expression" dxfId="1445" priority="540">
      <formula>T$9&gt;=20/24</formula>
    </cfRule>
    <cfRule type="expression" dxfId="1444" priority="541">
      <formula>AND(T$9&gt;=14/24,T$9&lt;20/24)</formula>
    </cfRule>
    <cfRule type="expression" dxfId="1443" priority="542">
      <formula>AND(T$9&gt;=8/24,T$9&lt;14/24)</formula>
    </cfRule>
    <cfRule type="expression" dxfId="1442" priority="543">
      <formula>T$9&lt;8/24</formula>
    </cfRule>
  </conditionalFormatting>
  <conditionalFormatting sqref="T47:W47">
    <cfRule type="expression" dxfId="1441" priority="539">
      <formula>T47&gt;$AG47</formula>
    </cfRule>
  </conditionalFormatting>
  <conditionalFormatting sqref="F54:L55">
    <cfRule type="expression" dxfId="1440" priority="535">
      <formula>F$9&gt;=20/24</formula>
    </cfRule>
    <cfRule type="expression" dxfId="1439" priority="536">
      <formula>AND(F$9&gt;=14/24,F$9&lt;20/24)</formula>
    </cfRule>
    <cfRule type="expression" dxfId="1438" priority="537">
      <formula>AND(F$9&gt;=8/24,F$9&lt;14/24)</formula>
    </cfRule>
    <cfRule type="expression" dxfId="1437" priority="538">
      <formula>F$9&lt;8/24</formula>
    </cfRule>
  </conditionalFormatting>
  <conditionalFormatting sqref="F53:L53">
    <cfRule type="expression" dxfId="1436" priority="531">
      <formula>F$9&gt;=20/24</formula>
    </cfRule>
    <cfRule type="expression" dxfId="1435" priority="532">
      <formula>AND(F$9&gt;=14/24,F$9&lt;20/24)</formula>
    </cfRule>
    <cfRule type="expression" dxfId="1434" priority="533">
      <formula>AND(F$9&gt;=8/24,F$9&lt;14/24)</formula>
    </cfRule>
    <cfRule type="expression" dxfId="1433" priority="534">
      <formula>F$9&lt;8/24</formula>
    </cfRule>
  </conditionalFormatting>
  <conditionalFormatting sqref="F53:L55">
    <cfRule type="expression" dxfId="1432" priority="530">
      <formula>F53&gt;$AG53</formula>
    </cfRule>
  </conditionalFormatting>
  <conditionalFormatting sqref="AG70 AG87 E100:L106 T67:W69">
    <cfRule type="expression" dxfId="1431" priority="526">
      <formula>E$9&gt;=20/24</formula>
    </cfRule>
    <cfRule type="expression" dxfId="1430" priority="527">
      <formula>AND(E$9&gt;=14/24,E$9&lt;20/24)</formula>
    </cfRule>
    <cfRule type="expression" dxfId="1429" priority="528">
      <formula>AND(E$9&gt;=8/24,E$9&lt;14/24)</formula>
    </cfRule>
    <cfRule type="expression" dxfId="1428" priority="529">
      <formula>E$9&lt;8/24</formula>
    </cfRule>
  </conditionalFormatting>
  <conditionalFormatting sqref="AG48 AG66 AG70 T67:W69">
    <cfRule type="expression" dxfId="1427" priority="525">
      <formula>T48&gt;$AG48</formula>
    </cfRule>
  </conditionalFormatting>
  <conditionalFormatting sqref="A43">
    <cfRule type="expression" dxfId="1426" priority="519">
      <formula>$AH43=0</formula>
    </cfRule>
  </conditionalFormatting>
  <conditionalFormatting sqref="X91:AF95">
    <cfRule type="expression" dxfId="1425" priority="515">
      <formula>X$9&gt;=20/24</formula>
    </cfRule>
    <cfRule type="expression" dxfId="1424" priority="516">
      <formula>AND(X$9&gt;=14/24,X$9&lt;20/24)</formula>
    </cfRule>
    <cfRule type="expression" dxfId="1423" priority="517">
      <formula>AND(X$9&gt;=8/24,X$9&lt;14/24)</formula>
    </cfRule>
    <cfRule type="expression" dxfId="1422" priority="518">
      <formula>X$9&lt;8/24</formula>
    </cfRule>
  </conditionalFormatting>
  <conditionalFormatting sqref="AL45 AL41 AL22:AL32 AL38:AL39 AL7:AL15 AL17:AL20 AL34:AL36">
    <cfRule type="iconSet" priority="616">
      <iconSet iconSet="3TrafficLights2" reverse="1">
        <cfvo type="percent" val="0"/>
        <cfvo type="num" val="1"/>
        <cfvo type="num" val="1"/>
      </iconSet>
    </cfRule>
  </conditionalFormatting>
  <conditionalFormatting sqref="E49:S49 F50:S51 T49:AF51">
    <cfRule type="expression" dxfId="1421" priority="511">
      <formula>E$9&gt;=20/24</formula>
    </cfRule>
    <cfRule type="expression" dxfId="1420" priority="512">
      <formula>AND(E$9&gt;=14/24,E$9&lt;20/24)</formula>
    </cfRule>
    <cfRule type="expression" dxfId="1419" priority="513">
      <formula>AND(E$9&gt;=8/24,E$9&lt;14/24)</formula>
    </cfRule>
    <cfRule type="expression" dxfId="1418" priority="514">
      <formula>E$9&lt;8/24</formula>
    </cfRule>
  </conditionalFormatting>
  <conditionalFormatting sqref="E49:S49 F50:S51 T49:AF51">
    <cfRule type="expression" dxfId="1417" priority="510">
      <formula>E49&gt;$AG49</formula>
    </cfRule>
  </conditionalFormatting>
  <conditionalFormatting sqref="AG52">
    <cfRule type="expression" dxfId="1416" priority="506">
      <formula>AG$9&gt;=20/24</formula>
    </cfRule>
    <cfRule type="expression" dxfId="1415" priority="507">
      <formula>AND(AG$9&gt;=14/24,AG$9&lt;20/24)</formula>
    </cfRule>
    <cfRule type="expression" dxfId="1414" priority="508">
      <formula>AND(AG$9&gt;=8/24,AG$9&lt;14/24)</formula>
    </cfRule>
    <cfRule type="expression" dxfId="1413" priority="509">
      <formula>AG$9&lt;8/24</formula>
    </cfRule>
  </conditionalFormatting>
  <conditionalFormatting sqref="AG52">
    <cfRule type="expression" dxfId="1412" priority="505">
      <formula>AG52&gt;$AG52</formula>
    </cfRule>
  </conditionalFormatting>
  <conditionalFormatting sqref="C107:AF107">
    <cfRule type="expression" dxfId="1411" priority="501">
      <formula>C$9&gt;=20/24</formula>
    </cfRule>
    <cfRule type="expression" dxfId="1410" priority="502">
      <formula>AND(C$9&gt;=14/24,C$9&lt;20/24)</formula>
    </cfRule>
    <cfRule type="expression" dxfId="1409" priority="503">
      <formula>AND(C$9&gt;=8/24,C$9&lt;14/24)</formula>
    </cfRule>
    <cfRule type="expression" dxfId="1408" priority="504">
      <formula>C$9&lt;8/24</formula>
    </cfRule>
  </conditionalFormatting>
  <conditionalFormatting sqref="AL40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1407" priority="499">
      <formula>$AH40=0</formula>
    </cfRule>
  </conditionalFormatting>
  <conditionalFormatting sqref="A90">
    <cfRule type="expression" dxfId="1406" priority="497">
      <formula>$AH90=0</formula>
    </cfRule>
  </conditionalFormatting>
  <conditionalFormatting sqref="A87">
    <cfRule type="expression" dxfId="1405" priority="498">
      <formula>$AH87=0</formula>
    </cfRule>
  </conditionalFormatting>
  <conditionalFormatting sqref="D110:AF110">
    <cfRule type="expression" dxfId="1404" priority="493">
      <formula>D$9&gt;=20/24</formula>
    </cfRule>
    <cfRule type="expression" dxfId="1403" priority="494">
      <formula>AND(D$9&gt;=14/24,D$9&lt;20/24)</formula>
    </cfRule>
    <cfRule type="expression" dxfId="1402" priority="495">
      <formula>AND(D$9&gt;=8/24,D$9&lt;14/24)</formula>
    </cfRule>
    <cfRule type="expression" dxfId="1401" priority="496">
      <formula>D$9&lt;8/24</formula>
    </cfRule>
  </conditionalFormatting>
  <conditionalFormatting sqref="A110">
    <cfRule type="expression" dxfId="1400" priority="492">
      <formula>$AH110=0</formula>
    </cfRule>
  </conditionalFormatting>
  <conditionalFormatting sqref="A21">
    <cfRule type="expression" dxfId="1399" priority="490">
      <formula>$AH21=0</formula>
    </cfRule>
  </conditionalFormatting>
  <conditionalFormatting sqref="AL21">
    <cfRule type="iconSet" priority="49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398" priority="488">
      <formula>$AH37=0</formula>
    </cfRule>
  </conditionalFormatting>
  <conditionalFormatting sqref="AL37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1397" priority="484">
      <formula>Y$9&gt;=20/24</formula>
    </cfRule>
    <cfRule type="expression" dxfId="1396" priority="485">
      <formula>AND(Y$9&gt;=14/24,Y$9&lt;20/24)</formula>
    </cfRule>
    <cfRule type="expression" dxfId="1395" priority="486">
      <formula>AND(Y$9&gt;=8/24,Y$9&lt;14/24)</formula>
    </cfRule>
    <cfRule type="expression" dxfId="1394" priority="487">
      <formula>Y$9&lt;8/24</formula>
    </cfRule>
  </conditionalFormatting>
  <conditionalFormatting sqref="Y100:AB106">
    <cfRule type="expression" dxfId="1393" priority="480">
      <formula>Y$9&gt;=20/24</formula>
    </cfRule>
    <cfRule type="expression" dxfId="1392" priority="481">
      <formula>AND(Y$9&gt;=14/24,Y$9&lt;20/24)</formula>
    </cfRule>
    <cfRule type="expression" dxfId="1391" priority="482">
      <formula>AND(Y$9&gt;=8/24,Y$9&lt;14/24)</formula>
    </cfRule>
    <cfRule type="expression" dxfId="1390" priority="483">
      <formula>Y$9&lt;8/24</formula>
    </cfRule>
  </conditionalFormatting>
  <conditionalFormatting sqref="C109 C111:C116 Z34:AF43 Z17:AF32">
    <cfRule type="expression" dxfId="1389" priority="476">
      <formula>C$9&gt;=20/24</formula>
    </cfRule>
    <cfRule type="expression" dxfId="1388" priority="477">
      <formula>AND(C$9&gt;=14/24,C$9&lt;20/24)</formula>
    </cfRule>
    <cfRule type="expression" dxfId="1387" priority="478">
      <formula>AND(C$9&gt;=8/24,C$9&lt;14/24)</formula>
    </cfRule>
    <cfRule type="expression" dxfId="1386" priority="479">
      <formula>C$9&lt;8/24</formula>
    </cfRule>
  </conditionalFormatting>
  <conditionalFormatting sqref="C47:S47">
    <cfRule type="expression" dxfId="1385" priority="472">
      <formula>C$9&gt;=20/24</formula>
    </cfRule>
    <cfRule type="expression" dxfId="1384" priority="473">
      <formula>AND(C$9&gt;=14/24,C$9&lt;20/24)</formula>
    </cfRule>
    <cfRule type="expression" dxfId="1383" priority="474">
      <formula>AND(C$9&gt;=8/24,C$9&lt;14/24)</formula>
    </cfRule>
    <cfRule type="expression" dxfId="1382" priority="475">
      <formula>C$9&lt;8/24</formula>
    </cfRule>
  </conditionalFormatting>
  <conditionalFormatting sqref="C47:S47 Z34:AF43 Z17:AF32">
    <cfRule type="expression" dxfId="1381" priority="471">
      <formula>C17&gt;$AG17</formula>
    </cfRule>
  </conditionalFormatting>
  <conditionalFormatting sqref="C99:D99">
    <cfRule type="expression" dxfId="1380" priority="467">
      <formula>C$9&gt;=20/24</formula>
    </cfRule>
    <cfRule type="expression" dxfId="1379" priority="468">
      <formula>AND(C$9&gt;=14/24,C$9&lt;20/24)</formula>
    </cfRule>
    <cfRule type="expression" dxfId="1378" priority="469">
      <formula>AND(C$9&gt;=8/24,C$9&lt;14/24)</formula>
    </cfRule>
    <cfRule type="expression" dxfId="1377" priority="470">
      <formula>C$9&lt;8/24</formula>
    </cfRule>
  </conditionalFormatting>
  <conditionalFormatting sqref="C86 C96:W96 C83:AF85 C100:D106 M67:S69 F74:Y76 Z75:AF76">
    <cfRule type="expression" dxfId="1376" priority="463">
      <formula>C$9&gt;=20/24</formula>
    </cfRule>
    <cfRule type="expression" dxfId="1375" priority="464">
      <formula>AND(C$9&gt;=14/24,C$9&lt;20/24)</formula>
    </cfRule>
    <cfRule type="expression" dxfId="1374" priority="465">
      <formula>AND(C$9&gt;=8/24,C$9&lt;14/24)</formula>
    </cfRule>
    <cfRule type="expression" dxfId="1373" priority="466">
      <formula>C$9&lt;8/24</formula>
    </cfRule>
  </conditionalFormatting>
  <conditionalFormatting sqref="F56:L57 M67:S69">
    <cfRule type="expression" dxfId="1372" priority="462">
      <formula>F56&gt;$AG56</formula>
    </cfRule>
  </conditionalFormatting>
  <conditionalFormatting sqref="F58:L58">
    <cfRule type="expression" dxfId="1371" priority="458">
      <formula>F$9&gt;=20/24</formula>
    </cfRule>
    <cfRule type="expression" dxfId="1370" priority="459">
      <formula>AND(F$9&gt;=14/24,F$9&lt;20/24)</formula>
    </cfRule>
    <cfRule type="expression" dxfId="1369" priority="460">
      <formula>AND(F$9&gt;=8/24,F$9&lt;14/24)</formula>
    </cfRule>
    <cfRule type="expression" dxfId="1368" priority="461">
      <formula>F$9&lt;8/24</formula>
    </cfRule>
  </conditionalFormatting>
  <conditionalFormatting sqref="F58:L58">
    <cfRule type="expression" dxfId="1367" priority="457">
      <formula>F58&gt;$AG58</formula>
    </cfRule>
  </conditionalFormatting>
  <conditionalFormatting sqref="D54:E57 D71:E71">
    <cfRule type="expression" dxfId="1366" priority="386">
      <formula>D$9&gt;=20/24</formula>
    </cfRule>
    <cfRule type="expression" dxfId="1365" priority="387">
      <formula>AND(D$9&gt;=14/24,D$9&lt;20/24)</formula>
    </cfRule>
    <cfRule type="expression" dxfId="1364" priority="388">
      <formula>AND(D$9&gt;=8/24,D$9&lt;14/24)</formula>
    </cfRule>
    <cfRule type="expression" dxfId="1363" priority="389">
      <formula>D$9&lt;8/24</formula>
    </cfRule>
  </conditionalFormatting>
  <conditionalFormatting sqref="C87:AF87 C89:AF89 C98:AF98 D70:AF70">
    <cfRule type="expression" dxfId="1362" priority="453">
      <formula>C$9&gt;=20/24</formula>
    </cfRule>
    <cfRule type="expression" dxfId="1361" priority="454">
      <formula>AND(C$9&gt;=14/24,C$9&lt;20/24)</formula>
    </cfRule>
    <cfRule type="expression" dxfId="1360" priority="455">
      <formula>AND(C$9&gt;=8/24,C$9&lt;14/24)</formula>
    </cfRule>
    <cfRule type="expression" dxfId="1359" priority="456">
      <formula>C$9&lt;8/24</formula>
    </cfRule>
  </conditionalFormatting>
  <conditionalFormatting sqref="D70:AF70 C48:AF48 D65:AF66">
    <cfRule type="expression" dxfId="1358" priority="452">
      <formula>C48&gt;$AG48</formula>
    </cfRule>
  </conditionalFormatting>
  <conditionalFormatting sqref="C82:AF82">
    <cfRule type="expression" dxfId="1357" priority="448">
      <formula>C$9&gt;=20/24</formula>
    </cfRule>
    <cfRule type="expression" dxfId="1356" priority="449">
      <formula>AND(C$9&gt;=14/24,C$9&lt;20/24)</formula>
    </cfRule>
    <cfRule type="expression" dxfId="1355" priority="450">
      <formula>AND(C$9&gt;=8/24,C$9&lt;14/24)</formula>
    </cfRule>
    <cfRule type="expression" dxfId="1354" priority="451">
      <formula>C$9&lt;8/24</formula>
    </cfRule>
  </conditionalFormatting>
  <conditionalFormatting sqref="C91:W95">
    <cfRule type="expression" dxfId="1353" priority="444">
      <formula>C$9&gt;=20/24</formula>
    </cfRule>
    <cfRule type="expression" dxfId="1352" priority="445">
      <formula>AND(C$9&gt;=14/24,C$9&lt;20/24)</formula>
    </cfRule>
    <cfRule type="expression" dxfId="1351" priority="446">
      <formula>AND(C$9&gt;=8/24,C$9&lt;14/24)</formula>
    </cfRule>
    <cfRule type="expression" dxfId="1350" priority="447">
      <formula>C$9&lt;8/24</formula>
    </cfRule>
  </conditionalFormatting>
  <conditionalFormatting sqref="C52:AF52">
    <cfRule type="expression" dxfId="1349" priority="440">
      <formula>C$9&gt;=20/24</formula>
    </cfRule>
    <cfRule type="expression" dxfId="1348" priority="441">
      <formula>AND(C$9&gt;=14/24,C$9&lt;20/24)</formula>
    </cfRule>
    <cfRule type="expression" dxfId="1347" priority="442">
      <formula>AND(C$9&gt;=8/24,C$9&lt;14/24)</formula>
    </cfRule>
    <cfRule type="expression" dxfId="1346" priority="443">
      <formula>C$9&lt;8/24</formula>
    </cfRule>
  </conditionalFormatting>
  <conditionalFormatting sqref="C52:AF52">
    <cfRule type="expression" dxfId="1345" priority="439">
      <formula>C52&gt;$AG52</formula>
    </cfRule>
  </conditionalFormatting>
  <conditionalFormatting sqref="C110">
    <cfRule type="expression" dxfId="1344" priority="431">
      <formula>C$9&gt;=20/24</formula>
    </cfRule>
    <cfRule type="expression" dxfId="1343" priority="432">
      <formula>AND(C$9&gt;=14/24,C$9&lt;20/24)</formula>
    </cfRule>
    <cfRule type="expression" dxfId="1342" priority="433">
      <formula>AND(C$9&gt;=8/24,C$9&lt;14/24)</formula>
    </cfRule>
    <cfRule type="expression" dxfId="1341" priority="434">
      <formula>C$9&lt;8/24</formula>
    </cfRule>
  </conditionalFormatting>
  <conditionalFormatting sqref="M59:AF64">
    <cfRule type="expression" dxfId="1340" priority="427">
      <formula>M$9&gt;=20/24</formula>
    </cfRule>
    <cfRule type="expression" dxfId="1339" priority="428">
      <formula>AND(M$9&gt;=14/24,M$9&lt;20/24)</formula>
    </cfRule>
    <cfRule type="expression" dxfId="1338" priority="429">
      <formula>AND(M$9&gt;=8/24,M$9&lt;14/24)</formula>
    </cfRule>
    <cfRule type="expression" dxfId="1337" priority="430">
      <formula>M$9&lt;8/24</formula>
    </cfRule>
  </conditionalFormatting>
  <conditionalFormatting sqref="M59:AF64">
    <cfRule type="expression" dxfId="1336" priority="426">
      <formula>M59&gt;$AG59</formula>
    </cfRule>
  </conditionalFormatting>
  <conditionalFormatting sqref="M13:Y13 Z45:AF45 Z13:AF15">
    <cfRule type="expression" dxfId="1335" priority="425">
      <formula>M13&gt;$AG13</formula>
    </cfRule>
  </conditionalFormatting>
  <conditionalFormatting sqref="M12:AF12">
    <cfRule type="expression" dxfId="1334" priority="421">
      <formula>M$9&gt;=20/24</formula>
    </cfRule>
    <cfRule type="expression" dxfId="1333" priority="422">
      <formula>AND(M$9&gt;=14/24,M$9&lt;20/24)</formula>
    </cfRule>
    <cfRule type="expression" dxfId="1332" priority="423">
      <formula>AND(M$9&gt;=8/24,M$9&lt;14/24)</formula>
    </cfRule>
    <cfRule type="expression" dxfId="1331" priority="424">
      <formula>M$9&lt;8/24</formula>
    </cfRule>
  </conditionalFormatting>
  <conditionalFormatting sqref="M12:AF12">
    <cfRule type="expression" dxfId="1330" priority="420">
      <formula>M12&gt;$AG12</formula>
    </cfRule>
  </conditionalFormatting>
  <conditionalFormatting sqref="M13:Y13 Z13:AF15">
    <cfRule type="expression" dxfId="1329" priority="416">
      <formula>M$9&gt;=20/24</formula>
    </cfRule>
    <cfRule type="expression" dxfId="1328" priority="417">
      <formula>AND(M$9&gt;=14/24,M$9&lt;20/24)</formula>
    </cfRule>
    <cfRule type="expression" dxfId="1327" priority="418">
      <formula>AND(M$9&gt;=8/24,M$9&lt;14/24)</formula>
    </cfRule>
    <cfRule type="expression" dxfId="1326" priority="419">
      <formula>M$9&lt;8/24</formula>
    </cfRule>
  </conditionalFormatting>
  <conditionalFormatting sqref="Z45:AF45">
    <cfRule type="expression" dxfId="1325" priority="412">
      <formula>Z$9&gt;=20/24</formula>
    </cfRule>
    <cfRule type="expression" dxfId="1324" priority="413">
      <formula>AND(Z$9&gt;=14/24,Z$9&lt;20/24)</formula>
    </cfRule>
    <cfRule type="expression" dxfId="1323" priority="414">
      <formula>AND(Z$9&gt;=8/24,Z$9&lt;14/24)</formula>
    </cfRule>
    <cfRule type="expression" dxfId="1322" priority="415">
      <formula>Z$9&lt;8/24</formula>
    </cfRule>
  </conditionalFormatting>
  <conditionalFormatting sqref="M77:AF81">
    <cfRule type="expression" dxfId="1321" priority="408">
      <formula>M$9&gt;=20/24</formula>
    </cfRule>
    <cfRule type="expression" dxfId="1320" priority="409">
      <formula>AND(M$9&gt;=14/24,M$9&lt;20/24)</formula>
    </cfRule>
    <cfRule type="expression" dxfId="1319" priority="410">
      <formula>AND(M$9&gt;=8/24,M$9&lt;14/24)</formula>
    </cfRule>
    <cfRule type="expression" dxfId="1318" priority="411">
      <formula>M$9&lt;8/24</formula>
    </cfRule>
  </conditionalFormatting>
  <conditionalFormatting sqref="AL78:AN78 AL84:AN84 AN79:AN80">
    <cfRule type="expression" dxfId="1317" priority="404">
      <formula>AL$9&gt;=20/24</formula>
    </cfRule>
    <cfRule type="expression" dxfId="1316" priority="405">
      <formula>AND(AL$9&gt;=14/24,AL$9&lt;20/24)</formula>
    </cfRule>
    <cfRule type="expression" dxfId="1315" priority="406">
      <formula>AND(AL$9&gt;=8/24,AL$9&lt;14/24)</formula>
    </cfRule>
    <cfRule type="expression" dxfId="1314" priority="407">
      <formula>AL$9&lt;8/24</formula>
    </cfRule>
  </conditionalFormatting>
  <conditionalFormatting sqref="AN81:AN82">
    <cfRule type="expression" dxfId="1313" priority="400">
      <formula>AN$9&gt;=20/24</formula>
    </cfRule>
    <cfRule type="expression" dxfId="1312" priority="401">
      <formula>AND(AN$9&gt;=14/24,AN$9&lt;20/24)</formula>
    </cfRule>
    <cfRule type="expression" dxfId="1311" priority="402">
      <formula>AND(AN$9&gt;=8/24,AN$9&lt;14/24)</formula>
    </cfRule>
    <cfRule type="expression" dxfId="1310" priority="403">
      <formula>AN$9&lt;8/24</formula>
    </cfRule>
  </conditionalFormatting>
  <conditionalFormatting sqref="AL79:AM83">
    <cfRule type="expression" dxfId="1309" priority="617">
      <formula>AJ$9&gt;=20/24</formula>
    </cfRule>
    <cfRule type="expression" dxfId="1308" priority="618">
      <formula>AND(AJ$9&gt;=14/24,AJ$9&lt;20/24)</formula>
    </cfRule>
    <cfRule type="expression" dxfId="1307" priority="619">
      <formula>AND(AJ$9&gt;=8/24,AJ$9&lt;14/24)</formula>
    </cfRule>
    <cfRule type="expression" dxfId="1306" priority="620">
      <formula>AJ$9&lt;8/24</formula>
    </cfRule>
  </conditionalFormatting>
  <conditionalFormatting sqref="A117">
    <cfRule type="expression" dxfId="1305" priority="399">
      <formula>$AH117=0</formula>
    </cfRule>
  </conditionalFormatting>
  <conditionalFormatting sqref="D53:E53">
    <cfRule type="expression" dxfId="1304" priority="382">
      <formula>D$9&gt;=20/24</formula>
    </cfRule>
    <cfRule type="expression" dxfId="1303" priority="383">
      <formula>AND(D$9&gt;=14/24,D$9&lt;20/24)</formula>
    </cfRule>
    <cfRule type="expression" dxfId="1302" priority="384">
      <formula>AND(D$9&gt;=8/24,D$9&lt;14/24)</formula>
    </cfRule>
    <cfRule type="expression" dxfId="1301" priority="385">
      <formula>D$9&lt;8/24</formula>
    </cfRule>
  </conditionalFormatting>
  <conditionalFormatting sqref="D53:E57">
    <cfRule type="expression" dxfId="1300" priority="381">
      <formula>D53&gt;$AG53</formula>
    </cfRule>
  </conditionalFormatting>
  <conditionalFormatting sqref="D72:E74 D67:L69">
    <cfRule type="expression" dxfId="1299" priority="377">
      <formula>D$9&gt;=20/24</formula>
    </cfRule>
    <cfRule type="expression" dxfId="1298" priority="378">
      <formula>AND(D$9&gt;=14/24,D$9&lt;20/24)</formula>
    </cfRule>
    <cfRule type="expression" dxfId="1297" priority="379">
      <formula>AND(D$9&gt;=8/24,D$9&lt;14/24)</formula>
    </cfRule>
    <cfRule type="expression" dxfId="1296" priority="380">
      <formula>D$9&lt;8/24</formula>
    </cfRule>
  </conditionalFormatting>
  <conditionalFormatting sqref="D67:L69">
    <cfRule type="expression" dxfId="1295" priority="376">
      <formula>D67&gt;$AG67</formula>
    </cfRule>
  </conditionalFormatting>
  <conditionalFormatting sqref="C88">
    <cfRule type="expression" dxfId="1294" priority="372">
      <formula>C$9&gt;=20/24</formula>
    </cfRule>
    <cfRule type="expression" dxfId="1293" priority="373">
      <formula>AND(C$9&gt;=14/24,C$9&lt;20/24)</formula>
    </cfRule>
    <cfRule type="expression" dxfId="1292" priority="374">
      <formula>AND(C$9&gt;=8/24,C$9&lt;14/24)</formula>
    </cfRule>
    <cfRule type="expression" dxfId="1291" priority="375">
      <formula>C$9&lt;8/24</formula>
    </cfRule>
  </conditionalFormatting>
  <conditionalFormatting sqref="Z46:AF46">
    <cfRule type="expression" dxfId="1290" priority="368">
      <formula>Z$9&gt;=20/24</formula>
    </cfRule>
    <cfRule type="expression" dxfId="1289" priority="369">
      <formula>AND(Z$9&gt;=14/24,Z$9&lt;20/24)</formula>
    </cfRule>
    <cfRule type="expression" dxfId="1288" priority="370">
      <formula>AND(Z$9&gt;=8/24,Z$9&lt;14/24)</formula>
    </cfRule>
    <cfRule type="expression" dxfId="1287" priority="371">
      <formula>Z$9&lt;8/24</formula>
    </cfRule>
  </conditionalFormatting>
  <conditionalFormatting sqref="Z46:AF46">
    <cfRule type="expression" dxfId="1286" priority="367">
      <formula>Z46&gt;$AG46</formula>
    </cfRule>
  </conditionalFormatting>
  <conditionalFormatting sqref="D58:E58">
    <cfRule type="expression" dxfId="1285" priority="363">
      <formula>D$9&gt;=20/24</formula>
    </cfRule>
    <cfRule type="expression" dxfId="1284" priority="364">
      <formula>AND(D$9&gt;=14/24,D$9&lt;20/24)</formula>
    </cfRule>
    <cfRule type="expression" dxfId="1283" priority="365">
      <formula>AND(D$9&gt;=8/24,D$9&lt;14/24)</formula>
    </cfRule>
    <cfRule type="expression" dxfId="1282" priority="366">
      <formula>D$9&lt;8/24</formula>
    </cfRule>
  </conditionalFormatting>
  <conditionalFormatting sqref="D58:E58">
    <cfRule type="expression" dxfId="1281" priority="362">
      <formula>D58&gt;$AG58</formula>
    </cfRule>
  </conditionalFormatting>
  <conditionalFormatting sqref="D75:E76">
    <cfRule type="expression" dxfId="1280" priority="341">
      <formula>D$9&gt;=20/24</formula>
    </cfRule>
    <cfRule type="expression" dxfId="1279" priority="342">
      <formula>AND(D$9&gt;=14/24,D$9&lt;20/24)</formula>
    </cfRule>
    <cfRule type="expression" dxfId="1278" priority="343">
      <formula>AND(D$9&gt;=8/24,D$9&lt;14/24)</formula>
    </cfRule>
    <cfRule type="expression" dxfId="1277" priority="344">
      <formula>D$9&lt;8/24</formula>
    </cfRule>
  </conditionalFormatting>
  <conditionalFormatting sqref="D59:L64">
    <cfRule type="expression" dxfId="1276" priority="319">
      <formula>D$9&gt;=20/24</formula>
    </cfRule>
    <cfRule type="expression" dxfId="1275" priority="320">
      <formula>AND(D$9&gt;=14/24,D$9&lt;20/24)</formula>
    </cfRule>
    <cfRule type="expression" dxfId="1274" priority="321">
      <formula>AND(D$9&gt;=8/24,D$9&lt;14/24)</formula>
    </cfRule>
    <cfRule type="expression" dxfId="1273" priority="322">
      <formula>D$9&lt;8/24</formula>
    </cfRule>
  </conditionalFormatting>
  <conditionalFormatting sqref="D59:L64">
    <cfRule type="expression" dxfId="1272" priority="318">
      <formula>D59&gt;$AG59</formula>
    </cfRule>
  </conditionalFormatting>
  <conditionalFormatting sqref="D77:L81">
    <cfRule type="expression" dxfId="1271" priority="314">
      <formula>D$9&gt;=20/24</formula>
    </cfRule>
    <cfRule type="expression" dxfId="1270" priority="315">
      <formula>AND(D$9&gt;=14/24,D$9&lt;20/24)</formula>
    </cfRule>
    <cfRule type="expression" dxfId="1269" priority="316">
      <formula>AND(D$9&gt;=8/24,D$9&lt;14/24)</formula>
    </cfRule>
    <cfRule type="expression" dxfId="1268" priority="317">
      <formula>D$9&lt;8/24</formula>
    </cfRule>
  </conditionalFormatting>
  <conditionalFormatting sqref="A11">
    <cfRule type="expression" dxfId="1267" priority="313">
      <formula>$AH11=0</formula>
    </cfRule>
  </conditionalFormatting>
  <conditionalFormatting sqref="M11:AF11">
    <cfRule type="expression" dxfId="1266" priority="309">
      <formula>M$9&gt;=20/24</formula>
    </cfRule>
    <cfRule type="expression" dxfId="1265" priority="310">
      <formula>AND(M$9&gt;=14/24,M$9&lt;20/24)</formula>
    </cfRule>
    <cfRule type="expression" dxfId="1264" priority="311">
      <formula>AND(M$9&gt;=8/24,M$9&lt;14/24)</formula>
    </cfRule>
    <cfRule type="expression" dxfId="1263" priority="312">
      <formula>M$9&lt;8/24</formula>
    </cfRule>
  </conditionalFormatting>
  <conditionalFormatting sqref="M11:AF11">
    <cfRule type="expression" dxfId="1262" priority="308">
      <formula>M11&gt;$AG11</formula>
    </cfRule>
  </conditionalFormatting>
  <conditionalFormatting sqref="A16">
    <cfRule type="expression" dxfId="1261" priority="301">
      <formula>$AH16=0</formula>
    </cfRule>
  </conditionalFormatting>
  <conditionalFormatting sqref="AL16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Z16:AF16">
    <cfRule type="expression" dxfId="1260" priority="297">
      <formula>Z$9&gt;=20/24</formula>
    </cfRule>
    <cfRule type="expression" dxfId="1259" priority="298">
      <formula>AND(Z$9&gt;=14/24,Z$9&lt;20/24)</formula>
    </cfRule>
    <cfRule type="expression" dxfId="1258" priority="299">
      <formula>AND(Z$9&gt;=8/24,Z$9&lt;14/24)</formula>
    </cfRule>
    <cfRule type="expression" dxfId="1257" priority="300">
      <formula>Z$9&lt;8/24</formula>
    </cfRule>
  </conditionalFormatting>
  <conditionalFormatting sqref="Z16:AF16">
    <cfRule type="expression" dxfId="1256" priority="296">
      <formula>Z16&gt;$AG16</formula>
    </cfRule>
  </conditionalFormatting>
  <conditionalFormatting sqref="A33">
    <cfRule type="expression" dxfId="1255" priority="289">
      <formula>$AH33=0</formula>
    </cfRule>
  </conditionalFormatting>
  <conditionalFormatting sqref="AL3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Z33:AF33">
    <cfRule type="expression" dxfId="1254" priority="285">
      <formula>Z$9&gt;=20/24</formula>
    </cfRule>
    <cfRule type="expression" dxfId="1253" priority="286">
      <formula>AND(Z$9&gt;=14/24,Z$9&lt;20/24)</formula>
    </cfRule>
    <cfRule type="expression" dxfId="1252" priority="287">
      <formula>AND(Z$9&gt;=8/24,Z$9&lt;14/24)</formula>
    </cfRule>
    <cfRule type="expression" dxfId="1251" priority="288">
      <formula>Z$9&lt;8/24</formula>
    </cfRule>
  </conditionalFormatting>
  <conditionalFormatting sqref="Z33:AF33">
    <cfRule type="expression" dxfId="1250" priority="284">
      <formula>Z33&gt;$AG33</formula>
    </cfRule>
  </conditionalFormatting>
  <conditionalFormatting sqref="A44">
    <cfRule type="expression" dxfId="1249" priority="277">
      <formula>$AH44=0</formula>
    </cfRule>
  </conditionalFormatting>
  <conditionalFormatting sqref="AL44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Z44:AF44">
    <cfRule type="expression" dxfId="1248" priority="276">
      <formula>Z44&gt;$AG44</formula>
    </cfRule>
  </conditionalFormatting>
  <conditionalFormatting sqref="Z44:AF44">
    <cfRule type="expression" dxfId="1247" priority="272">
      <formula>Z$9&gt;=20/24</formula>
    </cfRule>
    <cfRule type="expression" dxfId="1246" priority="273">
      <formula>AND(Z$9&gt;=14/24,Z$9&lt;20/24)</formula>
    </cfRule>
    <cfRule type="expression" dxfId="1245" priority="274">
      <formula>AND(Z$9&gt;=8/24,Z$9&lt;14/24)</formula>
    </cfRule>
    <cfRule type="expression" dxfId="1244" priority="275">
      <formula>Z$9&lt;8/24</formula>
    </cfRule>
  </conditionalFormatting>
  <conditionalFormatting sqref="D117:AF117">
    <cfRule type="expression" dxfId="1243" priority="263">
      <formula>D$9&gt;=20/24</formula>
    </cfRule>
    <cfRule type="expression" dxfId="1242" priority="264">
      <formula>AND(D$9&gt;=14/24,D$9&lt;20/24)</formula>
    </cfRule>
    <cfRule type="expression" dxfId="1241" priority="265">
      <formula>AND(D$9&gt;=8/24,D$9&lt;14/24)</formula>
    </cfRule>
    <cfRule type="expression" dxfId="1240" priority="266">
      <formula>D$9&lt;8/24</formula>
    </cfRule>
  </conditionalFormatting>
  <conditionalFormatting sqref="C117">
    <cfRule type="expression" dxfId="1239" priority="259">
      <formula>C$9&gt;=20/24</formula>
    </cfRule>
    <cfRule type="expression" dxfId="1238" priority="260">
      <formula>AND(C$9&gt;=14/24,C$9&lt;20/24)</formula>
    </cfRule>
    <cfRule type="expression" dxfId="1237" priority="261">
      <formula>AND(C$9&gt;=8/24,C$9&lt;14/24)</formula>
    </cfRule>
    <cfRule type="expression" dxfId="1236" priority="262">
      <formula>C$9&lt;8/24</formula>
    </cfRule>
  </conditionalFormatting>
  <conditionalFormatting sqref="B109 B111:B116">
    <cfRule type="expression" dxfId="1235" priority="124">
      <formula>B$9&gt;=20/24</formula>
    </cfRule>
    <cfRule type="expression" dxfId="1234" priority="125">
      <formula>AND(B$9&gt;=14/24,B$9&lt;20/24)</formula>
    </cfRule>
    <cfRule type="expression" dxfId="1233" priority="126">
      <formula>AND(B$9&gt;=8/24,B$9&lt;14/24)</formula>
    </cfRule>
    <cfRule type="expression" dxfId="1232" priority="127">
      <formula>B$9&lt;8/24</formula>
    </cfRule>
  </conditionalFormatting>
  <conditionalFormatting sqref="B99">
    <cfRule type="expression" dxfId="1231" priority="120">
      <formula>B$9&gt;=20/24</formula>
    </cfRule>
    <cfRule type="expression" dxfId="1230" priority="121">
      <formula>AND(B$9&gt;=14/24,B$9&lt;20/24)</formula>
    </cfRule>
    <cfRule type="expression" dxfId="1229" priority="122">
      <formula>AND(B$9&gt;=8/24,B$9&lt;14/24)</formula>
    </cfRule>
    <cfRule type="expression" dxfId="1228" priority="123">
      <formula>B$9&lt;8/24</formula>
    </cfRule>
  </conditionalFormatting>
  <conditionalFormatting sqref="B71:C71 B54:C57">
    <cfRule type="expression" dxfId="1227" priority="116">
      <formula>B$9&gt;=20/24</formula>
    </cfRule>
    <cfRule type="expression" dxfId="1226" priority="117">
      <formula>AND(B$9&gt;=14/24,B$9&lt;20/24)</formula>
    </cfRule>
    <cfRule type="expression" dxfId="1225" priority="118">
      <formula>AND(B$9&gt;=8/24,B$9&lt;14/24)</formula>
    </cfRule>
    <cfRule type="expression" dxfId="1224" priority="119">
      <formula>B$9&lt;8/24</formula>
    </cfRule>
  </conditionalFormatting>
  <conditionalFormatting sqref="B53:C53">
    <cfRule type="expression" dxfId="1223" priority="112">
      <formula>B$9&gt;=20/24</formula>
    </cfRule>
    <cfRule type="expression" dxfId="1222" priority="113">
      <formula>AND(B$9&gt;=14/24,B$9&lt;20/24)</formula>
    </cfRule>
    <cfRule type="expression" dxfId="1221" priority="114">
      <formula>AND(B$9&gt;=8/24,B$9&lt;14/24)</formula>
    </cfRule>
    <cfRule type="expression" dxfId="1220" priority="115">
      <formula>B$9&lt;8/24</formula>
    </cfRule>
  </conditionalFormatting>
  <conditionalFormatting sqref="B53:C57">
    <cfRule type="expression" dxfId="1219" priority="111">
      <formula>B53&gt;$AG53</formula>
    </cfRule>
  </conditionalFormatting>
  <conditionalFormatting sqref="B86 B96 B100:B106 B47 B67:C69 B72:C74">
    <cfRule type="expression" dxfId="1218" priority="107">
      <formula>B$9&gt;=20/24</formula>
    </cfRule>
    <cfRule type="expression" dxfId="1217" priority="108">
      <formula>AND(B$9&gt;=14/24,B$9&lt;20/24)</formula>
    </cfRule>
    <cfRule type="expression" dxfId="1216" priority="109">
      <formula>AND(B$9&gt;=8/24,B$9&lt;14/24)</formula>
    </cfRule>
    <cfRule type="expression" dxfId="1215" priority="110">
      <formula>B$9&lt;8/24</formula>
    </cfRule>
  </conditionalFormatting>
  <conditionalFormatting sqref="B47 B67:C69">
    <cfRule type="expression" dxfId="1214" priority="106">
      <formula>B47&gt;$AG47</formula>
    </cfRule>
  </conditionalFormatting>
  <conditionalFormatting sqref="B97 B88">
    <cfRule type="expression" dxfId="1213" priority="102">
      <formula>B$9&gt;=20/24</formula>
    </cfRule>
    <cfRule type="expression" dxfId="1212" priority="103">
      <formula>AND(B$9&gt;=14/24,B$9&lt;20/24)</formula>
    </cfRule>
    <cfRule type="expression" dxfId="1211" priority="104">
      <formula>AND(B$9&gt;=8/24,B$9&lt;14/24)</formula>
    </cfRule>
    <cfRule type="expression" dxfId="1210" priority="105">
      <formula>B$9&lt;8/24</formula>
    </cfRule>
  </conditionalFormatting>
  <conditionalFormatting sqref="B58:C58">
    <cfRule type="expression" dxfId="1209" priority="98">
      <formula>B$9&gt;=20/24</formula>
    </cfRule>
    <cfRule type="expression" dxfId="1208" priority="99">
      <formula>AND(B$9&gt;=14/24,B$9&lt;20/24)</formula>
    </cfRule>
    <cfRule type="expression" dxfId="1207" priority="100">
      <formula>AND(B$9&gt;=8/24,B$9&lt;14/24)</formula>
    </cfRule>
    <cfRule type="expression" dxfId="1206" priority="101">
      <formula>B$9&lt;8/24</formula>
    </cfRule>
  </conditionalFormatting>
  <conditionalFormatting sqref="B58:C58">
    <cfRule type="expression" dxfId="1205" priority="97">
      <formula>B58&gt;$AG58</formula>
    </cfRule>
  </conditionalFormatting>
  <conditionalFormatting sqref="B91:B95">
    <cfRule type="expression" dxfId="1204" priority="93">
      <formula>B$9&gt;=20/24</formula>
    </cfRule>
    <cfRule type="expression" dxfId="1203" priority="94">
      <formula>AND(B$9&gt;=14/24,B$9&lt;20/24)</formula>
    </cfRule>
    <cfRule type="expression" dxfId="1202" priority="95">
      <formula>AND(B$9&gt;=8/24,B$9&lt;14/24)</formula>
    </cfRule>
    <cfRule type="expression" dxfId="1201" priority="96">
      <formula>B$9&lt;8/24</formula>
    </cfRule>
  </conditionalFormatting>
  <conditionalFormatting sqref="B49:D51 E50:E51">
    <cfRule type="expression" dxfId="1200" priority="89">
      <formula>B$9&gt;=20/24</formula>
    </cfRule>
    <cfRule type="expression" dxfId="1199" priority="90">
      <formula>AND(B$9&gt;=14/24,B$9&lt;20/24)</formula>
    </cfRule>
    <cfRule type="expression" dxfId="1198" priority="91">
      <formula>AND(B$9&gt;=8/24,B$9&lt;14/24)</formula>
    </cfRule>
    <cfRule type="expression" dxfId="1197" priority="92">
      <formula>B$9&lt;8/24</formula>
    </cfRule>
  </conditionalFormatting>
  <conditionalFormatting sqref="B49:D51 E50:E51">
    <cfRule type="expression" dxfId="1196" priority="88">
      <formula>B49&gt;$AG49</formula>
    </cfRule>
  </conditionalFormatting>
  <conditionalFormatting sqref="B107">
    <cfRule type="expression" dxfId="1195" priority="84">
      <formula>B$9&gt;=20/24</formula>
    </cfRule>
    <cfRule type="expression" dxfId="1194" priority="85">
      <formula>AND(B$9&gt;=14/24,B$9&lt;20/24)</formula>
    </cfRule>
    <cfRule type="expression" dxfId="1193" priority="86">
      <formula>AND(B$9&gt;=8/24,B$9&lt;14/24)</formula>
    </cfRule>
    <cfRule type="expression" dxfId="1192" priority="87">
      <formula>B$9&lt;8/24</formula>
    </cfRule>
  </conditionalFormatting>
  <conditionalFormatting sqref="B110">
    <cfRule type="expression" dxfId="1191" priority="80">
      <formula>B$9&gt;=20/24</formula>
    </cfRule>
    <cfRule type="expression" dxfId="1190" priority="81">
      <formula>AND(B$9&gt;=14/24,B$9&lt;20/24)</formula>
    </cfRule>
    <cfRule type="expression" dxfId="1189" priority="82">
      <formula>AND(B$9&gt;=8/24,B$9&lt;14/24)</formula>
    </cfRule>
    <cfRule type="expression" dxfId="1188" priority="83">
      <formula>B$9&lt;8/24</formula>
    </cfRule>
  </conditionalFormatting>
  <conditionalFormatting sqref="B34:Y43 B17:Y32">
    <cfRule type="expression" dxfId="1187" priority="76">
      <formula>B$9&gt;=20/24</formula>
    </cfRule>
    <cfRule type="expression" dxfId="1186" priority="77">
      <formula>AND(B$9&gt;=14/24,B$9&lt;20/24)</formula>
    </cfRule>
    <cfRule type="expression" dxfId="1185" priority="78">
      <formula>AND(B$9&gt;=8/24,B$9&lt;14/24)</formula>
    </cfRule>
    <cfRule type="expression" dxfId="1184" priority="79">
      <formula>B$9&lt;8/24</formula>
    </cfRule>
  </conditionalFormatting>
  <conditionalFormatting sqref="B34:Y43 B17:Y32">
    <cfRule type="expression" dxfId="1183" priority="75">
      <formula>B17&gt;$AG17</formula>
    </cfRule>
  </conditionalFormatting>
  <conditionalFormatting sqref="B83:B85 B75:C76">
    <cfRule type="expression" dxfId="1182" priority="71">
      <formula>B$9&gt;=20/24</formula>
    </cfRule>
    <cfRule type="expression" dxfId="1181" priority="72">
      <formula>AND(B$9&gt;=14/24,B$9&lt;20/24)</formula>
    </cfRule>
    <cfRule type="expression" dxfId="1180" priority="73">
      <formula>AND(B$9&gt;=8/24,B$9&lt;14/24)</formula>
    </cfRule>
    <cfRule type="expression" dxfId="1179" priority="74">
      <formula>B$9&lt;8/24</formula>
    </cfRule>
  </conditionalFormatting>
  <conditionalFormatting sqref="B87 B89 B98 B70:C70">
    <cfRule type="expression" dxfId="1178" priority="67">
      <formula>B$9&gt;=20/24</formula>
    </cfRule>
    <cfRule type="expression" dxfId="1177" priority="68">
      <formula>AND(B$9&gt;=14/24,B$9&lt;20/24)</formula>
    </cfRule>
    <cfRule type="expression" dxfId="1176" priority="69">
      <formula>AND(B$9&gt;=8/24,B$9&lt;14/24)</formula>
    </cfRule>
    <cfRule type="expression" dxfId="1175" priority="70">
      <formula>B$9&lt;8/24</formula>
    </cfRule>
  </conditionalFormatting>
  <conditionalFormatting sqref="B48 B70:C70 B65:C66">
    <cfRule type="expression" dxfId="1174" priority="66">
      <formula>B48&gt;$AG48</formula>
    </cfRule>
  </conditionalFormatting>
  <conditionalFormatting sqref="B82">
    <cfRule type="expression" dxfId="1173" priority="62">
      <formula>B$9&gt;=20/24</formula>
    </cfRule>
    <cfRule type="expression" dxfId="1172" priority="63">
      <formula>AND(B$9&gt;=14/24,B$9&lt;20/24)</formula>
    </cfRule>
    <cfRule type="expression" dxfId="1171" priority="64">
      <formula>AND(B$9&gt;=8/24,B$9&lt;14/24)</formula>
    </cfRule>
    <cfRule type="expression" dxfId="1170" priority="65">
      <formula>B$9&lt;8/24</formula>
    </cfRule>
  </conditionalFormatting>
  <conditionalFormatting sqref="B52">
    <cfRule type="expression" dxfId="1169" priority="58">
      <formula>B$9&gt;=20/24</formula>
    </cfRule>
    <cfRule type="expression" dxfId="1168" priority="59">
      <formula>AND(B$9&gt;=14/24,B$9&lt;20/24)</formula>
    </cfRule>
    <cfRule type="expression" dxfId="1167" priority="60">
      <formula>AND(B$9&gt;=8/24,B$9&lt;14/24)</formula>
    </cfRule>
    <cfRule type="expression" dxfId="1166" priority="61">
      <formula>B$9&lt;8/24</formula>
    </cfRule>
  </conditionalFormatting>
  <conditionalFormatting sqref="B52">
    <cfRule type="expression" dxfId="1165" priority="57">
      <formula>B52&gt;$AG52</formula>
    </cfRule>
  </conditionalFormatting>
  <conditionalFormatting sqref="B59:C64">
    <cfRule type="expression" dxfId="1164" priority="49">
      <formula>B$9&gt;=20/24</formula>
    </cfRule>
    <cfRule type="expression" dxfId="1163" priority="50">
      <formula>AND(B$9&gt;=14/24,B$9&lt;20/24)</formula>
    </cfRule>
    <cfRule type="expression" dxfId="1162" priority="51">
      <formula>AND(B$9&gt;=8/24,B$9&lt;14/24)</formula>
    </cfRule>
    <cfRule type="expression" dxfId="1161" priority="52">
      <formula>B$9&lt;8/24</formula>
    </cfRule>
  </conditionalFormatting>
  <conditionalFormatting sqref="B59:C64">
    <cfRule type="expression" dxfId="1160" priority="48">
      <formula>B59&gt;$AG59</formula>
    </cfRule>
  </conditionalFormatting>
  <conditionalFormatting sqref="B13:L15 B45:Y45 M14:Y15">
    <cfRule type="expression" dxfId="1159" priority="47">
      <formula>B13&gt;$AG13</formula>
    </cfRule>
  </conditionalFormatting>
  <conditionalFormatting sqref="B12:L12">
    <cfRule type="expression" dxfId="1158" priority="43">
      <formula>B$9&gt;=20/24</formula>
    </cfRule>
    <cfRule type="expression" dxfId="1157" priority="44">
      <formula>AND(B$9&gt;=14/24,B$9&lt;20/24)</formula>
    </cfRule>
    <cfRule type="expression" dxfId="1156" priority="45">
      <formula>AND(B$9&gt;=8/24,B$9&lt;14/24)</formula>
    </cfRule>
    <cfRule type="expression" dxfId="1155" priority="46">
      <formula>B$9&lt;8/24</formula>
    </cfRule>
  </conditionalFormatting>
  <conditionalFormatting sqref="B12:L12">
    <cfRule type="expression" dxfId="1154" priority="42">
      <formula>B12&gt;$AG12</formula>
    </cfRule>
  </conditionalFormatting>
  <conditionalFormatting sqref="B13:L15 M14:Y15">
    <cfRule type="expression" dxfId="1153" priority="38">
      <formula>B$9&gt;=20/24</formula>
    </cfRule>
    <cfRule type="expression" dxfId="1152" priority="39">
      <formula>AND(B$9&gt;=14/24,B$9&lt;20/24)</formula>
    </cfRule>
    <cfRule type="expression" dxfId="1151" priority="40">
      <formula>AND(B$9&gt;=8/24,B$9&lt;14/24)</formula>
    </cfRule>
    <cfRule type="expression" dxfId="1150" priority="41">
      <formula>B$9&lt;8/24</formula>
    </cfRule>
  </conditionalFormatting>
  <conditionalFormatting sqref="B45:Y45">
    <cfRule type="expression" dxfId="1149" priority="34">
      <formula>B$9&gt;=20/24</formula>
    </cfRule>
    <cfRule type="expression" dxfId="1148" priority="35">
      <formula>AND(B$9&gt;=14/24,B$9&lt;20/24)</formula>
    </cfRule>
    <cfRule type="expression" dxfId="1147" priority="36">
      <formula>AND(B$9&gt;=8/24,B$9&lt;14/24)</formula>
    </cfRule>
    <cfRule type="expression" dxfId="1146" priority="37">
      <formula>B$9&lt;8/24</formula>
    </cfRule>
  </conditionalFormatting>
  <conditionalFormatting sqref="B77:C81">
    <cfRule type="expression" dxfId="1145" priority="30">
      <formula>B$9&gt;=20/24</formula>
    </cfRule>
    <cfRule type="expression" dxfId="1144" priority="31">
      <formula>AND(B$9&gt;=14/24,B$9&lt;20/24)</formula>
    </cfRule>
    <cfRule type="expression" dxfId="1143" priority="32">
      <formula>AND(B$9&gt;=8/24,B$9&lt;14/24)</formula>
    </cfRule>
    <cfRule type="expression" dxfId="1142" priority="33">
      <formula>B$9&lt;8/24</formula>
    </cfRule>
  </conditionalFormatting>
  <conditionalFormatting sqref="B46:Y46">
    <cfRule type="expression" dxfId="1141" priority="26">
      <formula>B$9&gt;=20/24</formula>
    </cfRule>
    <cfRule type="expression" dxfId="1140" priority="27">
      <formula>AND(B$9&gt;=14/24,B$9&lt;20/24)</formula>
    </cfRule>
    <cfRule type="expression" dxfId="1139" priority="28">
      <formula>AND(B$9&gt;=8/24,B$9&lt;14/24)</formula>
    </cfRule>
    <cfRule type="expression" dxfId="1138" priority="29">
      <formula>B$9&lt;8/24</formula>
    </cfRule>
  </conditionalFormatting>
  <conditionalFormatting sqref="B46:Y46">
    <cfRule type="expression" dxfId="1137" priority="25">
      <formula>B46&gt;$AG46</formula>
    </cfRule>
  </conditionalFormatting>
  <conditionalFormatting sqref="B11:L11">
    <cfRule type="expression" dxfId="1136" priority="21">
      <formula>B$9&gt;=20/24</formula>
    </cfRule>
    <cfRule type="expression" dxfId="1135" priority="22">
      <formula>AND(B$9&gt;=14/24,B$9&lt;20/24)</formula>
    </cfRule>
    <cfRule type="expression" dxfId="1134" priority="23">
      <formula>AND(B$9&gt;=8/24,B$9&lt;14/24)</formula>
    </cfRule>
    <cfRule type="expression" dxfId="1133" priority="24">
      <formula>B$9&lt;8/24</formula>
    </cfRule>
  </conditionalFormatting>
  <conditionalFormatting sqref="B11:L11">
    <cfRule type="expression" dxfId="1132" priority="20">
      <formula>B11&gt;$AG11</formula>
    </cfRule>
  </conditionalFormatting>
  <conditionalFormatting sqref="B16:Y16">
    <cfRule type="expression" dxfId="1131" priority="16">
      <formula>B$9&gt;=20/24</formula>
    </cfRule>
    <cfRule type="expression" dxfId="1130" priority="17">
      <formula>AND(B$9&gt;=14/24,B$9&lt;20/24)</formula>
    </cfRule>
    <cfRule type="expression" dxfId="1129" priority="18">
      <formula>AND(B$9&gt;=8/24,B$9&lt;14/24)</formula>
    </cfRule>
    <cfRule type="expression" dxfId="1128" priority="19">
      <formula>B$9&lt;8/24</formula>
    </cfRule>
  </conditionalFormatting>
  <conditionalFormatting sqref="B16:Y16">
    <cfRule type="expression" dxfId="1127" priority="15">
      <formula>B16&gt;$AG16</formula>
    </cfRule>
  </conditionalFormatting>
  <conditionalFormatting sqref="B33:Y33">
    <cfRule type="expression" dxfId="1126" priority="11">
      <formula>B$9&gt;=20/24</formula>
    </cfRule>
    <cfRule type="expression" dxfId="1125" priority="12">
      <formula>AND(B$9&gt;=14/24,B$9&lt;20/24)</formula>
    </cfRule>
    <cfRule type="expression" dxfId="1124" priority="13">
      <formula>AND(B$9&gt;=8/24,B$9&lt;14/24)</formula>
    </cfRule>
    <cfRule type="expression" dxfId="1123" priority="14">
      <formula>B$9&lt;8/24</formula>
    </cfRule>
  </conditionalFormatting>
  <conditionalFormatting sqref="B33:Y33">
    <cfRule type="expression" dxfId="1122" priority="10">
      <formula>B33&gt;$AG33</formula>
    </cfRule>
  </conditionalFormatting>
  <conditionalFormatting sqref="B44:Y44">
    <cfRule type="expression" dxfId="1121" priority="9">
      <formula>B44&gt;$AG44</formula>
    </cfRule>
  </conditionalFormatting>
  <conditionalFormatting sqref="B44:Y44">
    <cfRule type="expression" dxfId="1120" priority="5">
      <formula>B$9&gt;=20/24</formula>
    </cfRule>
    <cfRule type="expression" dxfId="1119" priority="6">
      <formula>AND(B$9&gt;=14/24,B$9&lt;20/24)</formula>
    </cfRule>
    <cfRule type="expression" dxfId="1118" priority="7">
      <formula>AND(B$9&gt;=8/24,B$9&lt;14/24)</formula>
    </cfRule>
    <cfRule type="expression" dxfId="1117" priority="8">
      <formula>B$9&lt;8/24</formula>
    </cfRule>
  </conditionalFormatting>
  <conditionalFormatting sqref="B117">
    <cfRule type="expression" dxfId="1116" priority="1">
      <formula>B$9&gt;=20/24</formula>
    </cfRule>
    <cfRule type="expression" dxfId="1115" priority="2">
      <formula>AND(B$9&gt;=14/24,B$9&lt;20/24)</formula>
    </cfRule>
    <cfRule type="expression" dxfId="1114" priority="3">
      <formula>AND(B$9&gt;=8/24,B$9&lt;14/24)</formula>
    </cfRule>
    <cfRule type="expression" dxfId="1113" priority="4">
      <formula>B$9&lt;8/24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5" id="{CBDBD58C-20B2-4EE1-8400-FEEE463921A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6" id="{D40E8713-F6B1-4CF7-8DF1-9EBB0131457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7" id="{E5EAD560-6850-4724-ADFE-311D1E31F25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8" id="{C1F51D6D-67BA-4CB7-93B6-A2F8041666A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3" id="{72F94302-133A-4E57-B34F-9E72B388DF5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0AF5FC7E-7F47-4D4E-BC82-B20C9D5853F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42E2236D-E99C-4EB7-AE67-F86AC967D3A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7F203E6B-4A52-41BD-BC91-402BDE36082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zoomScaleNormal="100" workbookViewId="0">
      <pane ySplit="10" topLeftCell="A65" activePane="bottomLeft" state="frozen"/>
      <selection activeCell="Z85" sqref="Z85"/>
      <selection pane="bottomLeft" activeCell="O49" sqref="O49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5" width="6.85546875" style="2" customWidth="1"/>
    <col min="26" max="26" width="8.28515625" style="2" customWidth="1"/>
    <col min="27" max="27" width="8.57031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2079/12/30</v>
      </c>
      <c r="C4" s="196"/>
      <c r="D4" s="196"/>
      <c r="E4" s="197" t="str">
        <f ca="1">"2079/"&amp;"12/"&amp;INT(MID(CELL("filename",G6),FIND("]",CELL("filename",G6))+1,200))</f>
        <v>2079/12/30</v>
      </c>
      <c r="F4" s="197"/>
      <c r="G4" s="197"/>
      <c r="H4" s="197" t="str">
        <f ca="1">TEXT(E4,"dddd")</f>
        <v>Saturday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528</v>
      </c>
      <c r="C5" s="33">
        <f t="shared" si="0"/>
        <v>550.4</v>
      </c>
      <c r="D5" s="33">
        <f t="shared" si="0"/>
        <v>550.6</v>
      </c>
      <c r="E5" s="33">
        <f t="shared" si="0"/>
        <v>548.9</v>
      </c>
      <c r="F5" s="33">
        <f t="shared" si="0"/>
        <v>576.5</v>
      </c>
      <c r="G5" s="33">
        <f t="shared" si="0"/>
        <v>544.4</v>
      </c>
      <c r="H5" s="33">
        <f t="shared" si="0"/>
        <v>483.7</v>
      </c>
      <c r="I5" s="33">
        <f t="shared" si="0"/>
        <v>532.6</v>
      </c>
      <c r="J5" s="33">
        <f t="shared" si="0"/>
        <v>593.9</v>
      </c>
      <c r="K5" s="33">
        <f t="shared" si="0"/>
        <v>589.1</v>
      </c>
      <c r="L5" s="33">
        <f t="shared" si="0"/>
        <v>594.20000000000005</v>
      </c>
      <c r="M5" s="33">
        <f t="shared" si="0"/>
        <v>622.5</v>
      </c>
      <c r="N5" s="33">
        <f t="shared" si="0"/>
        <v>671.8</v>
      </c>
      <c r="O5" s="33">
        <f t="shared" si="0"/>
        <v>616.9</v>
      </c>
      <c r="P5" s="33">
        <f t="shared" si="0"/>
        <v>630</v>
      </c>
      <c r="Q5" s="33">
        <f t="shared" si="0"/>
        <v>668</v>
      </c>
      <c r="R5" s="33">
        <f t="shared" si="0"/>
        <v>661.50000000000011</v>
      </c>
      <c r="S5" s="33">
        <f t="shared" si="0"/>
        <v>723.40000000000009</v>
      </c>
      <c r="T5" s="33">
        <f t="shared" si="0"/>
        <v>695.2</v>
      </c>
      <c r="U5" s="33">
        <f t="shared" si="0"/>
        <v>638.5</v>
      </c>
      <c r="V5" s="33">
        <f t="shared" si="0"/>
        <v>602.4</v>
      </c>
      <c r="W5" s="33">
        <f t="shared" si="0"/>
        <v>598.30000000000007</v>
      </c>
      <c r="X5" s="33">
        <f t="shared" si="0"/>
        <v>611.5</v>
      </c>
      <c r="Y5" s="33">
        <f t="shared" si="0"/>
        <v>624.6</v>
      </c>
      <c r="Z5" s="33">
        <f t="shared" si="0"/>
        <v>468</v>
      </c>
      <c r="AA5" s="33">
        <f t="shared" si="0"/>
        <v>519</v>
      </c>
      <c r="AB5" s="33">
        <f t="shared" si="0"/>
        <v>531.9</v>
      </c>
      <c r="AC5" s="33">
        <f t="shared" si="0"/>
        <v>561.5</v>
      </c>
      <c r="AD5" s="33">
        <f t="shared" si="0"/>
        <v>475.5</v>
      </c>
      <c r="AE5" s="33">
        <f t="shared" si="0"/>
        <v>454</v>
      </c>
      <c r="AF5" s="33">
        <f>B82</f>
        <v>523.6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1461MW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Load=1111</v>
      </c>
      <c r="B7" s="38">
        <f t="shared" ref="B7:AF7" si="1">B89</f>
        <v>1309.44</v>
      </c>
      <c r="C7" s="38">
        <f t="shared" si="1"/>
        <v>1139.8400000000001</v>
      </c>
      <c r="D7" s="38">
        <f t="shared" si="1"/>
        <v>1162.24</v>
      </c>
      <c r="E7" s="38">
        <f t="shared" si="1"/>
        <v>1128.2400000000002</v>
      </c>
      <c r="F7" s="38">
        <f t="shared" si="1"/>
        <v>1110.8399999999999</v>
      </c>
      <c r="G7" s="38">
        <f t="shared" si="1"/>
        <v>1113.24</v>
      </c>
      <c r="H7" s="38">
        <f t="shared" si="1"/>
        <v>1136.7399999999998</v>
      </c>
      <c r="I7" s="38">
        <f t="shared" si="1"/>
        <v>1154.94</v>
      </c>
      <c r="J7" s="38">
        <f t="shared" si="1"/>
        <v>1282.1399999999999</v>
      </c>
      <c r="K7" s="38">
        <f t="shared" si="1"/>
        <v>1326.54</v>
      </c>
      <c r="L7" s="38">
        <f t="shared" si="1"/>
        <v>1408.3400000000001</v>
      </c>
      <c r="M7" s="38">
        <f t="shared" si="1"/>
        <v>1421.3400000000001</v>
      </c>
      <c r="N7" s="38">
        <f>N89</f>
        <v>1461.1399999999999</v>
      </c>
      <c r="O7" s="38">
        <f t="shared" si="1"/>
        <v>1532.1399999999999</v>
      </c>
      <c r="P7" s="38">
        <f t="shared" si="1"/>
        <v>1511.1399999999999</v>
      </c>
      <c r="Q7" s="38">
        <f t="shared" si="1"/>
        <v>1520.6399999999999</v>
      </c>
      <c r="R7" s="38">
        <f t="shared" si="1"/>
        <v>1528.6399999999999</v>
      </c>
      <c r="S7" s="38">
        <f t="shared" si="1"/>
        <v>1516.94</v>
      </c>
      <c r="T7" s="38">
        <f t="shared" si="1"/>
        <v>1525.64</v>
      </c>
      <c r="U7" s="38">
        <f t="shared" si="1"/>
        <v>1495.94</v>
      </c>
      <c r="V7" s="38">
        <f t="shared" si="1"/>
        <v>1432.1399999999999</v>
      </c>
      <c r="W7" s="38">
        <f t="shared" si="1"/>
        <v>1476.8400000000001</v>
      </c>
      <c r="X7" s="38">
        <f t="shared" si="1"/>
        <v>1476.54</v>
      </c>
      <c r="Y7" s="38">
        <f t="shared" si="1"/>
        <v>1541.24</v>
      </c>
      <c r="Z7" s="38">
        <f t="shared" si="1"/>
        <v>1701.6399999999999</v>
      </c>
      <c r="AA7" s="38">
        <f t="shared" si="1"/>
        <v>1647.34</v>
      </c>
      <c r="AB7" s="38">
        <f t="shared" si="1"/>
        <v>1592.94</v>
      </c>
      <c r="AC7" s="38">
        <f t="shared" si="1"/>
        <v>1503.54</v>
      </c>
      <c r="AD7" s="38">
        <f t="shared" si="1"/>
        <v>1503.1399999999999</v>
      </c>
      <c r="AE7" s="38">
        <f t="shared" si="1"/>
        <v>1399.1399999999999</v>
      </c>
      <c r="AF7" s="38">
        <f t="shared" si="1"/>
        <v>1313.74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25</v>
      </c>
      <c r="C11" s="50">
        <v>25</v>
      </c>
      <c r="D11" s="50">
        <v>25</v>
      </c>
      <c r="E11" s="50">
        <v>25</v>
      </c>
      <c r="F11" s="50">
        <v>25</v>
      </c>
      <c r="G11" s="50">
        <v>25</v>
      </c>
      <c r="H11" s="50">
        <v>25</v>
      </c>
      <c r="I11" s="50">
        <v>25</v>
      </c>
      <c r="J11" s="50">
        <v>25</v>
      </c>
      <c r="K11" s="50">
        <v>25</v>
      </c>
      <c r="L11" s="50">
        <v>25</v>
      </c>
      <c r="M11" s="50">
        <v>25</v>
      </c>
      <c r="N11" s="50">
        <v>25</v>
      </c>
      <c r="O11" s="50">
        <v>25</v>
      </c>
      <c r="P11" s="50">
        <v>25</v>
      </c>
      <c r="Q11" s="50">
        <v>25</v>
      </c>
      <c r="R11" s="50">
        <v>25</v>
      </c>
      <c r="S11" s="50">
        <v>25</v>
      </c>
      <c r="T11" s="50">
        <v>23.6</v>
      </c>
      <c r="U11" s="50">
        <v>23.6</v>
      </c>
      <c r="V11" s="50">
        <v>23.6</v>
      </c>
      <c r="W11" s="50">
        <v>23.6</v>
      </c>
      <c r="X11" s="50">
        <v>23.6</v>
      </c>
      <c r="Y11" s="50">
        <v>23.6</v>
      </c>
      <c r="Z11" s="50">
        <v>23.6</v>
      </c>
      <c r="AA11" s="50">
        <v>23.6</v>
      </c>
      <c r="AB11" s="50">
        <v>23.6</v>
      </c>
      <c r="AC11" s="50">
        <v>23.6</v>
      </c>
      <c r="AD11" s="50">
        <v>23.6</v>
      </c>
      <c r="AE11" s="50">
        <v>23.6</v>
      </c>
      <c r="AF11" s="50">
        <v>23.6</v>
      </c>
      <c r="AG11" s="51">
        <v>86</v>
      </c>
      <c r="AH11" s="52">
        <f t="shared" ref="AH11:AH74" si="2">MAX(B11:AF11)</f>
        <v>25</v>
      </c>
      <c r="AI11" s="53">
        <f t="shared" ref="AI11:AI74" si="3">MIN(B11:AF11)</f>
        <v>23.6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15</v>
      </c>
      <c r="C12" s="50">
        <v>15</v>
      </c>
      <c r="D12" s="50">
        <v>15</v>
      </c>
      <c r="E12" s="50">
        <v>15</v>
      </c>
      <c r="F12" s="50">
        <v>14</v>
      </c>
      <c r="G12" s="50">
        <v>14</v>
      </c>
      <c r="H12" s="50">
        <v>14</v>
      </c>
      <c r="I12" s="50">
        <v>14</v>
      </c>
      <c r="J12" s="50">
        <v>14</v>
      </c>
      <c r="K12" s="50">
        <v>14</v>
      </c>
      <c r="L12" s="50">
        <v>14</v>
      </c>
      <c r="M12" s="50">
        <v>14</v>
      </c>
      <c r="N12" s="50">
        <v>14</v>
      </c>
      <c r="O12" s="50">
        <v>14</v>
      </c>
      <c r="P12" s="50">
        <v>14</v>
      </c>
      <c r="Q12" s="50">
        <v>14</v>
      </c>
      <c r="R12" s="50">
        <v>14</v>
      </c>
      <c r="S12" s="50">
        <v>14</v>
      </c>
      <c r="T12" s="50">
        <v>13.1</v>
      </c>
      <c r="U12" s="50">
        <v>13</v>
      </c>
      <c r="V12" s="50">
        <v>13</v>
      </c>
      <c r="W12" s="50">
        <v>13</v>
      </c>
      <c r="X12" s="50">
        <v>13</v>
      </c>
      <c r="Y12" s="50">
        <v>13</v>
      </c>
      <c r="Z12" s="50">
        <v>13</v>
      </c>
      <c r="AA12" s="50">
        <v>13</v>
      </c>
      <c r="AB12" s="50">
        <v>13</v>
      </c>
      <c r="AC12" s="50">
        <v>13</v>
      </c>
      <c r="AD12" s="50">
        <v>13</v>
      </c>
      <c r="AE12" s="50">
        <v>13</v>
      </c>
      <c r="AF12" s="50">
        <v>13</v>
      </c>
      <c r="AG12" s="51">
        <v>52.4</v>
      </c>
      <c r="AH12" s="52">
        <f t="shared" si="2"/>
        <v>15</v>
      </c>
      <c r="AI12" s="53">
        <f t="shared" si="3"/>
        <v>13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29.3</v>
      </c>
      <c r="C13" s="50">
        <v>29.3</v>
      </c>
      <c r="D13" s="50">
        <v>29.3</v>
      </c>
      <c r="E13" s="50">
        <v>32</v>
      </c>
      <c r="F13" s="50">
        <v>31.7</v>
      </c>
      <c r="G13" s="50">
        <v>31.7</v>
      </c>
      <c r="H13" s="50">
        <v>31.7</v>
      </c>
      <c r="I13" s="50">
        <v>31.7</v>
      </c>
      <c r="J13" s="50">
        <v>31.7</v>
      </c>
      <c r="K13" s="50">
        <v>31.7</v>
      </c>
      <c r="L13" s="50">
        <v>31.7</v>
      </c>
      <c r="M13" s="50">
        <v>31.7</v>
      </c>
      <c r="N13" s="50">
        <v>31.7</v>
      </c>
      <c r="O13" s="50">
        <v>31.7</v>
      </c>
      <c r="P13" s="50">
        <v>31.7</v>
      </c>
      <c r="Q13" s="50">
        <v>31.7</v>
      </c>
      <c r="R13" s="50">
        <v>31.7</v>
      </c>
      <c r="S13" s="50">
        <v>31.7</v>
      </c>
      <c r="T13" s="50">
        <v>32</v>
      </c>
      <c r="U13" s="50">
        <v>31.6</v>
      </c>
      <c r="V13" s="50">
        <v>31.6</v>
      </c>
      <c r="W13" s="50">
        <v>31.6</v>
      </c>
      <c r="X13" s="50">
        <v>31.6</v>
      </c>
      <c r="Y13" s="50">
        <v>31.6</v>
      </c>
      <c r="Z13" s="50">
        <v>31.6</v>
      </c>
      <c r="AA13" s="50">
        <v>31.6</v>
      </c>
      <c r="AB13" s="50">
        <v>31.6</v>
      </c>
      <c r="AC13" s="50">
        <v>31.6</v>
      </c>
      <c r="AD13" s="50">
        <v>31.6</v>
      </c>
      <c r="AE13" s="50">
        <v>31.6</v>
      </c>
      <c r="AF13" s="50">
        <v>31.6</v>
      </c>
      <c r="AG13" s="55">
        <v>50</v>
      </c>
      <c r="AH13" s="52">
        <f t="shared" si="2"/>
        <v>32</v>
      </c>
      <c r="AI13" s="53">
        <f t="shared" si="3"/>
        <v>29.3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16.100000000000001</v>
      </c>
      <c r="C14" s="50">
        <v>16.100000000000001</v>
      </c>
      <c r="D14" s="50">
        <v>16.100000000000001</v>
      </c>
      <c r="E14" s="50">
        <v>16.899999999999999</v>
      </c>
      <c r="F14" s="50">
        <v>16.899999999999999</v>
      </c>
      <c r="G14" s="50">
        <v>16.899999999999999</v>
      </c>
      <c r="H14" s="50">
        <v>16.899999999999999</v>
      </c>
      <c r="I14" s="50">
        <v>16.899999999999999</v>
      </c>
      <c r="J14" s="50">
        <v>16.899999999999999</v>
      </c>
      <c r="K14" s="50">
        <v>16.899999999999999</v>
      </c>
      <c r="L14" s="50">
        <v>16.899999999999999</v>
      </c>
      <c r="M14" s="50">
        <v>16.899999999999999</v>
      </c>
      <c r="N14" s="50">
        <v>16.899999999999999</v>
      </c>
      <c r="O14" s="50">
        <v>16.899999999999999</v>
      </c>
      <c r="P14" s="50">
        <v>16.899999999999999</v>
      </c>
      <c r="Q14" s="50">
        <v>16.899999999999999</v>
      </c>
      <c r="R14" s="50">
        <v>16.899999999999999</v>
      </c>
      <c r="S14" s="50">
        <v>16.899999999999999</v>
      </c>
      <c r="T14" s="50">
        <v>14.9</v>
      </c>
      <c r="U14" s="50">
        <v>14.9</v>
      </c>
      <c r="V14" s="50">
        <v>14.9</v>
      </c>
      <c r="W14" s="50">
        <v>16.2</v>
      </c>
      <c r="X14" s="50">
        <v>16.2</v>
      </c>
      <c r="Y14" s="50">
        <v>16.2</v>
      </c>
      <c r="Z14" s="50">
        <v>16.2</v>
      </c>
      <c r="AA14" s="50">
        <v>16.2</v>
      </c>
      <c r="AB14" s="50">
        <v>16.2</v>
      </c>
      <c r="AC14" s="50">
        <v>16.2</v>
      </c>
      <c r="AD14" s="50">
        <v>16.2</v>
      </c>
      <c r="AE14" s="50">
        <v>16.2</v>
      </c>
      <c r="AF14" s="50">
        <v>16.2</v>
      </c>
      <c r="AG14" s="55">
        <v>45</v>
      </c>
      <c r="AH14" s="52">
        <f t="shared" si="2"/>
        <v>16.899999999999999</v>
      </c>
      <c r="AI14" s="53">
        <f t="shared" si="3"/>
        <v>14.9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11</v>
      </c>
      <c r="C15" s="50">
        <v>11</v>
      </c>
      <c r="D15" s="50">
        <v>11</v>
      </c>
      <c r="E15" s="50">
        <v>11</v>
      </c>
      <c r="F15" s="50">
        <v>11</v>
      </c>
      <c r="G15" s="50">
        <v>11</v>
      </c>
      <c r="H15" s="50">
        <v>11</v>
      </c>
      <c r="I15" s="50">
        <v>11</v>
      </c>
      <c r="J15" s="50">
        <v>11</v>
      </c>
      <c r="K15" s="50">
        <v>11</v>
      </c>
      <c r="L15" s="50">
        <v>11</v>
      </c>
      <c r="M15" s="50">
        <v>11</v>
      </c>
      <c r="N15" s="50">
        <v>11</v>
      </c>
      <c r="O15" s="50">
        <v>11</v>
      </c>
      <c r="P15" s="50">
        <v>11</v>
      </c>
      <c r="Q15" s="50">
        <v>11</v>
      </c>
      <c r="R15" s="50">
        <v>11</v>
      </c>
      <c r="S15" s="50">
        <v>11</v>
      </c>
      <c r="T15" s="50">
        <v>9</v>
      </c>
      <c r="U15" s="50">
        <v>9</v>
      </c>
      <c r="V15" s="50">
        <v>9</v>
      </c>
      <c r="W15" s="50">
        <v>10</v>
      </c>
      <c r="X15" s="50">
        <v>10</v>
      </c>
      <c r="Y15" s="50">
        <v>10</v>
      </c>
      <c r="Z15" s="50">
        <v>10</v>
      </c>
      <c r="AA15" s="50">
        <v>10</v>
      </c>
      <c r="AB15" s="50">
        <v>10</v>
      </c>
      <c r="AC15" s="50">
        <v>10</v>
      </c>
      <c r="AD15" s="50">
        <v>10</v>
      </c>
      <c r="AE15" s="50">
        <v>10</v>
      </c>
      <c r="AF15" s="50">
        <v>10</v>
      </c>
      <c r="AG15" s="55">
        <v>42</v>
      </c>
      <c r="AH15" s="52">
        <f t="shared" si="2"/>
        <v>11</v>
      </c>
      <c r="AI15" s="53">
        <f t="shared" si="3"/>
        <v>9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7</v>
      </c>
      <c r="N16" s="50">
        <v>7</v>
      </c>
      <c r="O16" s="50">
        <v>7</v>
      </c>
      <c r="P16" s="50">
        <v>7</v>
      </c>
      <c r="Q16" s="50">
        <v>7</v>
      </c>
      <c r="R16" s="50">
        <v>7</v>
      </c>
      <c r="S16" s="50">
        <v>7</v>
      </c>
      <c r="T16" s="50">
        <v>7</v>
      </c>
      <c r="U16" s="50">
        <v>7</v>
      </c>
      <c r="V16" s="50">
        <v>7</v>
      </c>
      <c r="W16" s="50">
        <v>7</v>
      </c>
      <c r="X16" s="50">
        <v>7</v>
      </c>
      <c r="Y16" s="50">
        <v>7</v>
      </c>
      <c r="Z16" s="50">
        <v>7</v>
      </c>
      <c r="AA16" s="50">
        <v>7</v>
      </c>
      <c r="AB16" s="50">
        <v>7</v>
      </c>
      <c r="AC16" s="50">
        <v>7</v>
      </c>
      <c r="AD16" s="50">
        <v>7</v>
      </c>
      <c r="AE16" s="50">
        <v>7</v>
      </c>
      <c r="AF16" s="50">
        <v>7</v>
      </c>
      <c r="AG16" s="55">
        <v>36</v>
      </c>
      <c r="AH16" s="52">
        <f t="shared" si="2"/>
        <v>7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10.9</v>
      </c>
      <c r="C17" s="50">
        <v>10.9</v>
      </c>
      <c r="D17" s="50">
        <v>10.9</v>
      </c>
      <c r="E17" s="50">
        <v>10.9</v>
      </c>
      <c r="F17" s="50">
        <v>10.9</v>
      </c>
      <c r="G17" s="50">
        <v>10.9</v>
      </c>
      <c r="H17" s="50">
        <v>10.9</v>
      </c>
      <c r="I17" s="50">
        <v>10.9</v>
      </c>
      <c r="J17" s="50">
        <v>10.9</v>
      </c>
      <c r="K17" s="50">
        <v>10.9</v>
      </c>
      <c r="L17" s="50">
        <v>10.9</v>
      </c>
      <c r="M17" s="50">
        <v>10.9</v>
      </c>
      <c r="N17" s="50">
        <v>10.9</v>
      </c>
      <c r="O17" s="50">
        <v>10.9</v>
      </c>
      <c r="P17" s="50">
        <v>10.9</v>
      </c>
      <c r="Q17" s="50">
        <v>10.9</v>
      </c>
      <c r="R17" s="50">
        <v>10.9</v>
      </c>
      <c r="S17" s="50">
        <v>10.9</v>
      </c>
      <c r="T17" s="50">
        <v>10</v>
      </c>
      <c r="U17" s="50">
        <v>10</v>
      </c>
      <c r="V17" s="50">
        <v>10</v>
      </c>
      <c r="W17" s="50">
        <v>10</v>
      </c>
      <c r="X17" s="50">
        <v>10</v>
      </c>
      <c r="Y17" s="50">
        <v>10</v>
      </c>
      <c r="Z17" s="50">
        <v>10</v>
      </c>
      <c r="AA17" s="50">
        <v>10</v>
      </c>
      <c r="AB17" s="50">
        <v>10</v>
      </c>
      <c r="AC17" s="50">
        <v>10</v>
      </c>
      <c r="AD17" s="50">
        <v>10</v>
      </c>
      <c r="AE17" s="50">
        <v>10</v>
      </c>
      <c r="AF17" s="50">
        <v>10</v>
      </c>
      <c r="AG17" s="55">
        <v>36</v>
      </c>
      <c r="AH17" s="52">
        <f t="shared" si="2"/>
        <v>10.9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9.1999999999999993</v>
      </c>
      <c r="C18" s="50">
        <v>9.1999999999999993</v>
      </c>
      <c r="D18" s="50">
        <v>9.1999999999999993</v>
      </c>
      <c r="E18" s="50">
        <v>9.1999999999999993</v>
      </c>
      <c r="F18" s="50">
        <v>9.6</v>
      </c>
      <c r="G18" s="50">
        <v>9.6</v>
      </c>
      <c r="H18" s="50">
        <v>9.6</v>
      </c>
      <c r="I18" s="50">
        <v>9.6</v>
      </c>
      <c r="J18" s="50">
        <v>9.6</v>
      </c>
      <c r="K18" s="50">
        <v>9.6</v>
      </c>
      <c r="L18" s="50">
        <v>9.6</v>
      </c>
      <c r="M18" s="50">
        <v>9.6</v>
      </c>
      <c r="N18" s="50">
        <v>9.6</v>
      </c>
      <c r="O18" s="50">
        <v>9.6</v>
      </c>
      <c r="P18" s="50">
        <v>9.6</v>
      </c>
      <c r="Q18" s="50">
        <v>9.6</v>
      </c>
      <c r="R18" s="50">
        <v>9.6</v>
      </c>
      <c r="S18" s="50">
        <v>9.6</v>
      </c>
      <c r="T18" s="50">
        <v>8.8000000000000007</v>
      </c>
      <c r="U18" s="50">
        <v>9</v>
      </c>
      <c r="V18" s="50">
        <v>9</v>
      </c>
      <c r="W18" s="50">
        <v>9.3000000000000007</v>
      </c>
      <c r="X18" s="50">
        <v>9.3000000000000007</v>
      </c>
      <c r="Y18" s="50">
        <v>9.3000000000000007</v>
      </c>
      <c r="Z18" s="50">
        <v>9.3000000000000007</v>
      </c>
      <c r="AA18" s="50">
        <v>9.3000000000000007</v>
      </c>
      <c r="AB18" s="50">
        <v>9.3000000000000007</v>
      </c>
      <c r="AC18" s="50">
        <v>9.3000000000000007</v>
      </c>
      <c r="AD18" s="50">
        <v>9.3000000000000007</v>
      </c>
      <c r="AE18" s="50">
        <v>9.3000000000000007</v>
      </c>
      <c r="AF18" s="50">
        <v>9.3000000000000007</v>
      </c>
      <c r="AG18" s="56">
        <v>30</v>
      </c>
      <c r="AH18" s="52">
        <f t="shared" si="2"/>
        <v>9.6</v>
      </c>
      <c r="AI18" s="53">
        <f t="shared" si="3"/>
        <v>8.8000000000000007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7.3</v>
      </c>
      <c r="G19" s="50">
        <v>7.3</v>
      </c>
      <c r="H19" s="50">
        <v>7.3</v>
      </c>
      <c r="I19" s="50">
        <v>7.3</v>
      </c>
      <c r="J19" s="50">
        <v>7.3</v>
      </c>
      <c r="K19" s="50">
        <v>7.3</v>
      </c>
      <c r="L19" s="50">
        <v>7.3</v>
      </c>
      <c r="M19" s="50">
        <v>7.3</v>
      </c>
      <c r="N19" s="50">
        <v>7.3</v>
      </c>
      <c r="O19" s="50">
        <v>7.3</v>
      </c>
      <c r="P19" s="50">
        <v>7.3</v>
      </c>
      <c r="Q19" s="50">
        <v>7.3</v>
      </c>
      <c r="R19" s="50">
        <v>7.3</v>
      </c>
      <c r="S19" s="50">
        <v>7.3</v>
      </c>
      <c r="T19" s="50">
        <v>6.6</v>
      </c>
      <c r="U19" s="50">
        <v>6.6</v>
      </c>
      <c r="V19" s="50">
        <v>6.6</v>
      </c>
      <c r="W19" s="50">
        <v>6.6</v>
      </c>
      <c r="X19" s="50">
        <v>6.6</v>
      </c>
      <c r="Y19" s="50">
        <v>6.6</v>
      </c>
      <c r="Z19" s="50">
        <v>6.6</v>
      </c>
      <c r="AA19" s="50">
        <v>6.6</v>
      </c>
      <c r="AB19" s="50">
        <v>6.6</v>
      </c>
      <c r="AC19" s="50">
        <v>6.6</v>
      </c>
      <c r="AD19" s="50">
        <v>6.6</v>
      </c>
      <c r="AE19" s="50">
        <v>6.6</v>
      </c>
      <c r="AF19" s="50">
        <v>6.6</v>
      </c>
      <c r="AG19" s="55">
        <v>24.2</v>
      </c>
      <c r="AH19" s="52">
        <f t="shared" si="2"/>
        <v>7.3</v>
      </c>
      <c r="AI19" s="53">
        <f t="shared" si="3"/>
        <v>6.6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9.5</v>
      </c>
      <c r="C20" s="50">
        <v>9.5</v>
      </c>
      <c r="D20" s="50">
        <v>9.5</v>
      </c>
      <c r="E20" s="50">
        <v>9.5</v>
      </c>
      <c r="F20" s="50">
        <v>9.5</v>
      </c>
      <c r="G20" s="50">
        <v>9.5</v>
      </c>
      <c r="H20" s="50">
        <v>9.5</v>
      </c>
      <c r="I20" s="50">
        <v>9.5</v>
      </c>
      <c r="J20" s="50">
        <v>9.5</v>
      </c>
      <c r="K20" s="50">
        <v>9.5</v>
      </c>
      <c r="L20" s="50">
        <v>9.5</v>
      </c>
      <c r="M20" s="50">
        <v>9.5</v>
      </c>
      <c r="N20" s="50">
        <v>9.5</v>
      </c>
      <c r="O20" s="50">
        <v>9.5</v>
      </c>
      <c r="P20" s="50">
        <v>9.5</v>
      </c>
      <c r="Q20" s="50">
        <v>9.5</v>
      </c>
      <c r="R20" s="50">
        <v>9.5</v>
      </c>
      <c r="S20" s="50">
        <v>9.5</v>
      </c>
      <c r="T20" s="50">
        <v>9.5</v>
      </c>
      <c r="U20" s="50">
        <v>9</v>
      </c>
      <c r="V20" s="50">
        <v>9</v>
      </c>
      <c r="W20" s="50">
        <v>9</v>
      </c>
      <c r="X20" s="50">
        <v>9</v>
      </c>
      <c r="Y20" s="50">
        <v>9</v>
      </c>
      <c r="Z20" s="50">
        <v>9</v>
      </c>
      <c r="AA20" s="50">
        <v>9</v>
      </c>
      <c r="AB20" s="50">
        <v>9</v>
      </c>
      <c r="AC20" s="50">
        <v>9</v>
      </c>
      <c r="AD20" s="50">
        <v>9</v>
      </c>
      <c r="AE20" s="50">
        <v>9</v>
      </c>
      <c r="AF20" s="50">
        <v>9</v>
      </c>
      <c r="AG20" s="55">
        <v>28</v>
      </c>
      <c r="AH20" s="52">
        <f t="shared" si="2"/>
        <v>9.5</v>
      </c>
      <c r="AI20" s="53">
        <f t="shared" si="3"/>
        <v>9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6.4</v>
      </c>
      <c r="T21" s="50">
        <v>6.4</v>
      </c>
      <c r="U21" s="50">
        <v>6.4</v>
      </c>
      <c r="V21" s="50">
        <v>6.4</v>
      </c>
      <c r="W21" s="50">
        <v>6.4</v>
      </c>
      <c r="X21" s="50">
        <v>6.4</v>
      </c>
      <c r="Y21" s="50">
        <v>6.4</v>
      </c>
      <c r="Z21" s="50">
        <v>6.4</v>
      </c>
      <c r="AA21" s="50">
        <v>6.4</v>
      </c>
      <c r="AB21" s="50">
        <v>6.4</v>
      </c>
      <c r="AC21" s="50">
        <v>6.4</v>
      </c>
      <c r="AD21" s="50">
        <v>6.4</v>
      </c>
      <c r="AE21" s="50">
        <v>6.4</v>
      </c>
      <c r="AF21" s="50">
        <v>6.4</v>
      </c>
      <c r="AG21" s="56">
        <v>30</v>
      </c>
      <c r="AH21" s="52">
        <f t="shared" si="2"/>
        <v>6.4</v>
      </c>
      <c r="AI21" s="53">
        <f t="shared" si="3"/>
        <v>0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9.1999999999999993</v>
      </c>
      <c r="C22" s="50">
        <v>9.1999999999999993</v>
      </c>
      <c r="D22" s="50">
        <v>9.1999999999999993</v>
      </c>
      <c r="E22" s="50">
        <v>9.1999999999999993</v>
      </c>
      <c r="F22" s="50">
        <v>9.1999999999999993</v>
      </c>
      <c r="G22" s="50">
        <v>9.1999999999999993</v>
      </c>
      <c r="H22" s="50">
        <v>9.1999999999999993</v>
      </c>
      <c r="I22" s="50">
        <v>9.1999999999999993</v>
      </c>
      <c r="J22" s="50">
        <v>9.1999999999999993</v>
      </c>
      <c r="K22" s="50">
        <v>9.1999999999999993</v>
      </c>
      <c r="L22" s="50">
        <v>9.1999999999999993</v>
      </c>
      <c r="M22" s="50">
        <v>9.1999999999999993</v>
      </c>
      <c r="N22" s="50">
        <v>9.1999999999999993</v>
      </c>
      <c r="O22" s="50">
        <v>9.1999999999999993</v>
      </c>
      <c r="P22" s="50">
        <v>9.1999999999999993</v>
      </c>
      <c r="Q22" s="50">
        <v>9.1999999999999993</v>
      </c>
      <c r="R22" s="50">
        <v>9.1999999999999993</v>
      </c>
      <c r="S22" s="50">
        <v>9.1999999999999993</v>
      </c>
      <c r="T22" s="50">
        <v>8.6999999999999993</v>
      </c>
      <c r="U22" s="50">
        <v>9.3000000000000007</v>
      </c>
      <c r="V22" s="50">
        <v>9.3000000000000007</v>
      </c>
      <c r="W22" s="50">
        <v>10.7</v>
      </c>
      <c r="X22" s="50">
        <v>10.7</v>
      </c>
      <c r="Y22" s="50">
        <v>10.7</v>
      </c>
      <c r="Z22" s="50">
        <v>10.7</v>
      </c>
      <c r="AA22" s="50">
        <v>10.7</v>
      </c>
      <c r="AB22" s="50">
        <v>10.7</v>
      </c>
      <c r="AC22" s="50">
        <v>10.7</v>
      </c>
      <c r="AD22" s="50">
        <v>10.7</v>
      </c>
      <c r="AE22" s="50">
        <v>10.7</v>
      </c>
      <c r="AF22" s="50">
        <v>10.7</v>
      </c>
      <c r="AG22" s="55">
        <v>25</v>
      </c>
      <c r="AH22" s="52">
        <f t="shared" si="2"/>
        <v>10.7</v>
      </c>
      <c r="AI22" s="53">
        <f t="shared" si="3"/>
        <v>8.6999999999999993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9.9</v>
      </c>
      <c r="N23" s="50">
        <v>9.9</v>
      </c>
      <c r="O23" s="50">
        <v>9.9</v>
      </c>
      <c r="P23" s="50">
        <v>9.9</v>
      </c>
      <c r="Q23" s="50">
        <v>9.9</v>
      </c>
      <c r="R23" s="50">
        <v>9.9</v>
      </c>
      <c r="S23" s="50">
        <v>9</v>
      </c>
      <c r="T23" s="50">
        <v>9</v>
      </c>
      <c r="U23" s="50">
        <v>9</v>
      </c>
      <c r="V23" s="50">
        <v>9</v>
      </c>
      <c r="W23" s="50">
        <v>9</v>
      </c>
      <c r="X23" s="50">
        <v>9</v>
      </c>
      <c r="Y23" s="50">
        <v>9</v>
      </c>
      <c r="Z23" s="50">
        <v>9</v>
      </c>
      <c r="AA23" s="50">
        <v>9</v>
      </c>
      <c r="AB23" s="50">
        <v>9</v>
      </c>
      <c r="AC23" s="50">
        <v>9</v>
      </c>
      <c r="AD23" s="50">
        <v>9</v>
      </c>
      <c r="AE23" s="50">
        <v>9</v>
      </c>
      <c r="AF23" s="50">
        <v>9</v>
      </c>
      <c r="AG23" s="55">
        <v>25</v>
      </c>
      <c r="AH23" s="52">
        <f t="shared" si="2"/>
        <v>9.9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>
        <v>6</v>
      </c>
      <c r="T24" s="50">
        <v>6</v>
      </c>
      <c r="U24" s="50">
        <v>6</v>
      </c>
      <c r="V24" s="50">
        <v>6</v>
      </c>
      <c r="W24" s="50">
        <v>6</v>
      </c>
      <c r="X24" s="50">
        <v>6</v>
      </c>
      <c r="Y24" s="50">
        <v>6</v>
      </c>
      <c r="Z24" s="50">
        <v>6</v>
      </c>
      <c r="AA24" s="50">
        <v>6</v>
      </c>
      <c r="AB24" s="50">
        <v>6</v>
      </c>
      <c r="AC24" s="50">
        <v>6</v>
      </c>
      <c r="AD24" s="50">
        <v>6</v>
      </c>
      <c r="AE24" s="50">
        <v>6</v>
      </c>
      <c r="AF24" s="50">
        <v>6</v>
      </c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>
        <v>7</v>
      </c>
      <c r="T25" s="50">
        <v>7</v>
      </c>
      <c r="U25" s="50">
        <v>7</v>
      </c>
      <c r="V25" s="50">
        <v>7</v>
      </c>
      <c r="W25" s="50">
        <v>7</v>
      </c>
      <c r="X25" s="50">
        <v>7</v>
      </c>
      <c r="Y25" s="50">
        <v>7</v>
      </c>
      <c r="Z25" s="50">
        <v>7</v>
      </c>
      <c r="AA25" s="50">
        <v>7</v>
      </c>
      <c r="AB25" s="50">
        <v>7</v>
      </c>
      <c r="AC25" s="50">
        <v>7</v>
      </c>
      <c r="AD25" s="50">
        <v>7</v>
      </c>
      <c r="AE25" s="50">
        <v>7</v>
      </c>
      <c r="AF25" s="50">
        <v>7</v>
      </c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5.6</v>
      </c>
      <c r="C26" s="50">
        <v>5.6</v>
      </c>
      <c r="D26" s="50">
        <v>5.6</v>
      </c>
      <c r="E26" s="50">
        <v>5.6</v>
      </c>
      <c r="F26" s="50">
        <v>5.6</v>
      </c>
      <c r="G26" s="50">
        <v>5.6</v>
      </c>
      <c r="H26" s="50">
        <v>5.6</v>
      </c>
      <c r="I26" s="50">
        <v>5.6</v>
      </c>
      <c r="J26" s="50">
        <v>5.6</v>
      </c>
      <c r="K26" s="50">
        <v>5.6</v>
      </c>
      <c r="L26" s="50">
        <v>5.6</v>
      </c>
      <c r="M26" s="50">
        <v>5.6</v>
      </c>
      <c r="N26" s="50">
        <v>5.6</v>
      </c>
      <c r="O26" s="50">
        <v>5.6</v>
      </c>
      <c r="P26" s="50">
        <v>5.6</v>
      </c>
      <c r="Q26" s="50">
        <v>5.6</v>
      </c>
      <c r="R26" s="50">
        <v>5.6</v>
      </c>
      <c r="S26" s="50">
        <v>5.6</v>
      </c>
      <c r="T26" s="50">
        <v>6.1</v>
      </c>
      <c r="U26" s="50">
        <v>4.8</v>
      </c>
      <c r="V26" s="50">
        <v>4.8</v>
      </c>
      <c r="W26" s="50">
        <v>4.9000000000000004</v>
      </c>
      <c r="X26" s="50">
        <v>4.9000000000000004</v>
      </c>
      <c r="Y26" s="50">
        <v>4.9000000000000004</v>
      </c>
      <c r="Z26" s="50">
        <v>4.9000000000000004</v>
      </c>
      <c r="AA26" s="50">
        <v>4.9000000000000004</v>
      </c>
      <c r="AB26" s="50">
        <v>4.9000000000000004</v>
      </c>
      <c r="AC26" s="50">
        <v>4.9000000000000004</v>
      </c>
      <c r="AD26" s="50">
        <v>4.9000000000000004</v>
      </c>
      <c r="AE26" s="50">
        <v>4.9000000000000004</v>
      </c>
      <c r="AF26" s="50">
        <v>4.9000000000000004</v>
      </c>
      <c r="AG26" s="55">
        <v>23.5</v>
      </c>
      <c r="AH26" s="52">
        <f t="shared" si="2"/>
        <v>6.1</v>
      </c>
      <c r="AI26" s="53">
        <f t="shared" si="3"/>
        <v>4.8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3</v>
      </c>
      <c r="T27" s="50">
        <v>3</v>
      </c>
      <c r="U27" s="50">
        <v>3</v>
      </c>
      <c r="V27" s="50">
        <v>3</v>
      </c>
      <c r="W27" s="50">
        <v>3</v>
      </c>
      <c r="X27" s="50">
        <v>3</v>
      </c>
      <c r="Y27" s="50">
        <v>3</v>
      </c>
      <c r="Z27" s="50">
        <v>3</v>
      </c>
      <c r="AA27" s="50">
        <v>3</v>
      </c>
      <c r="AB27" s="50">
        <v>3</v>
      </c>
      <c r="AC27" s="50">
        <v>3</v>
      </c>
      <c r="AD27" s="50">
        <v>3</v>
      </c>
      <c r="AE27" s="50">
        <v>3</v>
      </c>
      <c r="AF27" s="50">
        <v>3</v>
      </c>
      <c r="AG27" s="55">
        <v>22.2</v>
      </c>
      <c r="AH27" s="52">
        <f t="shared" si="2"/>
        <v>3</v>
      </c>
      <c r="AI27" s="53">
        <f t="shared" si="3"/>
        <v>0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2.6</v>
      </c>
      <c r="T28" s="50">
        <v>2.6</v>
      </c>
      <c r="U28" s="50">
        <v>2.6</v>
      </c>
      <c r="V28" s="50">
        <v>2.6</v>
      </c>
      <c r="W28" s="50">
        <v>2.6</v>
      </c>
      <c r="X28" s="50">
        <v>2.6</v>
      </c>
      <c r="Y28" s="50">
        <v>2.6</v>
      </c>
      <c r="Z28" s="50">
        <v>2.6</v>
      </c>
      <c r="AA28" s="50">
        <v>2.6</v>
      </c>
      <c r="AB28" s="50">
        <v>2.6</v>
      </c>
      <c r="AC28" s="50">
        <v>2.6</v>
      </c>
      <c r="AD28" s="50">
        <v>2.6</v>
      </c>
      <c r="AE28" s="50">
        <v>2.6</v>
      </c>
      <c r="AF28" s="50">
        <v>2.6</v>
      </c>
      <c r="AG28" s="55">
        <v>22.1</v>
      </c>
      <c r="AH28" s="52">
        <f t="shared" si="2"/>
        <v>2.6</v>
      </c>
      <c r="AI28" s="53">
        <f t="shared" si="3"/>
        <v>0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10</v>
      </c>
      <c r="N29" s="50">
        <v>10</v>
      </c>
      <c r="O29" s="50">
        <v>10</v>
      </c>
      <c r="P29" s="50">
        <v>10</v>
      </c>
      <c r="Q29" s="50">
        <v>10</v>
      </c>
      <c r="R29" s="50">
        <v>10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10</v>
      </c>
      <c r="AC29" s="50">
        <v>10</v>
      </c>
      <c r="AD29" s="50">
        <v>10</v>
      </c>
      <c r="AE29" s="50">
        <v>10</v>
      </c>
      <c r="AF29" s="50">
        <v>10</v>
      </c>
      <c r="AG29" s="55">
        <v>22</v>
      </c>
      <c r="AH29" s="52">
        <f t="shared" si="2"/>
        <v>10</v>
      </c>
      <c r="AI29" s="53">
        <f t="shared" si="3"/>
        <v>4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10.5</v>
      </c>
      <c r="C30" s="50">
        <v>10.5</v>
      </c>
      <c r="D30" s="50">
        <v>10.5</v>
      </c>
      <c r="E30" s="50">
        <v>10.5</v>
      </c>
      <c r="F30" s="50">
        <v>10.5</v>
      </c>
      <c r="G30" s="50">
        <v>10.5</v>
      </c>
      <c r="H30" s="50">
        <v>10.5</v>
      </c>
      <c r="I30" s="50">
        <v>10.5</v>
      </c>
      <c r="J30" s="50">
        <v>10.5</v>
      </c>
      <c r="K30" s="50">
        <v>10.5</v>
      </c>
      <c r="L30" s="50">
        <v>10.5</v>
      </c>
      <c r="M30" s="50">
        <v>10.5</v>
      </c>
      <c r="N30" s="50">
        <v>10.5</v>
      </c>
      <c r="O30" s="50">
        <v>10.5</v>
      </c>
      <c r="P30" s="50">
        <v>10.5</v>
      </c>
      <c r="Q30" s="50">
        <v>10.5</v>
      </c>
      <c r="R30" s="50">
        <v>10.5</v>
      </c>
      <c r="S30" s="50">
        <v>10.5</v>
      </c>
      <c r="T30" s="50">
        <v>5</v>
      </c>
      <c r="U30" s="50">
        <v>5</v>
      </c>
      <c r="V30" s="50">
        <v>5</v>
      </c>
      <c r="W30" s="50">
        <v>9</v>
      </c>
      <c r="X30" s="50">
        <v>9</v>
      </c>
      <c r="Y30" s="50">
        <v>9</v>
      </c>
      <c r="Z30" s="50">
        <v>9</v>
      </c>
      <c r="AA30" s="50">
        <v>9</v>
      </c>
      <c r="AB30" s="50">
        <v>9</v>
      </c>
      <c r="AC30" s="50">
        <v>9</v>
      </c>
      <c r="AD30" s="50">
        <v>9</v>
      </c>
      <c r="AE30" s="50">
        <v>9</v>
      </c>
      <c r="AF30" s="50">
        <v>9</v>
      </c>
      <c r="AG30" s="55">
        <v>22</v>
      </c>
      <c r="AH30" s="52">
        <f t="shared" si="2"/>
        <v>10.5</v>
      </c>
      <c r="AI30" s="53">
        <f t="shared" si="3"/>
        <v>5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5</v>
      </c>
      <c r="C31" s="50">
        <v>5.9</v>
      </c>
      <c r="D31" s="50">
        <v>5.9</v>
      </c>
      <c r="E31" s="50">
        <v>5.9</v>
      </c>
      <c r="F31" s="50">
        <v>5.9</v>
      </c>
      <c r="G31" s="50">
        <v>5.9</v>
      </c>
      <c r="H31" s="50">
        <v>5.9</v>
      </c>
      <c r="I31" s="50">
        <v>5.9</v>
      </c>
      <c r="J31" s="50">
        <v>5.9</v>
      </c>
      <c r="K31" s="50">
        <v>5.9</v>
      </c>
      <c r="L31" s="50">
        <v>5.9</v>
      </c>
      <c r="M31" s="50">
        <v>5.9</v>
      </c>
      <c r="N31" s="50">
        <v>5.9</v>
      </c>
      <c r="O31" s="50">
        <v>5.9</v>
      </c>
      <c r="P31" s="50">
        <v>5.9</v>
      </c>
      <c r="Q31" s="50">
        <v>5.9</v>
      </c>
      <c r="R31" s="50">
        <v>5.9</v>
      </c>
      <c r="S31" s="50">
        <v>5.9</v>
      </c>
      <c r="T31" s="50">
        <v>5</v>
      </c>
      <c r="U31" s="50">
        <v>5</v>
      </c>
      <c r="V31" s="50">
        <v>5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55">
        <v>20</v>
      </c>
      <c r="AH31" s="52">
        <f t="shared" si="2"/>
        <v>6</v>
      </c>
      <c r="AI31" s="53">
        <f t="shared" si="3"/>
        <v>5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4</v>
      </c>
      <c r="T32" s="50">
        <v>4</v>
      </c>
      <c r="U32" s="50">
        <v>4</v>
      </c>
      <c r="V32" s="50">
        <v>4</v>
      </c>
      <c r="W32" s="50">
        <v>4</v>
      </c>
      <c r="X32" s="50">
        <v>4</v>
      </c>
      <c r="Y32" s="50">
        <v>4</v>
      </c>
      <c r="Z32" s="50">
        <v>4</v>
      </c>
      <c r="AA32" s="50">
        <v>4</v>
      </c>
      <c r="AB32" s="50">
        <v>4</v>
      </c>
      <c r="AC32" s="50">
        <v>4</v>
      </c>
      <c r="AD32" s="50">
        <v>4</v>
      </c>
      <c r="AE32" s="50">
        <v>4</v>
      </c>
      <c r="AF32" s="50">
        <v>4</v>
      </c>
      <c r="AG32" s="55">
        <v>18</v>
      </c>
      <c r="AH32" s="52">
        <f t="shared" si="2"/>
        <v>4</v>
      </c>
      <c r="AI32" s="53">
        <f t="shared" si="3"/>
        <v>0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>
        <v>7</v>
      </c>
      <c r="T33" s="50">
        <v>7</v>
      </c>
      <c r="U33" s="50">
        <v>7</v>
      </c>
      <c r="V33" s="50">
        <v>7</v>
      </c>
      <c r="W33" s="50">
        <v>7</v>
      </c>
      <c r="X33" s="50">
        <v>7</v>
      </c>
      <c r="Y33" s="50">
        <v>7</v>
      </c>
      <c r="Z33" s="50">
        <v>7</v>
      </c>
      <c r="AA33" s="50">
        <v>7</v>
      </c>
      <c r="AB33" s="50">
        <v>7</v>
      </c>
      <c r="AC33" s="50">
        <v>7</v>
      </c>
      <c r="AD33" s="50">
        <v>7</v>
      </c>
      <c r="AE33" s="50">
        <v>7</v>
      </c>
      <c r="AF33" s="50">
        <v>7</v>
      </c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>
        <v>6.2</v>
      </c>
      <c r="T34" s="50">
        <v>6.2</v>
      </c>
      <c r="U34" s="50">
        <v>6.2</v>
      </c>
      <c r="V34" s="50">
        <v>6.2</v>
      </c>
      <c r="W34" s="50">
        <v>6.2</v>
      </c>
      <c r="X34" s="50">
        <v>6.2</v>
      </c>
      <c r="Y34" s="50">
        <v>6.2</v>
      </c>
      <c r="Z34" s="50">
        <v>6.2</v>
      </c>
      <c r="AA34" s="50">
        <v>6.2</v>
      </c>
      <c r="AB34" s="50">
        <v>6.2</v>
      </c>
      <c r="AC34" s="50">
        <v>6.2</v>
      </c>
      <c r="AD34" s="50">
        <v>6.2</v>
      </c>
      <c r="AE34" s="50">
        <v>6.2</v>
      </c>
      <c r="AF34" s="50">
        <v>6.2</v>
      </c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>
        <v>2</v>
      </c>
      <c r="T35" s="50">
        <v>2</v>
      </c>
      <c r="U35" s="50">
        <v>2</v>
      </c>
      <c r="V35" s="50">
        <v>2</v>
      </c>
      <c r="W35" s="50">
        <v>2</v>
      </c>
      <c r="X35" s="50">
        <v>2</v>
      </c>
      <c r="Y35" s="50">
        <v>2</v>
      </c>
      <c r="Z35" s="50">
        <v>2</v>
      </c>
      <c r="AA35" s="50">
        <v>2</v>
      </c>
      <c r="AB35" s="50">
        <v>2</v>
      </c>
      <c r="AC35" s="50">
        <v>2</v>
      </c>
      <c r="AD35" s="50">
        <v>2</v>
      </c>
      <c r="AE35" s="50">
        <v>2</v>
      </c>
      <c r="AF35" s="50">
        <v>2</v>
      </c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>
        <v>2.9</v>
      </c>
      <c r="T36" s="50">
        <v>2.9</v>
      </c>
      <c r="U36" s="50">
        <v>2.9</v>
      </c>
      <c r="V36" s="50">
        <v>2.9</v>
      </c>
      <c r="W36" s="50">
        <v>2.9</v>
      </c>
      <c r="X36" s="50">
        <v>2.9</v>
      </c>
      <c r="Y36" s="50">
        <v>2.9</v>
      </c>
      <c r="Z36" s="50">
        <v>2.9</v>
      </c>
      <c r="AA36" s="50">
        <v>2.9</v>
      </c>
      <c r="AB36" s="50">
        <v>2.9</v>
      </c>
      <c r="AC36" s="50">
        <v>2.9</v>
      </c>
      <c r="AD36" s="50">
        <v>2.9</v>
      </c>
      <c r="AE36" s="50">
        <v>2.9</v>
      </c>
      <c r="AF36" s="50">
        <v>2.9</v>
      </c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0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3</v>
      </c>
      <c r="T37" s="50">
        <v>3</v>
      </c>
      <c r="U37" s="50">
        <v>3</v>
      </c>
      <c r="V37" s="50">
        <v>3</v>
      </c>
      <c r="W37" s="50">
        <v>3</v>
      </c>
      <c r="X37" s="50">
        <v>3</v>
      </c>
      <c r="Y37" s="50">
        <v>3</v>
      </c>
      <c r="Z37" s="50">
        <v>3</v>
      </c>
      <c r="AA37" s="50">
        <v>3</v>
      </c>
      <c r="AB37" s="50">
        <v>3</v>
      </c>
      <c r="AC37" s="50">
        <v>3</v>
      </c>
      <c r="AD37" s="50">
        <v>3</v>
      </c>
      <c r="AE37" s="50">
        <v>3</v>
      </c>
      <c r="AF37" s="50">
        <v>3</v>
      </c>
      <c r="AG37" s="55">
        <v>12</v>
      </c>
      <c r="AH37" s="52">
        <f t="shared" si="2"/>
        <v>3</v>
      </c>
      <c r="AI37" s="53">
        <f t="shared" si="3"/>
        <v>0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>
        <v>5.2</v>
      </c>
      <c r="T38" s="50">
        <v>5.2</v>
      </c>
      <c r="U38" s="50">
        <v>5.2</v>
      </c>
      <c r="V38" s="50">
        <v>5.2</v>
      </c>
      <c r="W38" s="50">
        <v>5.2</v>
      </c>
      <c r="X38" s="50">
        <v>5.2</v>
      </c>
      <c r="Y38" s="50">
        <v>5.2</v>
      </c>
      <c r="Z38" s="50">
        <v>5.2</v>
      </c>
      <c r="AA38" s="50">
        <v>5.2</v>
      </c>
      <c r="AB38" s="50">
        <v>5.2</v>
      </c>
      <c r="AC38" s="50">
        <v>5.2</v>
      </c>
      <c r="AD38" s="50">
        <v>5.2</v>
      </c>
      <c r="AE38" s="50">
        <v>5.2</v>
      </c>
      <c r="AF38" s="50">
        <v>5.2</v>
      </c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7</v>
      </c>
      <c r="C39" s="50">
        <v>7</v>
      </c>
      <c r="D39" s="50">
        <v>7</v>
      </c>
      <c r="E39" s="50">
        <v>7</v>
      </c>
      <c r="F39" s="50">
        <v>7</v>
      </c>
      <c r="G39" s="50">
        <v>7</v>
      </c>
      <c r="H39" s="50">
        <v>7</v>
      </c>
      <c r="I39" s="50">
        <v>7</v>
      </c>
      <c r="J39" s="50">
        <v>7</v>
      </c>
      <c r="K39" s="50">
        <v>7</v>
      </c>
      <c r="L39" s="50">
        <v>7</v>
      </c>
      <c r="M39" s="50">
        <v>7</v>
      </c>
      <c r="N39" s="50">
        <v>7</v>
      </c>
      <c r="O39" s="50">
        <v>7</v>
      </c>
      <c r="P39" s="50">
        <v>7</v>
      </c>
      <c r="Q39" s="50">
        <v>7</v>
      </c>
      <c r="R39" s="50">
        <v>7</v>
      </c>
      <c r="S39" s="50">
        <v>3</v>
      </c>
      <c r="T39" s="50">
        <v>3</v>
      </c>
      <c r="U39" s="50">
        <v>3</v>
      </c>
      <c r="V39" s="50">
        <v>3</v>
      </c>
      <c r="W39" s="50">
        <v>3</v>
      </c>
      <c r="X39" s="50">
        <v>3</v>
      </c>
      <c r="Y39" s="50">
        <v>3</v>
      </c>
      <c r="Z39" s="50">
        <v>3</v>
      </c>
      <c r="AA39" s="50">
        <v>3</v>
      </c>
      <c r="AB39" s="50">
        <v>3</v>
      </c>
      <c r="AC39" s="50">
        <v>3</v>
      </c>
      <c r="AD39" s="50">
        <v>3</v>
      </c>
      <c r="AE39" s="50">
        <v>3</v>
      </c>
      <c r="AF39" s="50">
        <v>3</v>
      </c>
      <c r="AG39" s="55">
        <v>12</v>
      </c>
      <c r="AH39" s="52">
        <f t="shared" si="2"/>
        <v>7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6</v>
      </c>
      <c r="C40" s="50">
        <v>6</v>
      </c>
      <c r="D40" s="50">
        <v>6</v>
      </c>
      <c r="E40" s="50">
        <v>6</v>
      </c>
      <c r="F40" s="50">
        <v>6</v>
      </c>
      <c r="G40" s="50">
        <v>6</v>
      </c>
      <c r="H40" s="50">
        <v>6</v>
      </c>
      <c r="I40" s="50">
        <v>6</v>
      </c>
      <c r="J40" s="50">
        <v>6</v>
      </c>
      <c r="K40" s="50">
        <v>6</v>
      </c>
      <c r="L40" s="50">
        <v>6</v>
      </c>
      <c r="M40" s="50">
        <v>6</v>
      </c>
      <c r="N40" s="50">
        <v>6</v>
      </c>
      <c r="O40" s="50">
        <v>6</v>
      </c>
      <c r="P40" s="50">
        <v>6</v>
      </c>
      <c r="Q40" s="50">
        <v>6</v>
      </c>
      <c r="R40" s="50">
        <v>6</v>
      </c>
      <c r="S40" s="50">
        <v>6</v>
      </c>
      <c r="T40" s="50">
        <v>5</v>
      </c>
      <c r="U40" s="50">
        <v>5</v>
      </c>
      <c r="V40" s="50">
        <v>5</v>
      </c>
      <c r="W40" s="50">
        <v>5</v>
      </c>
      <c r="X40" s="50">
        <v>5</v>
      </c>
      <c r="Y40" s="50">
        <v>5</v>
      </c>
      <c r="Z40" s="50">
        <v>5</v>
      </c>
      <c r="AA40" s="50">
        <v>5</v>
      </c>
      <c r="AB40" s="50">
        <v>5</v>
      </c>
      <c r="AC40" s="50">
        <v>5</v>
      </c>
      <c r="AD40" s="50">
        <v>5</v>
      </c>
      <c r="AE40" s="50">
        <v>5</v>
      </c>
      <c r="AF40" s="50">
        <v>5</v>
      </c>
      <c r="AG40" s="57">
        <v>22</v>
      </c>
      <c r="AH40" s="52">
        <f t="shared" si="2"/>
        <v>6</v>
      </c>
      <c r="AI40" s="53">
        <f t="shared" si="3"/>
        <v>5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3.6</v>
      </c>
      <c r="T41" s="50">
        <v>3.6</v>
      </c>
      <c r="U41" s="50">
        <v>3.6</v>
      </c>
      <c r="V41" s="50">
        <v>3.6</v>
      </c>
      <c r="W41" s="50">
        <v>3.6</v>
      </c>
      <c r="X41" s="50">
        <v>3.6</v>
      </c>
      <c r="Y41" s="50">
        <v>3.6</v>
      </c>
      <c r="Z41" s="50">
        <v>3.6</v>
      </c>
      <c r="AA41" s="50">
        <v>3.6</v>
      </c>
      <c r="AB41" s="50">
        <v>3.6</v>
      </c>
      <c r="AC41" s="50">
        <v>3.6</v>
      </c>
      <c r="AD41" s="50">
        <v>3.6</v>
      </c>
      <c r="AE41" s="50">
        <v>3.6</v>
      </c>
      <c r="AF41" s="50">
        <v>3.6</v>
      </c>
      <c r="AG41" s="56">
        <v>11.88</v>
      </c>
      <c r="AH41" s="52">
        <f t="shared" si="2"/>
        <v>3.6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>
        <v>5</v>
      </c>
      <c r="T42" s="50">
        <v>5</v>
      </c>
      <c r="U42" s="50">
        <v>5</v>
      </c>
      <c r="V42" s="50">
        <v>5</v>
      </c>
      <c r="W42" s="50">
        <v>5</v>
      </c>
      <c r="X42" s="50">
        <v>5</v>
      </c>
      <c r="Y42" s="50">
        <v>5</v>
      </c>
      <c r="Z42" s="50">
        <v>5</v>
      </c>
      <c r="AA42" s="50">
        <v>5</v>
      </c>
      <c r="AB42" s="50">
        <v>5</v>
      </c>
      <c r="AC42" s="50">
        <v>5</v>
      </c>
      <c r="AD42" s="50">
        <v>5</v>
      </c>
      <c r="AE42" s="50">
        <v>5</v>
      </c>
      <c r="AF42" s="50">
        <v>5</v>
      </c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4.2</v>
      </c>
      <c r="T43" s="50">
        <v>4.2</v>
      </c>
      <c r="U43" s="50">
        <v>4.2</v>
      </c>
      <c r="V43" s="50">
        <v>4.2</v>
      </c>
      <c r="W43" s="50">
        <v>4.2</v>
      </c>
      <c r="X43" s="50">
        <v>4.2</v>
      </c>
      <c r="Y43" s="50">
        <v>4.2</v>
      </c>
      <c r="Z43" s="50">
        <v>4.2</v>
      </c>
      <c r="AA43" s="50">
        <v>4.2</v>
      </c>
      <c r="AB43" s="50">
        <v>4.2</v>
      </c>
      <c r="AC43" s="50">
        <v>4.2</v>
      </c>
      <c r="AD43" s="50">
        <v>4.2</v>
      </c>
      <c r="AE43" s="50">
        <v>4.2</v>
      </c>
      <c r="AF43" s="50">
        <v>4.2</v>
      </c>
      <c r="AG43" s="61">
        <v>10</v>
      </c>
      <c r="AH43" s="52">
        <f t="shared" si="2"/>
        <v>4.2</v>
      </c>
      <c r="AI43" s="53">
        <f t="shared" si="3"/>
        <v>0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>
        <v>3</v>
      </c>
      <c r="T44" s="50">
        <v>3</v>
      </c>
      <c r="U44" s="50">
        <v>3</v>
      </c>
      <c r="V44" s="50">
        <v>3</v>
      </c>
      <c r="W44" s="50">
        <v>3</v>
      </c>
      <c r="X44" s="50">
        <v>3</v>
      </c>
      <c r="Y44" s="50">
        <v>3</v>
      </c>
      <c r="Z44" s="50">
        <v>3</v>
      </c>
      <c r="AA44" s="50">
        <v>3</v>
      </c>
      <c r="AB44" s="50">
        <v>3</v>
      </c>
      <c r="AC44" s="50">
        <v>3</v>
      </c>
      <c r="AD44" s="50">
        <v>3</v>
      </c>
      <c r="AE44" s="50">
        <v>3</v>
      </c>
      <c r="AF44" s="50">
        <v>3</v>
      </c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</v>
      </c>
      <c r="N45" s="50">
        <v>1</v>
      </c>
      <c r="O45" s="50">
        <v>1</v>
      </c>
      <c r="P45" s="50">
        <v>1</v>
      </c>
      <c r="Q45" s="50">
        <v>1</v>
      </c>
      <c r="R45" s="50">
        <v>1</v>
      </c>
      <c r="S45" s="50">
        <v>1</v>
      </c>
      <c r="T45" s="50">
        <v>1</v>
      </c>
      <c r="U45" s="50">
        <v>1</v>
      </c>
      <c r="V45" s="50">
        <v>1</v>
      </c>
      <c r="W45" s="50">
        <v>0</v>
      </c>
      <c r="X45" s="50">
        <v>0</v>
      </c>
      <c r="Y45" s="50">
        <v>0</v>
      </c>
      <c r="Z45" s="50">
        <v>0</v>
      </c>
      <c r="AA45" s="50">
        <v>0</v>
      </c>
      <c r="AB45" s="50">
        <v>0</v>
      </c>
      <c r="AC45" s="50">
        <v>0</v>
      </c>
      <c r="AD45" s="50">
        <v>0</v>
      </c>
      <c r="AE45" s="50">
        <v>0</v>
      </c>
      <c r="AF45" s="50">
        <v>0</v>
      </c>
      <c r="AG45" s="61">
        <v>10</v>
      </c>
      <c r="AH45" s="52">
        <f t="shared" si="2"/>
        <v>1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>
        <v>120</v>
      </c>
      <c r="T46" s="63">
        <v>120</v>
      </c>
      <c r="U46" s="63">
        <v>120</v>
      </c>
      <c r="V46" s="63">
        <v>120</v>
      </c>
      <c r="W46" s="63">
        <v>120</v>
      </c>
      <c r="X46" s="63">
        <v>120</v>
      </c>
      <c r="Y46" s="63">
        <v>120</v>
      </c>
      <c r="Z46" s="63">
        <v>120</v>
      </c>
      <c r="AA46" s="63">
        <v>120</v>
      </c>
      <c r="AB46" s="63">
        <v>120</v>
      </c>
      <c r="AC46" s="63">
        <v>120</v>
      </c>
      <c r="AD46" s="63">
        <v>120</v>
      </c>
      <c r="AE46" s="63">
        <v>120</v>
      </c>
      <c r="AF46" s="63">
        <v>120</v>
      </c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" si="4">SUM(B12:B46)</f>
        <v>332.2</v>
      </c>
      <c r="C48" s="67">
        <f t="shared" ref="C48:AG48" si="5">SUM(C12:C46)</f>
        <v>333.1</v>
      </c>
      <c r="D48" s="67">
        <f t="shared" si="5"/>
        <v>333.1</v>
      </c>
      <c r="E48" s="67">
        <f t="shared" si="5"/>
        <v>336.6</v>
      </c>
      <c r="F48" s="67">
        <f t="shared" si="5"/>
        <v>336.4</v>
      </c>
      <c r="G48" s="67">
        <f t="shared" si="5"/>
        <v>336.4</v>
      </c>
      <c r="H48" s="67">
        <f t="shared" si="5"/>
        <v>336.4</v>
      </c>
      <c r="I48" s="67">
        <f t="shared" si="5"/>
        <v>336.4</v>
      </c>
      <c r="J48" s="67">
        <f t="shared" si="5"/>
        <v>336.4</v>
      </c>
      <c r="K48" s="67">
        <f t="shared" si="5"/>
        <v>336.4</v>
      </c>
      <c r="L48" s="67">
        <f t="shared" si="5"/>
        <v>336.4</v>
      </c>
      <c r="M48" s="67">
        <f t="shared" si="5"/>
        <v>347.29999999999995</v>
      </c>
      <c r="N48" s="67">
        <f t="shared" si="5"/>
        <v>347.29999999999995</v>
      </c>
      <c r="O48" s="67">
        <f t="shared" si="5"/>
        <v>347.29999999999995</v>
      </c>
      <c r="P48" s="67">
        <f t="shared" si="5"/>
        <v>347.29999999999995</v>
      </c>
      <c r="Q48" s="67">
        <f t="shared" si="5"/>
        <v>347.29999999999995</v>
      </c>
      <c r="R48" s="67">
        <f t="shared" si="5"/>
        <v>347.29999999999995</v>
      </c>
      <c r="S48" s="67">
        <f t="shared" si="5"/>
        <v>363.19999999999993</v>
      </c>
      <c r="T48" s="67">
        <f t="shared" si="5"/>
        <v>348.79999999999995</v>
      </c>
      <c r="U48" s="67">
        <f t="shared" si="5"/>
        <v>347.29999999999995</v>
      </c>
      <c r="V48" s="67">
        <f t="shared" si="5"/>
        <v>347.29999999999995</v>
      </c>
      <c r="W48" s="67">
        <f t="shared" si="5"/>
        <v>355.4</v>
      </c>
      <c r="X48" s="67">
        <f t="shared" si="5"/>
        <v>355.4</v>
      </c>
      <c r="Y48" s="67">
        <f t="shared" si="5"/>
        <v>355.4</v>
      </c>
      <c r="Z48" s="67">
        <v>361.4</v>
      </c>
      <c r="AA48" s="67">
        <v>361.4</v>
      </c>
      <c r="AB48" s="67">
        <f t="shared" si="5"/>
        <v>361.4</v>
      </c>
      <c r="AC48" s="67">
        <f t="shared" si="5"/>
        <v>361.4</v>
      </c>
      <c r="AD48" s="67">
        <f t="shared" si="5"/>
        <v>361.4</v>
      </c>
      <c r="AE48" s="67">
        <f t="shared" si="5"/>
        <v>361.4</v>
      </c>
      <c r="AF48" s="67">
        <f t="shared" si="5"/>
        <v>361.4</v>
      </c>
      <c r="AG48" s="68">
        <f t="shared" si="5"/>
        <v>875.68</v>
      </c>
      <c r="AH48" s="52">
        <f t="shared" si="2"/>
        <v>363.19999999999993</v>
      </c>
      <c r="AI48" s="53">
        <f t="shared" si="3"/>
        <v>332.2</v>
      </c>
      <c r="AK48" s="54"/>
    </row>
    <row r="49" spans="1:41" x14ac:dyDescent="0.25">
      <c r="A49" s="69" t="s">
        <v>53</v>
      </c>
      <c r="B49" s="50">
        <v>100</v>
      </c>
      <c r="C49" s="50">
        <v>70</v>
      </c>
      <c r="D49" s="50">
        <v>70</v>
      </c>
      <c r="E49" s="50">
        <v>70</v>
      </c>
      <c r="F49" s="50">
        <v>71.8</v>
      </c>
      <c r="G49" s="50">
        <v>24</v>
      </c>
      <c r="H49" s="50">
        <v>66.3</v>
      </c>
      <c r="I49" s="50">
        <v>76</v>
      </c>
      <c r="J49" s="50">
        <v>20</v>
      </c>
      <c r="K49" s="50">
        <v>30</v>
      </c>
      <c r="L49" s="50">
        <v>0</v>
      </c>
      <c r="M49" s="50">
        <v>0</v>
      </c>
      <c r="N49" s="50">
        <v>0</v>
      </c>
      <c r="O49" s="50">
        <v>0</v>
      </c>
      <c r="P49" s="50">
        <v>30</v>
      </c>
      <c r="Q49" s="50">
        <v>70</v>
      </c>
      <c r="R49" s="50">
        <v>40</v>
      </c>
      <c r="S49" s="50">
        <v>40</v>
      </c>
      <c r="T49" s="50">
        <v>30</v>
      </c>
      <c r="U49" s="50">
        <v>30</v>
      </c>
      <c r="V49" s="50">
        <v>35</v>
      </c>
      <c r="W49" s="50">
        <v>15</v>
      </c>
      <c r="X49" s="50">
        <v>20</v>
      </c>
      <c r="Y49" s="50">
        <v>50</v>
      </c>
      <c r="Z49" s="50">
        <v>110</v>
      </c>
      <c r="AA49" s="50">
        <v>110</v>
      </c>
      <c r="AB49" s="50">
        <v>41</v>
      </c>
      <c r="AC49" s="50">
        <v>100</v>
      </c>
      <c r="AD49" s="50">
        <v>120</v>
      </c>
      <c r="AE49" s="50">
        <v>130</v>
      </c>
      <c r="AF49" s="50">
        <v>140</v>
      </c>
      <c r="AG49" s="56">
        <v>456</v>
      </c>
      <c r="AH49" s="52">
        <f t="shared" si="2"/>
        <v>140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>
        <v>25</v>
      </c>
      <c r="T50" s="72">
        <v>25</v>
      </c>
      <c r="U50" s="72">
        <v>25</v>
      </c>
      <c r="V50" s="72">
        <v>25</v>
      </c>
      <c r="W50" s="72">
        <v>25</v>
      </c>
      <c r="X50" s="72">
        <v>25</v>
      </c>
      <c r="Y50" s="72">
        <v>25</v>
      </c>
      <c r="Z50" s="72">
        <v>25</v>
      </c>
      <c r="AA50" s="72">
        <v>25</v>
      </c>
      <c r="AB50" s="72">
        <v>25</v>
      </c>
      <c r="AC50" s="72">
        <v>25</v>
      </c>
      <c r="AD50" s="72">
        <v>25</v>
      </c>
      <c r="AE50" s="72">
        <v>25</v>
      </c>
      <c r="AF50" s="72">
        <v>25</v>
      </c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10.6</v>
      </c>
      <c r="C51" s="74">
        <v>10.6</v>
      </c>
      <c r="D51" s="74">
        <v>10.6</v>
      </c>
      <c r="E51" s="74">
        <v>10.6</v>
      </c>
      <c r="F51" s="74">
        <v>10.6</v>
      </c>
      <c r="G51" s="74">
        <v>10.6</v>
      </c>
      <c r="H51" s="74">
        <v>10.6</v>
      </c>
      <c r="I51" s="74">
        <v>10.6</v>
      </c>
      <c r="J51" s="74">
        <v>10.6</v>
      </c>
      <c r="K51" s="74">
        <v>10.6</v>
      </c>
      <c r="L51" s="74">
        <v>10.6</v>
      </c>
      <c r="M51" s="74">
        <v>10.6</v>
      </c>
      <c r="N51" s="74">
        <v>10.6</v>
      </c>
      <c r="O51" s="74">
        <v>10.7</v>
      </c>
      <c r="P51" s="74">
        <v>10.6</v>
      </c>
      <c r="Q51" s="74">
        <v>10.6</v>
      </c>
      <c r="R51" s="74">
        <v>10.6</v>
      </c>
      <c r="S51" s="74">
        <v>10.6</v>
      </c>
      <c r="T51" s="74">
        <v>10.6</v>
      </c>
      <c r="U51" s="74">
        <v>10.6</v>
      </c>
      <c r="V51" s="74">
        <v>10.6</v>
      </c>
      <c r="W51" s="74">
        <v>10.6</v>
      </c>
      <c r="X51" s="74">
        <v>10.6</v>
      </c>
      <c r="Y51" s="74">
        <v>10.6</v>
      </c>
      <c r="Z51" s="74">
        <v>10.6</v>
      </c>
      <c r="AA51" s="74">
        <v>10.6</v>
      </c>
      <c r="AB51" s="74">
        <v>10.6</v>
      </c>
      <c r="AC51" s="74">
        <v>10.6</v>
      </c>
      <c r="AD51" s="74">
        <v>10.6</v>
      </c>
      <c r="AE51" s="74">
        <v>10.6</v>
      </c>
      <c r="AF51" s="74">
        <v>10.6</v>
      </c>
      <c r="AG51" s="75">
        <v>22.1</v>
      </c>
      <c r="AH51" s="52">
        <f t="shared" si="2"/>
        <v>10.7</v>
      </c>
      <c r="AI51" s="53">
        <f t="shared" si="3"/>
        <v>10.6</v>
      </c>
      <c r="AK51" s="54"/>
    </row>
    <row r="52" spans="1:41" ht="15.75" thickBot="1" x14ac:dyDescent="0.3">
      <c r="A52" s="76" t="s">
        <v>56</v>
      </c>
      <c r="B52" s="67">
        <f t="shared" ref="B52" si="6">SUM(B49:B51)</f>
        <v>135.6</v>
      </c>
      <c r="C52" s="67">
        <f t="shared" ref="C52:AG52" si="7">SUM(C49:C51)</f>
        <v>105.6</v>
      </c>
      <c r="D52" s="67">
        <f t="shared" si="7"/>
        <v>105.6</v>
      </c>
      <c r="E52" s="67">
        <f t="shared" si="7"/>
        <v>105.6</v>
      </c>
      <c r="F52" s="67">
        <f t="shared" si="7"/>
        <v>107.39999999999999</v>
      </c>
      <c r="G52" s="67">
        <f t="shared" si="7"/>
        <v>59.6</v>
      </c>
      <c r="H52" s="67">
        <f t="shared" si="7"/>
        <v>101.89999999999999</v>
      </c>
      <c r="I52" s="67">
        <f t="shared" si="7"/>
        <v>111.6</v>
      </c>
      <c r="J52" s="67">
        <f t="shared" si="7"/>
        <v>55.6</v>
      </c>
      <c r="K52" s="67">
        <f t="shared" si="7"/>
        <v>65.599999999999994</v>
      </c>
      <c r="L52" s="67">
        <f t="shared" si="7"/>
        <v>35.6</v>
      </c>
      <c r="M52" s="67">
        <f t="shared" si="7"/>
        <v>35.6</v>
      </c>
      <c r="N52" s="67">
        <f t="shared" si="7"/>
        <v>35.6</v>
      </c>
      <c r="O52" s="67">
        <f t="shared" si="7"/>
        <v>35.700000000000003</v>
      </c>
      <c r="P52" s="67">
        <f t="shared" si="7"/>
        <v>65.599999999999994</v>
      </c>
      <c r="Q52" s="67">
        <f t="shared" si="7"/>
        <v>105.6</v>
      </c>
      <c r="R52" s="67">
        <f t="shared" si="7"/>
        <v>75.599999999999994</v>
      </c>
      <c r="S52" s="67">
        <f t="shared" si="7"/>
        <v>75.599999999999994</v>
      </c>
      <c r="T52" s="67">
        <f t="shared" si="7"/>
        <v>65.599999999999994</v>
      </c>
      <c r="U52" s="67">
        <f t="shared" si="7"/>
        <v>65.599999999999994</v>
      </c>
      <c r="V52" s="67">
        <f t="shared" si="7"/>
        <v>70.599999999999994</v>
      </c>
      <c r="W52" s="67">
        <f t="shared" si="7"/>
        <v>50.6</v>
      </c>
      <c r="X52" s="67">
        <f t="shared" si="7"/>
        <v>55.6</v>
      </c>
      <c r="Y52" s="67">
        <f t="shared" si="7"/>
        <v>85.6</v>
      </c>
      <c r="Z52" s="67">
        <v>145.6</v>
      </c>
      <c r="AA52" s="67">
        <f t="shared" si="7"/>
        <v>145.6</v>
      </c>
      <c r="AB52" s="67">
        <f t="shared" si="7"/>
        <v>76.599999999999994</v>
      </c>
      <c r="AC52" s="67">
        <f t="shared" si="7"/>
        <v>135.6</v>
      </c>
      <c r="AD52" s="67">
        <f t="shared" si="7"/>
        <v>155.6</v>
      </c>
      <c r="AE52" s="67">
        <f t="shared" si="7"/>
        <v>165.6</v>
      </c>
      <c r="AF52" s="67">
        <f t="shared" si="7"/>
        <v>175.6</v>
      </c>
      <c r="AG52" s="68">
        <f t="shared" si="7"/>
        <v>538.1</v>
      </c>
      <c r="AH52" s="52">
        <f t="shared" si="2"/>
        <v>175.6</v>
      </c>
      <c r="AI52" s="53">
        <f t="shared" si="3"/>
        <v>35.6</v>
      </c>
      <c r="AK52" s="54"/>
    </row>
    <row r="53" spans="1:41" x14ac:dyDescent="0.25">
      <c r="A53" s="49" t="s">
        <v>57</v>
      </c>
      <c r="B53" s="50">
        <v>48.7</v>
      </c>
      <c r="C53" s="50">
        <v>48.8</v>
      </c>
      <c r="D53" s="50">
        <v>48.8</v>
      </c>
      <c r="E53" s="50">
        <v>38</v>
      </c>
      <c r="F53" s="50">
        <v>25.6</v>
      </c>
      <c r="G53" s="50">
        <v>25.6</v>
      </c>
      <c r="H53" s="50">
        <v>35.6</v>
      </c>
      <c r="I53" s="50">
        <v>35.6</v>
      </c>
      <c r="J53" s="50">
        <v>42</v>
      </c>
      <c r="K53" s="50">
        <v>30.8</v>
      </c>
      <c r="L53" s="50">
        <v>39</v>
      </c>
      <c r="M53" s="50">
        <v>30</v>
      </c>
      <c r="N53" s="50">
        <v>30.6</v>
      </c>
      <c r="O53" s="50">
        <v>48.9</v>
      </c>
      <c r="P53" s="50">
        <v>80.599999999999994</v>
      </c>
      <c r="Q53" s="50">
        <v>97</v>
      </c>
      <c r="R53" s="50">
        <v>97</v>
      </c>
      <c r="S53" s="50">
        <v>97</v>
      </c>
      <c r="T53" s="50">
        <v>81.3</v>
      </c>
      <c r="U53" s="50">
        <v>81.3</v>
      </c>
      <c r="V53" s="50">
        <v>91</v>
      </c>
      <c r="W53" s="50">
        <v>61.5</v>
      </c>
      <c r="X53" s="50">
        <v>61.3</v>
      </c>
      <c r="Y53" s="50">
        <v>61</v>
      </c>
      <c r="Z53" s="50">
        <v>98</v>
      </c>
      <c r="AA53" s="50">
        <v>91.5</v>
      </c>
      <c r="AB53" s="50">
        <v>61</v>
      </c>
      <c r="AC53" s="50">
        <v>61</v>
      </c>
      <c r="AD53" s="50">
        <v>61</v>
      </c>
      <c r="AE53" s="50">
        <v>61</v>
      </c>
      <c r="AF53" s="50">
        <v>61</v>
      </c>
      <c r="AG53" s="56">
        <v>144</v>
      </c>
      <c r="AH53" s="52">
        <f t="shared" si="2"/>
        <v>98</v>
      </c>
      <c r="AI53" s="53">
        <f t="shared" si="3"/>
        <v>25.6</v>
      </c>
      <c r="AK53" s="54"/>
    </row>
    <row r="54" spans="1:41" x14ac:dyDescent="0.25">
      <c r="A54" s="60" t="s">
        <v>58</v>
      </c>
      <c r="B54" s="72">
        <v>0</v>
      </c>
      <c r="C54" s="72">
        <v>0</v>
      </c>
      <c r="D54" s="72">
        <v>0</v>
      </c>
      <c r="E54" s="72">
        <v>0</v>
      </c>
      <c r="F54" s="72">
        <v>0</v>
      </c>
      <c r="G54" s="72">
        <v>22.6</v>
      </c>
      <c r="H54" s="72">
        <v>20</v>
      </c>
      <c r="I54" s="72">
        <v>34.6</v>
      </c>
      <c r="J54" s="72">
        <v>22.5</v>
      </c>
      <c r="K54" s="72">
        <v>22.8</v>
      </c>
      <c r="L54" s="72">
        <v>22.9</v>
      </c>
      <c r="M54" s="72">
        <v>22.9</v>
      </c>
      <c r="N54" s="72">
        <v>25.7</v>
      </c>
      <c r="O54" s="72">
        <v>25.6</v>
      </c>
      <c r="P54" s="72">
        <v>30</v>
      </c>
      <c r="Q54" s="72">
        <v>68</v>
      </c>
      <c r="R54" s="72">
        <v>68</v>
      </c>
      <c r="S54" s="72">
        <v>68</v>
      </c>
      <c r="T54" s="50">
        <v>49.8</v>
      </c>
      <c r="U54" s="50">
        <v>49.8</v>
      </c>
      <c r="V54" s="50">
        <v>28</v>
      </c>
      <c r="W54" s="50">
        <v>21.8</v>
      </c>
      <c r="X54" s="50">
        <v>20.5</v>
      </c>
      <c r="Y54" s="50">
        <v>22.3</v>
      </c>
      <c r="Z54" s="50">
        <v>19</v>
      </c>
      <c r="AA54" s="50">
        <v>34.6</v>
      </c>
      <c r="AB54" s="72">
        <v>21.9</v>
      </c>
      <c r="AC54" s="72">
        <v>21.9</v>
      </c>
      <c r="AD54" s="72">
        <v>21.9</v>
      </c>
      <c r="AE54" s="72">
        <v>21.9</v>
      </c>
      <c r="AF54" s="72">
        <v>37</v>
      </c>
      <c r="AG54" s="61">
        <v>70</v>
      </c>
      <c r="AH54" s="52">
        <f t="shared" si="2"/>
        <v>68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46.3</v>
      </c>
      <c r="C55" s="72">
        <v>46.1</v>
      </c>
      <c r="D55" s="72">
        <v>46.1</v>
      </c>
      <c r="E55" s="72">
        <v>20.399999999999999</v>
      </c>
      <c r="F55" s="72">
        <v>15.5</v>
      </c>
      <c r="G55" s="72">
        <v>15.5</v>
      </c>
      <c r="H55" s="72">
        <v>21.4</v>
      </c>
      <c r="I55" s="72">
        <v>16</v>
      </c>
      <c r="J55" s="72">
        <v>16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21</v>
      </c>
      <c r="Q55" s="72">
        <v>68</v>
      </c>
      <c r="R55" s="72">
        <v>65</v>
      </c>
      <c r="S55" s="72">
        <v>65</v>
      </c>
      <c r="T55" s="50">
        <v>16.600000000000001</v>
      </c>
      <c r="U55" s="50">
        <v>16.600000000000001</v>
      </c>
      <c r="V55" s="50">
        <v>16.600000000000001</v>
      </c>
      <c r="W55" s="50">
        <v>0</v>
      </c>
      <c r="X55" s="50">
        <v>0</v>
      </c>
      <c r="Y55" s="50">
        <v>0</v>
      </c>
      <c r="Z55" s="50">
        <v>38.700000000000003</v>
      </c>
      <c r="AA55" s="50">
        <v>31.6</v>
      </c>
      <c r="AB55" s="72">
        <v>32</v>
      </c>
      <c r="AC55" s="72">
        <v>32</v>
      </c>
      <c r="AD55" s="72">
        <v>32</v>
      </c>
      <c r="AE55" s="72">
        <v>32</v>
      </c>
      <c r="AF55" s="72">
        <v>44</v>
      </c>
      <c r="AG55" s="61">
        <v>69</v>
      </c>
      <c r="AH55" s="52">
        <f t="shared" si="2"/>
        <v>68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38.200000000000003</v>
      </c>
      <c r="C56" s="72">
        <v>38.200000000000003</v>
      </c>
      <c r="D56" s="72">
        <v>38.200000000000003</v>
      </c>
      <c r="E56" s="72">
        <v>37</v>
      </c>
      <c r="F56" s="72">
        <v>37</v>
      </c>
      <c r="G56" s="72">
        <v>37</v>
      </c>
      <c r="H56" s="72">
        <v>37</v>
      </c>
      <c r="I56" s="72">
        <v>37</v>
      </c>
      <c r="J56" s="72">
        <v>37</v>
      </c>
      <c r="K56" s="72">
        <v>37</v>
      </c>
      <c r="L56" s="63">
        <v>37</v>
      </c>
      <c r="M56" s="63">
        <v>37</v>
      </c>
      <c r="N56" s="63">
        <v>37</v>
      </c>
      <c r="O56" s="63">
        <v>37</v>
      </c>
      <c r="P56" s="63">
        <v>37</v>
      </c>
      <c r="Q56" s="63">
        <v>37</v>
      </c>
      <c r="R56" s="63">
        <v>37</v>
      </c>
      <c r="S56" s="63">
        <v>37</v>
      </c>
      <c r="T56" s="50">
        <v>34.5</v>
      </c>
      <c r="U56" s="50">
        <v>34.5</v>
      </c>
      <c r="V56" s="50">
        <v>34.5</v>
      </c>
      <c r="W56" s="50">
        <v>36</v>
      </c>
      <c r="X56" s="50">
        <v>36.299999999999997</v>
      </c>
      <c r="Y56" s="50">
        <v>36.299999999999997</v>
      </c>
      <c r="Z56" s="50">
        <v>36</v>
      </c>
      <c r="AA56" s="50">
        <v>36.299999999999997</v>
      </c>
      <c r="AB56" s="50">
        <v>36.299999999999997</v>
      </c>
      <c r="AC56" s="50">
        <v>36.299999999999997</v>
      </c>
      <c r="AD56" s="50">
        <v>36.299999999999997</v>
      </c>
      <c r="AE56" s="50">
        <v>36.299999999999997</v>
      </c>
      <c r="AF56" s="50">
        <v>36.299999999999997</v>
      </c>
      <c r="AG56" s="61">
        <v>60</v>
      </c>
      <c r="AH56" s="52">
        <f t="shared" si="2"/>
        <v>38.200000000000003</v>
      </c>
      <c r="AI56" s="53">
        <f t="shared" si="3"/>
        <v>34.5</v>
      </c>
      <c r="AK56" s="54"/>
    </row>
    <row r="57" spans="1:41" x14ac:dyDescent="0.25">
      <c r="A57" s="60" t="s">
        <v>61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63">
        <v>10</v>
      </c>
      <c r="M57" s="63">
        <v>10</v>
      </c>
      <c r="N57" s="63">
        <v>15</v>
      </c>
      <c r="O57" s="63">
        <v>15</v>
      </c>
      <c r="P57" s="63">
        <v>10</v>
      </c>
      <c r="Q57" s="63">
        <v>15</v>
      </c>
      <c r="R57" s="63">
        <v>18</v>
      </c>
      <c r="S57" s="63">
        <v>0</v>
      </c>
      <c r="T57" s="50">
        <v>13.4</v>
      </c>
      <c r="U57" s="50">
        <v>13.4</v>
      </c>
      <c r="V57" s="50">
        <v>13.4</v>
      </c>
      <c r="W57" s="50">
        <v>13.4</v>
      </c>
      <c r="X57" s="50">
        <v>13.4</v>
      </c>
      <c r="Y57" s="50">
        <v>13.4</v>
      </c>
      <c r="Z57" s="50">
        <v>22.6</v>
      </c>
      <c r="AA57" s="50">
        <v>22.6</v>
      </c>
      <c r="AB57" s="50">
        <v>29</v>
      </c>
      <c r="AC57" s="50">
        <v>29</v>
      </c>
      <c r="AD57" s="50">
        <v>29</v>
      </c>
      <c r="AE57" s="50">
        <v>25</v>
      </c>
      <c r="AF57" s="50">
        <v>10</v>
      </c>
      <c r="AG57" s="61">
        <v>30</v>
      </c>
      <c r="AH57" s="52">
        <f t="shared" si="2"/>
        <v>29</v>
      </c>
      <c r="AI57" s="53">
        <f t="shared" si="3"/>
        <v>0</v>
      </c>
      <c r="AK57" s="54"/>
    </row>
    <row r="58" spans="1:41" x14ac:dyDescent="0.25">
      <c r="A58" s="60" t="s">
        <v>62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</v>
      </c>
      <c r="N58" s="50">
        <v>8.6</v>
      </c>
      <c r="O58" s="50">
        <v>12</v>
      </c>
      <c r="P58" s="50">
        <v>13.7</v>
      </c>
      <c r="Q58" s="50">
        <v>13.7</v>
      </c>
      <c r="R58" s="50">
        <v>13.7</v>
      </c>
      <c r="S58" s="50">
        <v>10</v>
      </c>
      <c r="T58" s="50">
        <v>6.6</v>
      </c>
      <c r="U58" s="50">
        <v>6.6</v>
      </c>
      <c r="V58" s="50">
        <v>6.6</v>
      </c>
      <c r="W58" s="50">
        <v>0.4</v>
      </c>
      <c r="X58" s="50">
        <v>0.4</v>
      </c>
      <c r="Y58" s="50">
        <v>0.4</v>
      </c>
      <c r="Z58" s="50">
        <v>0.4</v>
      </c>
      <c r="AA58" s="50">
        <v>0.4</v>
      </c>
      <c r="AB58" s="50">
        <v>0.4</v>
      </c>
      <c r="AC58" s="50">
        <v>0.4</v>
      </c>
      <c r="AD58" s="50">
        <v>0.4</v>
      </c>
      <c r="AE58" s="50">
        <v>0.4</v>
      </c>
      <c r="AF58" s="50">
        <v>0.4</v>
      </c>
      <c r="AG58" s="61">
        <v>25</v>
      </c>
      <c r="AH58" s="52">
        <f t="shared" si="2"/>
        <v>13.7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15</v>
      </c>
      <c r="C59" s="72">
        <v>15</v>
      </c>
      <c r="D59" s="72">
        <v>15</v>
      </c>
      <c r="E59" s="72">
        <v>15</v>
      </c>
      <c r="F59" s="72">
        <v>15</v>
      </c>
      <c r="G59" s="72">
        <v>15</v>
      </c>
      <c r="H59" s="72">
        <v>15</v>
      </c>
      <c r="I59" s="72">
        <v>15</v>
      </c>
      <c r="J59" s="72">
        <v>15</v>
      </c>
      <c r="K59" s="72">
        <v>15</v>
      </c>
      <c r="L59" s="72">
        <v>15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15</v>
      </c>
      <c r="S59" s="72">
        <v>15</v>
      </c>
      <c r="T59" s="72">
        <v>15</v>
      </c>
      <c r="U59" s="72">
        <v>15</v>
      </c>
      <c r="V59" s="72">
        <v>15</v>
      </c>
      <c r="W59" s="72">
        <v>15</v>
      </c>
      <c r="X59" s="72">
        <v>15</v>
      </c>
      <c r="Y59" s="72">
        <v>15</v>
      </c>
      <c r="Z59" s="72">
        <v>15</v>
      </c>
      <c r="AA59" s="72">
        <v>15</v>
      </c>
      <c r="AB59" s="72">
        <v>15</v>
      </c>
      <c r="AC59" s="72">
        <v>15</v>
      </c>
      <c r="AD59" s="72">
        <v>15</v>
      </c>
      <c r="AE59" s="72">
        <v>15</v>
      </c>
      <c r="AF59" s="72">
        <v>15</v>
      </c>
      <c r="AG59" s="61">
        <v>24</v>
      </c>
      <c r="AH59" s="52">
        <f t="shared" si="2"/>
        <v>15</v>
      </c>
      <c r="AI59" s="53">
        <f t="shared" si="3"/>
        <v>15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9.9</v>
      </c>
      <c r="C61" s="72">
        <v>9.9</v>
      </c>
      <c r="D61" s="72">
        <v>9.9</v>
      </c>
      <c r="E61" s="72">
        <v>9.9</v>
      </c>
      <c r="F61" s="72">
        <v>9.9</v>
      </c>
      <c r="G61" s="72">
        <v>9.9</v>
      </c>
      <c r="H61" s="72">
        <v>9.9</v>
      </c>
      <c r="I61" s="72">
        <v>9.9</v>
      </c>
      <c r="J61" s="72">
        <v>9.9</v>
      </c>
      <c r="K61" s="72">
        <v>9.9</v>
      </c>
      <c r="L61" s="72">
        <v>9.9</v>
      </c>
      <c r="M61" s="72">
        <v>9.9</v>
      </c>
      <c r="N61" s="72">
        <v>9.9</v>
      </c>
      <c r="O61" s="72">
        <v>9.9</v>
      </c>
      <c r="P61" s="72">
        <v>9.9</v>
      </c>
      <c r="Q61" s="72">
        <v>9.9</v>
      </c>
      <c r="R61" s="72">
        <v>9.9</v>
      </c>
      <c r="S61" s="72">
        <v>9.9</v>
      </c>
      <c r="T61" s="72">
        <v>8.4</v>
      </c>
      <c r="U61" s="72">
        <v>8.4</v>
      </c>
      <c r="V61" s="72">
        <v>8.4</v>
      </c>
      <c r="W61" s="72">
        <v>7.5</v>
      </c>
      <c r="X61" s="72">
        <v>7.5</v>
      </c>
      <c r="Y61" s="72">
        <v>7.5</v>
      </c>
      <c r="Z61" s="72">
        <v>7.5</v>
      </c>
      <c r="AA61" s="72">
        <v>7.5</v>
      </c>
      <c r="AB61" s="72">
        <v>7.5</v>
      </c>
      <c r="AC61" s="72">
        <v>7.5</v>
      </c>
      <c r="AD61" s="72">
        <v>7.5</v>
      </c>
      <c r="AE61" s="72">
        <v>7.5</v>
      </c>
      <c r="AF61" s="72">
        <v>7.5</v>
      </c>
      <c r="AG61" s="61">
        <v>14.1</v>
      </c>
      <c r="AH61" s="52">
        <f t="shared" si="2"/>
        <v>9.9</v>
      </c>
      <c r="AI61" s="53">
        <f t="shared" si="3"/>
        <v>7.5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5.2</v>
      </c>
      <c r="C62" s="72">
        <v>5.2</v>
      </c>
      <c r="D62" s="72">
        <v>5.2</v>
      </c>
      <c r="E62" s="72">
        <v>5.2</v>
      </c>
      <c r="F62" s="72">
        <v>5.2</v>
      </c>
      <c r="G62" s="72">
        <v>5.2</v>
      </c>
      <c r="H62" s="72">
        <v>5.2</v>
      </c>
      <c r="I62" s="72">
        <v>5.2</v>
      </c>
      <c r="J62" s="72">
        <v>5.2</v>
      </c>
      <c r="K62" s="72">
        <v>5.2</v>
      </c>
      <c r="L62" s="72">
        <v>5.2</v>
      </c>
      <c r="M62" s="72">
        <v>5.2</v>
      </c>
      <c r="N62" s="72">
        <v>5.2</v>
      </c>
      <c r="O62" s="72">
        <v>5.2</v>
      </c>
      <c r="P62" s="72">
        <v>5.2</v>
      </c>
      <c r="Q62" s="72">
        <v>5.2</v>
      </c>
      <c r="R62" s="72">
        <v>5.2</v>
      </c>
      <c r="S62" s="72">
        <v>5.2</v>
      </c>
      <c r="T62" s="72">
        <v>4.4000000000000004</v>
      </c>
      <c r="U62" s="72">
        <v>4.4000000000000004</v>
      </c>
      <c r="V62" s="72">
        <v>4.4000000000000004</v>
      </c>
      <c r="W62" s="72">
        <v>4.3</v>
      </c>
      <c r="X62" s="72">
        <v>4.3</v>
      </c>
      <c r="Y62" s="72">
        <v>4.3</v>
      </c>
      <c r="Z62" s="72">
        <v>4.3</v>
      </c>
      <c r="AA62" s="72">
        <v>4.3</v>
      </c>
      <c r="AB62" s="72">
        <v>4.3</v>
      </c>
      <c r="AC62" s="72">
        <v>4.3</v>
      </c>
      <c r="AD62" s="72">
        <v>4.3</v>
      </c>
      <c r="AE62" s="72">
        <v>4.3</v>
      </c>
      <c r="AF62" s="72">
        <v>4.3</v>
      </c>
      <c r="AG62" s="61">
        <v>14</v>
      </c>
      <c r="AH62" s="52">
        <f t="shared" si="2"/>
        <v>5.2</v>
      </c>
      <c r="AI62" s="53">
        <f t="shared" si="3"/>
        <v>4.3</v>
      </c>
      <c r="AK62" s="54"/>
    </row>
    <row r="63" spans="1:41" x14ac:dyDescent="0.25">
      <c r="A63" s="60" t="s">
        <v>67</v>
      </c>
      <c r="B63" s="72">
        <v>3.8</v>
      </c>
      <c r="C63" s="72">
        <v>3.8</v>
      </c>
      <c r="D63" s="72">
        <v>3.8</v>
      </c>
      <c r="E63" s="72">
        <v>3.8</v>
      </c>
      <c r="F63" s="72">
        <v>3.8</v>
      </c>
      <c r="G63" s="72">
        <v>3.8</v>
      </c>
      <c r="H63" s="72">
        <v>3.8</v>
      </c>
      <c r="I63" s="72">
        <v>3.8</v>
      </c>
      <c r="J63" s="72">
        <v>3.8</v>
      </c>
      <c r="K63" s="72">
        <v>3.8</v>
      </c>
      <c r="L63" s="72">
        <v>3.8</v>
      </c>
      <c r="M63" s="72">
        <v>3.8</v>
      </c>
      <c r="N63" s="72">
        <v>3.8</v>
      </c>
      <c r="O63" s="72">
        <v>3.8</v>
      </c>
      <c r="P63" s="72">
        <v>3.8</v>
      </c>
      <c r="Q63" s="72">
        <v>3.8</v>
      </c>
      <c r="R63" s="72">
        <v>3.8</v>
      </c>
      <c r="S63" s="72">
        <v>3.8</v>
      </c>
      <c r="T63" s="72">
        <v>3.1</v>
      </c>
      <c r="U63" s="72">
        <v>3.1</v>
      </c>
      <c r="V63" s="72">
        <v>3.1</v>
      </c>
      <c r="W63" s="72">
        <v>3.1</v>
      </c>
      <c r="X63" s="72">
        <v>3.1</v>
      </c>
      <c r="Y63" s="72">
        <v>3.1</v>
      </c>
      <c r="Z63" s="72">
        <v>3.1</v>
      </c>
      <c r="AA63" s="72">
        <v>3.1</v>
      </c>
      <c r="AB63" s="72">
        <v>3.1</v>
      </c>
      <c r="AC63" s="72">
        <v>3.1</v>
      </c>
      <c r="AD63" s="72">
        <v>3.1</v>
      </c>
      <c r="AE63" s="72">
        <v>3.1</v>
      </c>
      <c r="AF63" s="72">
        <v>3.1</v>
      </c>
      <c r="AG63" s="61">
        <v>10.050000000000001</v>
      </c>
      <c r="AH63" s="52">
        <f t="shared" si="2"/>
        <v>3.8</v>
      </c>
      <c r="AI63" s="53">
        <f t="shared" si="3"/>
        <v>3.1</v>
      </c>
      <c r="AK63" s="54"/>
    </row>
    <row r="64" spans="1:41" x14ac:dyDescent="0.25">
      <c r="A64" s="60" t="s">
        <v>68</v>
      </c>
      <c r="B64" s="72">
        <v>2.6</v>
      </c>
      <c r="C64" s="72">
        <v>2.6</v>
      </c>
      <c r="D64" s="72">
        <v>2.6</v>
      </c>
      <c r="E64" s="72">
        <v>2.6</v>
      </c>
      <c r="F64" s="72">
        <v>2.6</v>
      </c>
      <c r="G64" s="72">
        <v>2.6</v>
      </c>
      <c r="H64" s="72">
        <v>2.6</v>
      </c>
      <c r="I64" s="72">
        <v>2.6</v>
      </c>
      <c r="J64" s="72">
        <v>2.6</v>
      </c>
      <c r="K64" s="72">
        <v>2.6</v>
      </c>
      <c r="L64" s="72">
        <v>2.6</v>
      </c>
      <c r="M64" s="72">
        <v>2.6</v>
      </c>
      <c r="N64" s="72">
        <v>2.6</v>
      </c>
      <c r="O64" s="72">
        <v>2.6</v>
      </c>
      <c r="P64" s="72">
        <v>2.6</v>
      </c>
      <c r="Q64" s="72">
        <v>2.6</v>
      </c>
      <c r="R64" s="72">
        <v>2.6</v>
      </c>
      <c r="S64" s="72">
        <v>2.6</v>
      </c>
      <c r="T64" s="72">
        <v>2.6</v>
      </c>
      <c r="U64" s="72">
        <v>2.6</v>
      </c>
      <c r="V64" s="72">
        <v>2.6</v>
      </c>
      <c r="W64" s="72">
        <v>2.6</v>
      </c>
      <c r="X64" s="72">
        <v>2.6</v>
      </c>
      <c r="Y64" s="72">
        <v>2.6</v>
      </c>
      <c r="Z64" s="72">
        <v>2.6</v>
      </c>
      <c r="AA64" s="72">
        <v>2.6</v>
      </c>
      <c r="AB64" s="72">
        <v>2.6</v>
      </c>
      <c r="AC64" s="72">
        <v>2.6</v>
      </c>
      <c r="AD64" s="72">
        <v>2.6</v>
      </c>
      <c r="AE64" s="72">
        <v>2.6</v>
      </c>
      <c r="AF64" s="72">
        <v>2.6</v>
      </c>
      <c r="AG64" s="61">
        <v>6.2</v>
      </c>
      <c r="AH64" s="52">
        <f t="shared" si="2"/>
        <v>2.6</v>
      </c>
      <c r="AI64" s="53">
        <f t="shared" si="3"/>
        <v>2.6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" si="8">SUM(B53:B65)</f>
        <v>173.23999999999998</v>
      </c>
      <c r="C66" s="67">
        <f t="shared" ref="C66:AG66" si="9">SUM(C53:C65)</f>
        <v>173.14000000000001</v>
      </c>
      <c r="D66" s="67">
        <f t="shared" si="9"/>
        <v>173.14000000000001</v>
      </c>
      <c r="E66" s="67">
        <f t="shared" si="9"/>
        <v>135.44</v>
      </c>
      <c r="F66" s="67">
        <f t="shared" si="9"/>
        <v>118.14</v>
      </c>
      <c r="G66" s="67">
        <f t="shared" si="9"/>
        <v>140.74</v>
      </c>
      <c r="H66" s="67">
        <f t="shared" si="9"/>
        <v>154.04</v>
      </c>
      <c r="I66" s="67">
        <f t="shared" si="9"/>
        <v>163.23999999999998</v>
      </c>
      <c r="J66" s="67">
        <f t="shared" si="9"/>
        <v>157.54</v>
      </c>
      <c r="K66" s="67">
        <f t="shared" si="9"/>
        <v>130.63999999999999</v>
      </c>
      <c r="L66" s="67">
        <f t="shared" si="9"/>
        <v>148.94</v>
      </c>
      <c r="M66" s="67">
        <f t="shared" si="9"/>
        <v>145.94</v>
      </c>
      <c r="N66" s="67">
        <f t="shared" si="9"/>
        <v>156.93999999999997</v>
      </c>
      <c r="O66" s="67">
        <f t="shared" si="9"/>
        <v>178.54</v>
      </c>
      <c r="P66" s="67">
        <f t="shared" si="9"/>
        <v>232.33999999999997</v>
      </c>
      <c r="Q66" s="67">
        <f t="shared" si="9"/>
        <v>338.74</v>
      </c>
      <c r="R66" s="67">
        <f t="shared" si="9"/>
        <v>338.74</v>
      </c>
      <c r="S66" s="67">
        <f t="shared" si="9"/>
        <v>317.04000000000002</v>
      </c>
      <c r="T66" s="67">
        <f t="shared" si="9"/>
        <v>239.23999999999998</v>
      </c>
      <c r="U66" s="67">
        <f t="shared" si="9"/>
        <v>239.23999999999998</v>
      </c>
      <c r="V66" s="67">
        <f t="shared" si="9"/>
        <v>227.14</v>
      </c>
      <c r="W66" s="67">
        <f t="shared" si="9"/>
        <v>169.14</v>
      </c>
      <c r="X66" s="67">
        <f t="shared" si="9"/>
        <v>167.94</v>
      </c>
      <c r="Y66" s="67">
        <f t="shared" si="9"/>
        <v>169.44</v>
      </c>
      <c r="Z66" s="67">
        <v>250.73999999999998</v>
      </c>
      <c r="AA66" s="67">
        <f t="shared" si="9"/>
        <v>253.04</v>
      </c>
      <c r="AB66" s="67">
        <f t="shared" si="9"/>
        <v>216.64</v>
      </c>
      <c r="AC66" s="67">
        <f t="shared" si="9"/>
        <v>216.64</v>
      </c>
      <c r="AD66" s="67">
        <f t="shared" si="9"/>
        <v>216.64</v>
      </c>
      <c r="AE66" s="67">
        <f t="shared" si="9"/>
        <v>212.64</v>
      </c>
      <c r="AF66" s="67">
        <f t="shared" si="9"/>
        <v>224.74</v>
      </c>
      <c r="AG66" s="68">
        <f t="shared" si="9"/>
        <v>489.91</v>
      </c>
      <c r="AH66" s="52">
        <f t="shared" si="2"/>
        <v>338.74</v>
      </c>
      <c r="AI66" s="53">
        <f t="shared" si="3"/>
        <v>118.14</v>
      </c>
      <c r="AK66" s="54"/>
    </row>
    <row r="67" spans="1:40" x14ac:dyDescent="0.25">
      <c r="A67" s="49" t="s">
        <v>71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60</v>
      </c>
      <c r="L67" s="50">
        <v>60</v>
      </c>
      <c r="M67" s="50">
        <v>60</v>
      </c>
      <c r="N67" s="50">
        <v>60</v>
      </c>
      <c r="O67" s="50">
        <v>60</v>
      </c>
      <c r="P67" s="50">
        <v>60</v>
      </c>
      <c r="Q67" s="50">
        <v>60</v>
      </c>
      <c r="R67" s="50">
        <v>60</v>
      </c>
      <c r="S67" s="50">
        <v>60</v>
      </c>
      <c r="T67" s="50">
        <v>60</v>
      </c>
      <c r="U67" s="50">
        <v>60</v>
      </c>
      <c r="V67" s="50">
        <v>60</v>
      </c>
      <c r="W67" s="50">
        <v>60</v>
      </c>
      <c r="X67" s="50">
        <v>60</v>
      </c>
      <c r="Y67" s="50">
        <v>60</v>
      </c>
      <c r="Z67" s="50">
        <v>60</v>
      </c>
      <c r="AA67" s="50">
        <v>60</v>
      </c>
      <c r="AB67" s="50">
        <v>60</v>
      </c>
      <c r="AC67" s="50">
        <v>40</v>
      </c>
      <c r="AD67" s="50">
        <v>40</v>
      </c>
      <c r="AE67" s="50">
        <v>50</v>
      </c>
      <c r="AF67" s="50">
        <v>60</v>
      </c>
      <c r="AG67" s="56">
        <v>60</v>
      </c>
      <c r="AH67" s="52">
        <f t="shared" si="2"/>
        <v>60</v>
      </c>
      <c r="AI67" s="53">
        <f t="shared" si="3"/>
        <v>40</v>
      </c>
      <c r="AK67" s="54"/>
    </row>
    <row r="68" spans="1:40" x14ac:dyDescent="0.25">
      <c r="A68" s="60" t="s">
        <v>72</v>
      </c>
      <c r="B68" s="72">
        <v>25.5</v>
      </c>
      <c r="C68" s="72">
        <v>25.5</v>
      </c>
      <c r="D68" s="72">
        <v>25.5</v>
      </c>
      <c r="E68" s="72">
        <v>28</v>
      </c>
      <c r="F68" s="72">
        <v>28</v>
      </c>
      <c r="G68" s="72">
        <v>28</v>
      </c>
      <c r="H68" s="72">
        <v>28</v>
      </c>
      <c r="I68" s="72">
        <v>28</v>
      </c>
      <c r="J68" s="72">
        <v>28</v>
      </c>
      <c r="K68" s="72">
        <v>28</v>
      </c>
      <c r="L68" s="72">
        <v>28</v>
      </c>
      <c r="M68" s="72">
        <v>28</v>
      </c>
      <c r="N68" s="72">
        <v>28.4</v>
      </c>
      <c r="O68" s="72">
        <v>28.4</v>
      </c>
      <c r="P68" s="72">
        <v>28.6</v>
      </c>
      <c r="Q68" s="72">
        <v>28.6</v>
      </c>
      <c r="R68" s="72">
        <v>28.6</v>
      </c>
      <c r="S68" s="72">
        <v>29</v>
      </c>
      <c r="T68" s="72">
        <v>28.3</v>
      </c>
      <c r="U68" s="72">
        <v>28.3</v>
      </c>
      <c r="V68" s="72">
        <v>28.3</v>
      </c>
      <c r="W68" s="72">
        <v>28.8</v>
      </c>
      <c r="X68" s="72">
        <v>28.8</v>
      </c>
      <c r="Y68" s="72">
        <v>28.8</v>
      </c>
      <c r="Z68" s="72">
        <v>28.8</v>
      </c>
      <c r="AA68" s="72">
        <v>28.8</v>
      </c>
      <c r="AB68" s="72">
        <v>28.8</v>
      </c>
      <c r="AC68" s="72">
        <v>13</v>
      </c>
      <c r="AD68" s="72">
        <v>13</v>
      </c>
      <c r="AE68" s="72">
        <v>25</v>
      </c>
      <c r="AF68" s="50">
        <v>28</v>
      </c>
      <c r="AG68" s="61">
        <v>32</v>
      </c>
      <c r="AH68" s="52">
        <f t="shared" si="2"/>
        <v>29</v>
      </c>
      <c r="AI68" s="53">
        <f t="shared" si="3"/>
        <v>13</v>
      </c>
      <c r="AK68" s="54"/>
    </row>
    <row r="69" spans="1:40" ht="15.75" thickBot="1" x14ac:dyDescent="0.3">
      <c r="A69" s="78" t="s">
        <v>73</v>
      </c>
      <c r="B69" s="74">
        <v>9.3000000000000007</v>
      </c>
      <c r="C69" s="74">
        <v>9.3000000000000007</v>
      </c>
      <c r="D69" s="74">
        <v>9.3000000000000007</v>
      </c>
      <c r="E69" s="74">
        <v>9.3000000000000007</v>
      </c>
      <c r="F69" s="74">
        <v>10.3</v>
      </c>
      <c r="G69" s="74">
        <v>10.3</v>
      </c>
      <c r="H69" s="74">
        <v>10.3</v>
      </c>
      <c r="I69" s="74">
        <v>10.3</v>
      </c>
      <c r="J69" s="74">
        <v>10.3</v>
      </c>
      <c r="K69" s="74">
        <v>10.3</v>
      </c>
      <c r="L69" s="74">
        <v>10.3</v>
      </c>
      <c r="M69" s="74">
        <v>10.3</v>
      </c>
      <c r="N69" s="74">
        <v>10.4</v>
      </c>
      <c r="O69" s="74">
        <v>10.4</v>
      </c>
      <c r="P69" s="74">
        <v>10.4</v>
      </c>
      <c r="Q69" s="74">
        <v>10.4</v>
      </c>
      <c r="R69" s="74">
        <v>10.4</v>
      </c>
      <c r="S69" s="74">
        <v>10.6</v>
      </c>
      <c r="T69" s="74">
        <v>10.3</v>
      </c>
      <c r="U69" s="74">
        <v>10.3</v>
      </c>
      <c r="V69" s="74">
        <v>10.3</v>
      </c>
      <c r="W69" s="74">
        <v>10.5</v>
      </c>
      <c r="X69" s="74">
        <v>10.5</v>
      </c>
      <c r="Y69" s="74">
        <v>10.5</v>
      </c>
      <c r="Z69" s="74">
        <v>10.5</v>
      </c>
      <c r="AA69" s="74">
        <v>10.5</v>
      </c>
      <c r="AB69" s="74">
        <v>10.5</v>
      </c>
      <c r="AC69" s="74">
        <v>5</v>
      </c>
      <c r="AD69" s="74">
        <v>5</v>
      </c>
      <c r="AE69" s="74">
        <v>9</v>
      </c>
      <c r="AF69" s="50">
        <v>10</v>
      </c>
      <c r="AG69" s="75">
        <v>14</v>
      </c>
      <c r="AH69" s="52">
        <f t="shared" si="2"/>
        <v>10.6</v>
      </c>
      <c r="AI69" s="53">
        <f t="shared" si="3"/>
        <v>5</v>
      </c>
      <c r="AK69" s="54"/>
    </row>
    <row r="70" spans="1:40" ht="15.75" thickBot="1" x14ac:dyDescent="0.3">
      <c r="A70" s="81" t="s">
        <v>74</v>
      </c>
      <c r="B70" s="67">
        <f t="shared" ref="B70" si="10">B67+B68+B69</f>
        <v>94.8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98.3</v>
      </c>
      <c r="M70" s="67">
        <f t="shared" ref="M70:AF70" si="11">M67+M68+M69</f>
        <v>98.3</v>
      </c>
      <c r="N70" s="67">
        <f t="shared" si="11"/>
        <v>98.800000000000011</v>
      </c>
      <c r="O70" s="67">
        <f t="shared" si="11"/>
        <v>98.800000000000011</v>
      </c>
      <c r="P70" s="67">
        <f t="shared" si="11"/>
        <v>99</v>
      </c>
      <c r="Q70" s="67">
        <f t="shared" si="11"/>
        <v>99</v>
      </c>
      <c r="R70" s="67">
        <f t="shared" si="11"/>
        <v>99</v>
      </c>
      <c r="S70" s="67">
        <f t="shared" si="11"/>
        <v>99.6</v>
      </c>
      <c r="T70" s="67">
        <f t="shared" si="11"/>
        <v>98.6</v>
      </c>
      <c r="U70" s="67">
        <f t="shared" si="11"/>
        <v>98.6</v>
      </c>
      <c r="V70" s="67">
        <f t="shared" si="11"/>
        <v>98.6</v>
      </c>
      <c r="W70" s="67">
        <f t="shared" si="11"/>
        <v>99.3</v>
      </c>
      <c r="X70" s="67">
        <f t="shared" si="11"/>
        <v>99.3</v>
      </c>
      <c r="Y70" s="67">
        <f t="shared" si="11"/>
        <v>99.3</v>
      </c>
      <c r="Z70" s="67">
        <v>99.3</v>
      </c>
      <c r="AA70" s="67">
        <f t="shared" si="11"/>
        <v>99.3</v>
      </c>
      <c r="AB70" s="67">
        <f t="shared" si="11"/>
        <v>99.3</v>
      </c>
      <c r="AC70" s="67">
        <f t="shared" si="11"/>
        <v>58</v>
      </c>
      <c r="AD70" s="67">
        <f t="shared" si="11"/>
        <v>58</v>
      </c>
      <c r="AE70" s="67">
        <f t="shared" si="11"/>
        <v>84</v>
      </c>
      <c r="AF70" s="67">
        <f t="shared" si="11"/>
        <v>98</v>
      </c>
      <c r="AG70" s="68">
        <f>SUM(AG67:AG69)</f>
        <v>106</v>
      </c>
      <c r="AH70" s="52">
        <f t="shared" si="2"/>
        <v>99.6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65</v>
      </c>
      <c r="C71" s="50">
        <v>65</v>
      </c>
      <c r="D71" s="50">
        <v>65</v>
      </c>
      <c r="E71" s="50">
        <v>70</v>
      </c>
      <c r="F71" s="50">
        <v>71</v>
      </c>
      <c r="G71" s="50">
        <v>69</v>
      </c>
      <c r="H71" s="50">
        <v>58</v>
      </c>
      <c r="I71" s="50">
        <v>62</v>
      </c>
      <c r="J71" s="50">
        <v>70</v>
      </c>
      <c r="K71" s="50">
        <v>71</v>
      </c>
      <c r="L71" s="50">
        <v>62</v>
      </c>
      <c r="M71" s="50">
        <v>62</v>
      </c>
      <c r="N71" s="50">
        <v>57</v>
      </c>
      <c r="O71" s="50">
        <v>68</v>
      </c>
      <c r="P71" s="50">
        <v>72</v>
      </c>
      <c r="Q71" s="50">
        <v>70</v>
      </c>
      <c r="R71" s="50">
        <v>70</v>
      </c>
      <c r="S71" s="50">
        <v>68.900000000000006</v>
      </c>
      <c r="T71" s="50">
        <v>73</v>
      </c>
      <c r="U71" s="50">
        <v>73</v>
      </c>
      <c r="V71" s="50">
        <v>64.3</v>
      </c>
      <c r="W71" s="50">
        <v>65.400000000000006</v>
      </c>
      <c r="X71" s="50">
        <v>65</v>
      </c>
      <c r="Y71" s="50">
        <v>68.2</v>
      </c>
      <c r="Z71" s="50">
        <v>66.3</v>
      </c>
      <c r="AA71" s="50">
        <v>67.8</v>
      </c>
      <c r="AB71" s="50">
        <v>63</v>
      </c>
      <c r="AC71" s="50">
        <v>61.4</v>
      </c>
      <c r="AD71" s="50">
        <v>71</v>
      </c>
      <c r="AE71" s="50">
        <v>70</v>
      </c>
      <c r="AF71" s="50">
        <v>71</v>
      </c>
      <c r="AG71" s="56"/>
      <c r="AH71" s="52">
        <f t="shared" si="2"/>
        <v>73</v>
      </c>
      <c r="AI71" s="53">
        <f t="shared" si="3"/>
        <v>57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356</v>
      </c>
      <c r="C73" s="72">
        <v>372.6</v>
      </c>
      <c r="D73" s="72">
        <v>395</v>
      </c>
      <c r="E73" s="72">
        <v>391.6</v>
      </c>
      <c r="F73" s="72">
        <v>378</v>
      </c>
      <c r="G73" s="72">
        <v>408</v>
      </c>
      <c r="H73" s="72">
        <v>388</v>
      </c>
      <c r="I73" s="72">
        <v>323</v>
      </c>
      <c r="J73" s="72">
        <v>367</v>
      </c>
      <c r="K73" s="72">
        <v>395</v>
      </c>
      <c r="L73" s="72">
        <v>412.5</v>
      </c>
      <c r="M73" s="72">
        <v>412</v>
      </c>
      <c r="N73" s="72">
        <v>435.1</v>
      </c>
      <c r="O73" s="72">
        <v>457.4</v>
      </c>
      <c r="P73" s="72">
        <v>457</v>
      </c>
      <c r="Q73" s="72">
        <v>452</v>
      </c>
      <c r="R73" s="72">
        <v>490</v>
      </c>
      <c r="S73" s="72">
        <v>488.2</v>
      </c>
      <c r="T73" s="72">
        <v>502.2</v>
      </c>
      <c r="U73" s="72">
        <v>474</v>
      </c>
      <c r="V73" s="72">
        <v>426</v>
      </c>
      <c r="W73" s="72">
        <v>412</v>
      </c>
      <c r="X73" s="72">
        <v>400</v>
      </c>
      <c r="Y73" s="72">
        <v>410</v>
      </c>
      <c r="Z73" s="72">
        <v>425</v>
      </c>
      <c r="AA73" s="72">
        <v>266</v>
      </c>
      <c r="AB73" s="72">
        <v>320</v>
      </c>
      <c r="AC73" s="72">
        <v>330</v>
      </c>
      <c r="AD73" s="72">
        <v>350</v>
      </c>
      <c r="AE73" s="72">
        <v>335</v>
      </c>
      <c r="AF73" s="72">
        <v>289</v>
      </c>
      <c r="AG73" s="82"/>
      <c r="AH73" s="52">
        <f t="shared" si="2"/>
        <v>502.2</v>
      </c>
      <c r="AI73" s="53">
        <f t="shared" si="3"/>
        <v>266</v>
      </c>
      <c r="AK73" s="54"/>
    </row>
    <row r="74" spans="1:40" x14ac:dyDescent="0.25">
      <c r="A74" s="60" t="s">
        <v>78</v>
      </c>
      <c r="B74" s="72">
        <v>65.7</v>
      </c>
      <c r="C74" s="72">
        <v>53.6</v>
      </c>
      <c r="D74" s="72">
        <v>53.6</v>
      </c>
      <c r="E74" s="83">
        <v>52</v>
      </c>
      <c r="F74" s="83">
        <v>62.5</v>
      </c>
      <c r="G74" s="83">
        <v>64.8</v>
      </c>
      <c r="H74" s="83">
        <v>66.099999999999994</v>
      </c>
      <c r="I74" s="83">
        <v>66.2</v>
      </c>
      <c r="J74" s="83">
        <v>62.6</v>
      </c>
      <c r="K74" s="83">
        <v>61.4</v>
      </c>
      <c r="L74" s="83">
        <v>49</v>
      </c>
      <c r="M74" s="83">
        <v>50.5</v>
      </c>
      <c r="N74" s="83">
        <v>54.8</v>
      </c>
      <c r="O74" s="83">
        <v>58.6</v>
      </c>
      <c r="P74" s="83">
        <v>57.3</v>
      </c>
      <c r="Q74" s="83">
        <v>61</v>
      </c>
      <c r="R74" s="83">
        <v>61</v>
      </c>
      <c r="S74" s="83">
        <v>59.7</v>
      </c>
      <c r="T74" s="83">
        <v>57.1</v>
      </c>
      <c r="U74" s="83">
        <v>57.1</v>
      </c>
      <c r="V74" s="83">
        <v>57.1</v>
      </c>
      <c r="W74" s="83">
        <v>48.5</v>
      </c>
      <c r="X74" s="83">
        <v>52.1</v>
      </c>
      <c r="Y74" s="83">
        <v>52.1</v>
      </c>
      <c r="Z74" s="72">
        <v>52.1</v>
      </c>
      <c r="AA74" s="72">
        <v>62.9</v>
      </c>
      <c r="AB74" s="72">
        <v>66</v>
      </c>
      <c r="AC74" s="72">
        <v>65.5</v>
      </c>
      <c r="AD74" s="72">
        <v>65.5</v>
      </c>
      <c r="AE74" s="72">
        <v>65.5</v>
      </c>
      <c r="AF74" s="72">
        <v>63</v>
      </c>
      <c r="AG74" s="82"/>
      <c r="AH74" s="52">
        <f t="shared" si="2"/>
        <v>66.2</v>
      </c>
      <c r="AI74" s="53">
        <f t="shared" si="3"/>
        <v>48.5</v>
      </c>
      <c r="AK74" s="54"/>
    </row>
    <row r="75" spans="1:40" x14ac:dyDescent="0.25">
      <c r="A75" s="60" t="s">
        <v>79</v>
      </c>
      <c r="B75" s="50">
        <v>31.9</v>
      </c>
      <c r="C75" s="50">
        <v>31.8</v>
      </c>
      <c r="D75" s="50">
        <v>31.8</v>
      </c>
      <c r="E75" s="50">
        <v>32</v>
      </c>
      <c r="F75" s="50">
        <v>32.4</v>
      </c>
      <c r="G75" s="50">
        <v>29.7</v>
      </c>
      <c r="H75" s="50">
        <v>27.3</v>
      </c>
      <c r="I75" s="50">
        <v>27.5</v>
      </c>
      <c r="J75" s="50">
        <v>28</v>
      </c>
      <c r="K75" s="50">
        <v>61.5</v>
      </c>
      <c r="L75" s="50">
        <v>60.6</v>
      </c>
      <c r="M75" s="50">
        <v>62.7</v>
      </c>
      <c r="N75" s="50">
        <v>68.599999999999994</v>
      </c>
      <c r="O75" s="50">
        <v>81.8</v>
      </c>
      <c r="P75" s="50">
        <v>25.6</v>
      </c>
      <c r="Q75" s="50">
        <v>42</v>
      </c>
      <c r="R75" s="50">
        <v>42</v>
      </c>
      <c r="S75" s="50">
        <v>39.700000000000003</v>
      </c>
      <c r="T75" s="50">
        <v>86.1</v>
      </c>
      <c r="U75" s="50">
        <v>86.1</v>
      </c>
      <c r="V75" s="50">
        <v>86.1</v>
      </c>
      <c r="W75" s="50">
        <v>71.5</v>
      </c>
      <c r="X75" s="50">
        <v>76.2</v>
      </c>
      <c r="Y75" s="50">
        <v>76.2</v>
      </c>
      <c r="Z75" s="50">
        <v>76.2</v>
      </c>
      <c r="AA75" s="50">
        <v>66.3</v>
      </c>
      <c r="AB75" s="50">
        <v>65</v>
      </c>
      <c r="AC75" s="50">
        <v>70</v>
      </c>
      <c r="AD75" s="50">
        <v>70</v>
      </c>
      <c r="AE75" s="50">
        <v>0</v>
      </c>
      <c r="AF75" s="50">
        <v>26</v>
      </c>
      <c r="AG75" s="82"/>
      <c r="AH75" s="52">
        <f t="shared" ref="AH75:AH117" si="12">MAX(B75:AF75)</f>
        <v>86.1</v>
      </c>
      <c r="AI75" s="53">
        <f t="shared" ref="AI75:AI117" si="13">MIN(B75:AF75)</f>
        <v>0</v>
      </c>
      <c r="AK75" s="54"/>
    </row>
    <row r="76" spans="1:40" x14ac:dyDescent="0.25">
      <c r="A76" s="60" t="s">
        <v>80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7</v>
      </c>
      <c r="N76" s="84">
        <v>7</v>
      </c>
      <c r="O76" s="84">
        <v>6</v>
      </c>
      <c r="P76" s="84">
        <v>5</v>
      </c>
      <c r="Q76" s="84">
        <v>5</v>
      </c>
      <c r="R76" s="84">
        <v>5</v>
      </c>
      <c r="S76" s="84">
        <v>5</v>
      </c>
      <c r="T76" s="84">
        <v>5</v>
      </c>
      <c r="U76" s="84">
        <v>5</v>
      </c>
      <c r="V76" s="84">
        <v>5</v>
      </c>
      <c r="W76" s="84">
        <v>5</v>
      </c>
      <c r="X76" s="84">
        <v>5</v>
      </c>
      <c r="Y76" s="84">
        <v>5</v>
      </c>
      <c r="Z76" s="84">
        <v>5</v>
      </c>
      <c r="AA76" s="84">
        <v>5</v>
      </c>
      <c r="AB76" s="84">
        <v>5</v>
      </c>
      <c r="AC76" s="84">
        <v>5</v>
      </c>
      <c r="AD76" s="84">
        <v>5</v>
      </c>
      <c r="AE76" s="84">
        <v>5</v>
      </c>
      <c r="AF76" s="84">
        <v>5</v>
      </c>
      <c r="AG76" s="82"/>
      <c r="AH76" s="52">
        <f t="shared" si="12"/>
        <v>7</v>
      </c>
      <c r="AI76" s="53">
        <f t="shared" si="13"/>
        <v>5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Z77" s="84">
        <v>0</v>
      </c>
      <c r="AA77" s="84">
        <v>0</v>
      </c>
      <c r="AB77" s="84">
        <v>0</v>
      </c>
      <c r="AC77" s="84">
        <v>0</v>
      </c>
      <c r="AD77" s="84">
        <v>0</v>
      </c>
      <c r="AE77" s="84">
        <v>0</v>
      </c>
      <c r="AF77" s="84">
        <v>0</v>
      </c>
      <c r="AG77" s="82"/>
      <c r="AH77" s="52">
        <f t="shared" si="12"/>
        <v>0</v>
      </c>
      <c r="AI77" s="53">
        <f t="shared" si="13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Z78" s="84">
        <v>0</v>
      </c>
      <c r="AA78" s="84">
        <v>0</v>
      </c>
      <c r="AB78" s="84">
        <v>0</v>
      </c>
      <c r="AC78" s="84">
        <v>0</v>
      </c>
      <c r="AD78" s="84">
        <v>0</v>
      </c>
      <c r="AE78" s="84">
        <v>0</v>
      </c>
      <c r="AF78" s="84">
        <v>0</v>
      </c>
      <c r="AG78" s="82"/>
      <c r="AH78" s="52">
        <f t="shared" si="12"/>
        <v>0</v>
      </c>
      <c r="AI78" s="53">
        <f t="shared" si="13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Z79" s="84">
        <v>0</v>
      </c>
      <c r="AA79" s="84">
        <v>0</v>
      </c>
      <c r="AB79" s="84">
        <v>0</v>
      </c>
      <c r="AC79" s="84">
        <v>0</v>
      </c>
      <c r="AD79" s="84">
        <v>0</v>
      </c>
      <c r="AE79" s="84">
        <v>0</v>
      </c>
      <c r="AF79" s="84">
        <v>0</v>
      </c>
      <c r="AG79" s="82"/>
      <c r="AH79" s="52">
        <f t="shared" si="12"/>
        <v>0</v>
      </c>
      <c r="AI79" s="53">
        <f t="shared" si="13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84">
        <v>0</v>
      </c>
      <c r="AF80" s="84">
        <v>0</v>
      </c>
      <c r="AG80" s="92"/>
      <c r="AH80" s="52">
        <f t="shared" si="12"/>
        <v>0</v>
      </c>
      <c r="AI80" s="53">
        <f t="shared" si="13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84">
        <v>0</v>
      </c>
      <c r="AF81" s="84">
        <v>0</v>
      </c>
      <c r="AG81" s="92"/>
      <c r="AH81" s="52">
        <f t="shared" si="12"/>
        <v>0</v>
      </c>
      <c r="AI81" s="53">
        <f t="shared" si="13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" si="14">SUMIF(B71:B81,"&gt;0")</f>
        <v>523.6</v>
      </c>
      <c r="C82" s="67">
        <f t="shared" ref="C82:AF82" si="15">SUMIF(C71:C81,"&gt;0")</f>
        <v>528</v>
      </c>
      <c r="D82" s="67">
        <f t="shared" si="15"/>
        <v>550.4</v>
      </c>
      <c r="E82" s="67">
        <f t="shared" si="15"/>
        <v>550.6</v>
      </c>
      <c r="F82" s="67">
        <f t="shared" si="15"/>
        <v>548.9</v>
      </c>
      <c r="G82" s="67">
        <f t="shared" si="15"/>
        <v>576.5</v>
      </c>
      <c r="H82" s="67">
        <f t="shared" si="15"/>
        <v>544.4</v>
      </c>
      <c r="I82" s="67">
        <f t="shared" si="15"/>
        <v>483.7</v>
      </c>
      <c r="J82" s="67">
        <f t="shared" si="15"/>
        <v>532.6</v>
      </c>
      <c r="K82" s="67">
        <f t="shared" si="15"/>
        <v>593.9</v>
      </c>
      <c r="L82" s="67">
        <f t="shared" si="15"/>
        <v>589.1</v>
      </c>
      <c r="M82" s="67">
        <f t="shared" si="15"/>
        <v>594.20000000000005</v>
      </c>
      <c r="N82" s="67">
        <f t="shared" si="15"/>
        <v>622.5</v>
      </c>
      <c r="O82" s="67">
        <f t="shared" si="15"/>
        <v>671.8</v>
      </c>
      <c r="P82" s="67">
        <f t="shared" si="15"/>
        <v>616.9</v>
      </c>
      <c r="Q82" s="67">
        <f t="shared" si="15"/>
        <v>630</v>
      </c>
      <c r="R82" s="67">
        <f t="shared" si="15"/>
        <v>668</v>
      </c>
      <c r="S82" s="67">
        <f t="shared" si="15"/>
        <v>661.50000000000011</v>
      </c>
      <c r="T82" s="67">
        <f t="shared" si="15"/>
        <v>723.40000000000009</v>
      </c>
      <c r="U82" s="67">
        <f t="shared" si="15"/>
        <v>695.2</v>
      </c>
      <c r="V82" s="67">
        <f t="shared" si="15"/>
        <v>638.5</v>
      </c>
      <c r="W82" s="67">
        <f t="shared" si="15"/>
        <v>602.4</v>
      </c>
      <c r="X82" s="67">
        <f t="shared" si="15"/>
        <v>598.30000000000007</v>
      </c>
      <c r="Y82" s="67">
        <f t="shared" si="15"/>
        <v>611.5</v>
      </c>
      <c r="Z82" s="67">
        <v>624.6</v>
      </c>
      <c r="AA82" s="67">
        <f t="shared" si="15"/>
        <v>468</v>
      </c>
      <c r="AB82" s="67">
        <f t="shared" si="15"/>
        <v>519</v>
      </c>
      <c r="AC82" s="67">
        <f t="shared" si="15"/>
        <v>531.9</v>
      </c>
      <c r="AD82" s="67">
        <f t="shared" si="15"/>
        <v>561.5</v>
      </c>
      <c r="AE82" s="67">
        <f t="shared" si="15"/>
        <v>475.5</v>
      </c>
      <c r="AF82" s="67">
        <f t="shared" si="15"/>
        <v>454</v>
      </c>
      <c r="AG82" s="95">
        <f>SUM(AG71:AG81)</f>
        <v>0</v>
      </c>
      <c r="AH82" s="52">
        <f t="shared" si="12"/>
        <v>723.40000000000009</v>
      </c>
      <c r="AI82" s="53">
        <f t="shared" si="13"/>
        <v>454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2"/>
        <v>0</v>
      </c>
      <c r="AI83" s="53">
        <f t="shared" si="13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2"/>
        <v>0</v>
      </c>
      <c r="AI84" s="53">
        <f t="shared" si="13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2"/>
        <v>0</v>
      </c>
      <c r="AI85" s="53">
        <f t="shared" si="13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2"/>
        <v>0</v>
      </c>
      <c r="AI86" s="53">
        <f t="shared" si="13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" si="16">B48+B52+B70+B66+B82+B86</f>
        <v>1259.44</v>
      </c>
      <c r="C87" s="102">
        <f t="shared" ref="C87:AG87" si="17">C48+C52+C70+C66+C82+C86</f>
        <v>1139.8400000000001</v>
      </c>
      <c r="D87" s="102">
        <f t="shared" si="17"/>
        <v>1162.24</v>
      </c>
      <c r="E87" s="102">
        <f t="shared" si="17"/>
        <v>1128.2400000000002</v>
      </c>
      <c r="F87" s="102">
        <f t="shared" si="17"/>
        <v>1110.8399999999999</v>
      </c>
      <c r="G87" s="102">
        <f t="shared" si="17"/>
        <v>1113.24</v>
      </c>
      <c r="H87" s="102">
        <f t="shared" si="17"/>
        <v>1136.7399999999998</v>
      </c>
      <c r="I87" s="102">
        <f t="shared" si="17"/>
        <v>1094.94</v>
      </c>
      <c r="J87" s="102">
        <f t="shared" si="17"/>
        <v>1082.1399999999999</v>
      </c>
      <c r="K87" s="102">
        <f t="shared" si="17"/>
        <v>1126.54</v>
      </c>
      <c r="L87" s="102">
        <f t="shared" si="17"/>
        <v>1208.3400000000001</v>
      </c>
      <c r="M87" s="102">
        <f t="shared" si="17"/>
        <v>1221.3400000000001</v>
      </c>
      <c r="N87" s="102">
        <f t="shared" si="17"/>
        <v>1261.1399999999999</v>
      </c>
      <c r="O87" s="102">
        <f t="shared" si="17"/>
        <v>1332.1399999999999</v>
      </c>
      <c r="P87" s="102">
        <f t="shared" si="17"/>
        <v>1361.1399999999999</v>
      </c>
      <c r="Q87" s="102">
        <f t="shared" si="17"/>
        <v>1520.6399999999999</v>
      </c>
      <c r="R87" s="102">
        <f t="shared" si="17"/>
        <v>1528.6399999999999</v>
      </c>
      <c r="S87" s="102">
        <f t="shared" si="17"/>
        <v>1516.94</v>
      </c>
      <c r="T87" s="102">
        <f t="shared" si="17"/>
        <v>1475.64</v>
      </c>
      <c r="U87" s="102">
        <f t="shared" si="17"/>
        <v>1445.94</v>
      </c>
      <c r="V87" s="102">
        <f t="shared" si="17"/>
        <v>1382.1399999999999</v>
      </c>
      <c r="W87" s="102">
        <f t="shared" si="17"/>
        <v>1276.8400000000001</v>
      </c>
      <c r="X87" s="102">
        <f t="shared" si="17"/>
        <v>1276.54</v>
      </c>
      <c r="Y87" s="102">
        <f t="shared" si="17"/>
        <v>1321.24</v>
      </c>
      <c r="Z87" s="102">
        <v>1481.6399999999999</v>
      </c>
      <c r="AA87" s="102">
        <f t="shared" si="17"/>
        <v>1327.34</v>
      </c>
      <c r="AB87" s="102">
        <f t="shared" si="17"/>
        <v>1272.94</v>
      </c>
      <c r="AC87" s="102">
        <f t="shared" si="17"/>
        <v>1303.54</v>
      </c>
      <c r="AD87" s="102">
        <f t="shared" si="17"/>
        <v>1353.1399999999999</v>
      </c>
      <c r="AE87" s="102">
        <f t="shared" si="17"/>
        <v>1299.1399999999999</v>
      </c>
      <c r="AF87" s="102">
        <f t="shared" si="17"/>
        <v>1313.74</v>
      </c>
      <c r="AG87" s="68">
        <f t="shared" si="17"/>
        <v>2065.09</v>
      </c>
      <c r="AH87" s="52">
        <f>MAX(B87:AF87)</f>
        <v>1528.6399999999999</v>
      </c>
      <c r="AI87" s="53">
        <f>MIN(B87:AF87)</f>
        <v>1082.1399999999999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>
        <v>50</v>
      </c>
      <c r="C88" s="104"/>
      <c r="D88" s="104"/>
      <c r="E88" s="104"/>
      <c r="F88" s="104"/>
      <c r="G88" s="104"/>
      <c r="H88" s="104"/>
      <c r="I88" s="104">
        <v>60</v>
      </c>
      <c r="J88" s="104">
        <v>200</v>
      </c>
      <c r="K88" s="104">
        <v>200</v>
      </c>
      <c r="L88" s="104">
        <v>200</v>
      </c>
      <c r="M88" s="104">
        <v>200</v>
      </c>
      <c r="N88" s="104">
        <v>200</v>
      </c>
      <c r="O88" s="104">
        <v>200</v>
      </c>
      <c r="P88" s="104">
        <v>150</v>
      </c>
      <c r="Q88" s="104">
        <v>0</v>
      </c>
      <c r="R88" s="104">
        <v>0</v>
      </c>
      <c r="S88" s="104"/>
      <c r="T88" s="104">
        <v>50</v>
      </c>
      <c r="U88" s="104">
        <v>50</v>
      </c>
      <c r="V88" s="104">
        <v>50</v>
      </c>
      <c r="W88" s="104">
        <v>200</v>
      </c>
      <c r="X88" s="104">
        <v>200</v>
      </c>
      <c r="Y88" s="104">
        <v>220</v>
      </c>
      <c r="Z88" s="104">
        <v>220</v>
      </c>
      <c r="AA88" s="104">
        <v>320</v>
      </c>
      <c r="AB88" s="104">
        <v>320</v>
      </c>
      <c r="AC88" s="104">
        <v>200</v>
      </c>
      <c r="AD88" s="104">
        <v>150</v>
      </c>
      <c r="AE88" s="104">
        <v>100</v>
      </c>
      <c r="AF88" s="104">
        <v>0</v>
      </c>
      <c r="AG88" s="95"/>
      <c r="AH88" s="52">
        <f t="shared" si="12"/>
        <v>320</v>
      </c>
      <c r="AI88" s="53">
        <f t="shared" si="13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" si="18">B87+B88</f>
        <v>1309.44</v>
      </c>
      <c r="C89" s="102">
        <f t="shared" ref="C89:AF89" si="19">C87+C88</f>
        <v>1139.8400000000001</v>
      </c>
      <c r="D89" s="102">
        <f t="shared" si="19"/>
        <v>1162.24</v>
      </c>
      <c r="E89" s="102">
        <f t="shared" si="19"/>
        <v>1128.2400000000002</v>
      </c>
      <c r="F89" s="102">
        <f t="shared" si="19"/>
        <v>1110.8399999999999</v>
      </c>
      <c r="G89" s="102">
        <f t="shared" si="19"/>
        <v>1113.24</v>
      </c>
      <c r="H89" s="102">
        <f t="shared" si="19"/>
        <v>1136.7399999999998</v>
      </c>
      <c r="I89" s="102">
        <f t="shared" si="19"/>
        <v>1154.94</v>
      </c>
      <c r="J89" s="102">
        <f t="shared" si="19"/>
        <v>1282.1399999999999</v>
      </c>
      <c r="K89" s="102">
        <f t="shared" si="19"/>
        <v>1326.54</v>
      </c>
      <c r="L89" s="102">
        <f t="shared" si="19"/>
        <v>1408.3400000000001</v>
      </c>
      <c r="M89" s="102">
        <f t="shared" si="19"/>
        <v>1421.3400000000001</v>
      </c>
      <c r="N89" s="102">
        <f t="shared" si="19"/>
        <v>1461.1399999999999</v>
      </c>
      <c r="O89" s="102">
        <f t="shared" si="19"/>
        <v>1532.1399999999999</v>
      </c>
      <c r="P89" s="102">
        <f t="shared" si="19"/>
        <v>1511.1399999999999</v>
      </c>
      <c r="Q89" s="102">
        <f t="shared" si="19"/>
        <v>1520.6399999999999</v>
      </c>
      <c r="R89" s="102">
        <f t="shared" si="19"/>
        <v>1528.6399999999999</v>
      </c>
      <c r="S89" s="102">
        <f t="shared" si="19"/>
        <v>1516.94</v>
      </c>
      <c r="T89" s="102">
        <f t="shared" si="19"/>
        <v>1525.64</v>
      </c>
      <c r="U89" s="102">
        <f t="shared" si="19"/>
        <v>1495.94</v>
      </c>
      <c r="V89" s="102">
        <f t="shared" si="19"/>
        <v>1432.1399999999999</v>
      </c>
      <c r="W89" s="102">
        <f t="shared" si="19"/>
        <v>1476.8400000000001</v>
      </c>
      <c r="X89" s="102">
        <f t="shared" si="19"/>
        <v>1476.54</v>
      </c>
      <c r="Y89" s="102">
        <f t="shared" si="19"/>
        <v>1541.24</v>
      </c>
      <c r="Z89" s="102">
        <v>1701.6399999999999</v>
      </c>
      <c r="AA89" s="102">
        <f t="shared" si="19"/>
        <v>1647.34</v>
      </c>
      <c r="AB89" s="102">
        <f t="shared" si="19"/>
        <v>1592.94</v>
      </c>
      <c r="AC89" s="102">
        <f t="shared" si="19"/>
        <v>1503.54</v>
      </c>
      <c r="AD89" s="102">
        <f t="shared" si="19"/>
        <v>1503.1399999999999</v>
      </c>
      <c r="AE89" s="102">
        <f t="shared" si="19"/>
        <v>1399.1399999999999</v>
      </c>
      <c r="AF89" s="102">
        <f t="shared" si="19"/>
        <v>1313.74</v>
      </c>
      <c r="AG89" s="95">
        <f>AG86+AG82+AG70+AG66+AG48+AG88</f>
        <v>1526.99</v>
      </c>
      <c r="AH89" s="52">
        <f t="shared" si="12"/>
        <v>1701.6399999999999</v>
      </c>
      <c r="AI89" s="53">
        <f t="shared" si="13"/>
        <v>1110.8399999999999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" si="20">B89-B97</f>
        <v>1309.44</v>
      </c>
      <c r="C90" s="102">
        <f t="shared" ref="C90:AF90" si="21">C89-C97</f>
        <v>1139.8400000000001</v>
      </c>
      <c r="D90" s="102">
        <f t="shared" si="21"/>
        <v>1162.24</v>
      </c>
      <c r="E90" s="102">
        <f t="shared" si="21"/>
        <v>1128.2400000000002</v>
      </c>
      <c r="F90" s="102">
        <f t="shared" si="21"/>
        <v>1110.8399999999999</v>
      </c>
      <c r="G90" s="102">
        <f t="shared" si="21"/>
        <v>1113.24</v>
      </c>
      <c r="H90" s="102">
        <f t="shared" si="21"/>
        <v>1136.7399999999998</v>
      </c>
      <c r="I90" s="102">
        <f t="shared" si="21"/>
        <v>1154.94</v>
      </c>
      <c r="J90" s="102">
        <f t="shared" si="21"/>
        <v>1282.1399999999999</v>
      </c>
      <c r="K90" s="102">
        <f t="shared" si="21"/>
        <v>1326.54</v>
      </c>
      <c r="L90" s="102">
        <f t="shared" si="21"/>
        <v>1408.3400000000001</v>
      </c>
      <c r="M90" s="102">
        <f t="shared" si="21"/>
        <v>1421.3400000000001</v>
      </c>
      <c r="N90" s="102">
        <f t="shared" si="21"/>
        <v>1461.1399999999999</v>
      </c>
      <c r="O90" s="102">
        <f t="shared" si="21"/>
        <v>1532.1399999999999</v>
      </c>
      <c r="P90" s="102">
        <f t="shared" si="21"/>
        <v>1511.1399999999999</v>
      </c>
      <c r="Q90" s="102">
        <f t="shared" si="21"/>
        <v>1520.6399999999999</v>
      </c>
      <c r="R90" s="102">
        <f t="shared" si="21"/>
        <v>1528.6399999999999</v>
      </c>
      <c r="S90" s="102">
        <f t="shared" si="21"/>
        <v>1516.94</v>
      </c>
      <c r="T90" s="102">
        <f t="shared" si="21"/>
        <v>1525.64</v>
      </c>
      <c r="U90" s="102">
        <f t="shared" si="21"/>
        <v>1495.94</v>
      </c>
      <c r="V90" s="102">
        <f t="shared" si="21"/>
        <v>1432.1399999999999</v>
      </c>
      <c r="W90" s="102">
        <f t="shared" si="21"/>
        <v>1476.8400000000001</v>
      </c>
      <c r="X90" s="102">
        <f t="shared" si="21"/>
        <v>1476.54</v>
      </c>
      <c r="Y90" s="102">
        <f t="shared" si="21"/>
        <v>1541.24</v>
      </c>
      <c r="Z90" s="102">
        <v>1701.6399999999999</v>
      </c>
      <c r="AA90" s="102">
        <f t="shared" si="21"/>
        <v>1647.34</v>
      </c>
      <c r="AB90" s="102">
        <f t="shared" si="21"/>
        <v>1592.94</v>
      </c>
      <c r="AC90" s="102">
        <f t="shared" si="21"/>
        <v>1503.54</v>
      </c>
      <c r="AD90" s="102">
        <f t="shared" si="21"/>
        <v>1503.1399999999999</v>
      </c>
      <c r="AE90" s="102">
        <f t="shared" si="21"/>
        <v>1399.1399999999999</v>
      </c>
      <c r="AF90" s="102">
        <f t="shared" si="21"/>
        <v>1313.74</v>
      </c>
      <c r="AG90" s="95"/>
      <c r="AH90" s="52">
        <f t="shared" si="12"/>
        <v>1701.6399999999999</v>
      </c>
      <c r="AI90" s="53">
        <f t="shared" si="13"/>
        <v>1110.8399999999999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2"/>
        <v>0</v>
      </c>
      <c r="AI91" s="53">
        <f t="shared" si="13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2"/>
        <v>0</v>
      </c>
      <c r="AI92" s="53">
        <f t="shared" si="13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2"/>
        <v>0</v>
      </c>
      <c r="AI93" s="53">
        <f t="shared" si="13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2"/>
        <v>0</v>
      </c>
      <c r="AI94" s="53">
        <f t="shared" si="13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2"/>
        <v>0</v>
      </c>
      <c r="AI95" s="53">
        <f t="shared" si="13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2"/>
        <v>0</v>
      </c>
      <c r="AI96" s="53">
        <f t="shared" si="13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>
        <v>0</v>
      </c>
      <c r="AA97" s="67"/>
      <c r="AB97" s="67"/>
      <c r="AC97" s="67"/>
      <c r="AD97" s="67"/>
      <c r="AE97" s="67"/>
      <c r="AF97" s="67"/>
      <c r="AG97" s="95"/>
      <c r="AH97" s="52">
        <f t="shared" si="12"/>
        <v>0</v>
      </c>
      <c r="AI97" s="53">
        <f t="shared" si="13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" si="22">B82-B97</f>
        <v>523.6</v>
      </c>
      <c r="C98" s="67">
        <f t="shared" ref="C98:AF98" si="23">C82-C97</f>
        <v>528</v>
      </c>
      <c r="D98" s="67">
        <f t="shared" si="23"/>
        <v>550.4</v>
      </c>
      <c r="E98" s="67">
        <f t="shared" si="23"/>
        <v>550.6</v>
      </c>
      <c r="F98" s="67">
        <f t="shared" si="23"/>
        <v>548.9</v>
      </c>
      <c r="G98" s="67">
        <f t="shared" si="23"/>
        <v>576.5</v>
      </c>
      <c r="H98" s="67">
        <f t="shared" si="23"/>
        <v>544.4</v>
      </c>
      <c r="I98" s="67">
        <f t="shared" si="23"/>
        <v>483.7</v>
      </c>
      <c r="J98" s="67">
        <f t="shared" si="23"/>
        <v>532.6</v>
      </c>
      <c r="K98" s="67">
        <f t="shared" si="23"/>
        <v>593.9</v>
      </c>
      <c r="L98" s="67">
        <f t="shared" si="23"/>
        <v>589.1</v>
      </c>
      <c r="M98" s="67">
        <f t="shared" si="23"/>
        <v>594.20000000000005</v>
      </c>
      <c r="N98" s="67">
        <f t="shared" si="23"/>
        <v>622.5</v>
      </c>
      <c r="O98" s="67">
        <f t="shared" si="23"/>
        <v>671.8</v>
      </c>
      <c r="P98" s="67">
        <f t="shared" si="23"/>
        <v>616.9</v>
      </c>
      <c r="Q98" s="67">
        <f t="shared" si="23"/>
        <v>630</v>
      </c>
      <c r="R98" s="67">
        <f t="shared" si="23"/>
        <v>668</v>
      </c>
      <c r="S98" s="67">
        <f t="shared" si="23"/>
        <v>661.50000000000011</v>
      </c>
      <c r="T98" s="67">
        <f t="shared" si="23"/>
        <v>723.40000000000009</v>
      </c>
      <c r="U98" s="67">
        <f t="shared" si="23"/>
        <v>695.2</v>
      </c>
      <c r="V98" s="67">
        <f t="shared" si="23"/>
        <v>638.5</v>
      </c>
      <c r="W98" s="67">
        <f t="shared" si="23"/>
        <v>602.4</v>
      </c>
      <c r="X98" s="67">
        <f t="shared" si="23"/>
        <v>598.30000000000007</v>
      </c>
      <c r="Y98" s="67">
        <f t="shared" si="23"/>
        <v>611.5</v>
      </c>
      <c r="Z98" s="67">
        <v>624.6</v>
      </c>
      <c r="AA98" s="67">
        <f t="shared" si="23"/>
        <v>468</v>
      </c>
      <c r="AB98" s="67">
        <f t="shared" si="23"/>
        <v>519</v>
      </c>
      <c r="AC98" s="67">
        <f t="shared" si="23"/>
        <v>531.9</v>
      </c>
      <c r="AD98" s="67">
        <f t="shared" si="23"/>
        <v>561.5</v>
      </c>
      <c r="AE98" s="67">
        <f t="shared" si="23"/>
        <v>475.5</v>
      </c>
      <c r="AF98" s="67">
        <f t="shared" si="23"/>
        <v>454</v>
      </c>
      <c r="AG98" s="95"/>
      <c r="AH98" s="52">
        <f t="shared" si="12"/>
        <v>723.40000000000009</v>
      </c>
      <c r="AI98" s="53">
        <f t="shared" si="13"/>
        <v>454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49.828000000000003</v>
      </c>
      <c r="C99" s="108">
        <v>50.026000000000003</v>
      </c>
      <c r="D99" s="108">
        <v>50.026000000000003</v>
      </c>
      <c r="E99" s="108">
        <v>49.985999999999997</v>
      </c>
      <c r="F99" s="108">
        <v>49.970999999999997</v>
      </c>
      <c r="G99" s="108">
        <v>49.981999999999999</v>
      </c>
      <c r="H99" s="108">
        <v>49.970999999999997</v>
      </c>
      <c r="I99" s="108">
        <v>50.027000000000001</v>
      </c>
      <c r="J99" s="108">
        <v>50</v>
      </c>
      <c r="K99" s="108">
        <v>50.051000000000002</v>
      </c>
      <c r="L99" s="108">
        <v>49.906999999999996</v>
      </c>
      <c r="M99" s="108">
        <v>50.030999999999999</v>
      </c>
      <c r="N99" s="108">
        <v>49.948999999999998</v>
      </c>
      <c r="O99" s="108">
        <v>50.015999999999998</v>
      </c>
      <c r="P99" s="108">
        <v>49.972000000000001</v>
      </c>
      <c r="Q99" s="108">
        <v>50.09</v>
      </c>
      <c r="R99" s="108">
        <v>49.94</v>
      </c>
      <c r="S99" s="108">
        <v>50.046999999999997</v>
      </c>
      <c r="T99" s="108">
        <v>49.8</v>
      </c>
      <c r="U99" s="108">
        <v>49.97</v>
      </c>
      <c r="V99" s="108">
        <v>50.01</v>
      </c>
      <c r="W99" s="108">
        <v>49.92</v>
      </c>
      <c r="X99" s="108">
        <v>49.97</v>
      </c>
      <c r="Y99" s="108">
        <v>49.95</v>
      </c>
      <c r="Z99" s="108">
        <v>49.92</v>
      </c>
      <c r="AA99" s="108">
        <v>50.01</v>
      </c>
      <c r="AB99" s="108">
        <v>50</v>
      </c>
      <c r="AC99" s="108">
        <v>49.957999999999998</v>
      </c>
      <c r="AD99" s="108">
        <v>50</v>
      </c>
      <c r="AE99" s="108">
        <v>49.95</v>
      </c>
      <c r="AF99" s="108">
        <v>49.82</v>
      </c>
      <c r="AG99" s="109"/>
      <c r="AH99" s="52">
        <f t="shared" si="12"/>
        <v>50.09</v>
      </c>
      <c r="AI99" s="53">
        <f t="shared" si="13"/>
        <v>49.8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126.7</v>
      </c>
      <c r="C100" s="72">
        <v>127.4</v>
      </c>
      <c r="D100" s="72">
        <v>127.4</v>
      </c>
      <c r="E100" s="72">
        <v>125</v>
      </c>
      <c r="F100" s="72">
        <v>125</v>
      </c>
      <c r="G100" s="72">
        <v>128</v>
      </c>
      <c r="H100" s="72">
        <v>128</v>
      </c>
      <c r="I100" s="72">
        <v>128</v>
      </c>
      <c r="J100" s="72">
        <v>128</v>
      </c>
      <c r="K100" s="72">
        <v>128</v>
      </c>
      <c r="L100" s="72">
        <v>128</v>
      </c>
      <c r="M100" s="72">
        <v>127</v>
      </c>
      <c r="N100" s="72">
        <v>126.6</v>
      </c>
      <c r="O100" s="72">
        <v>126.8</v>
      </c>
      <c r="P100" s="72">
        <v>125.4</v>
      </c>
      <c r="Q100" s="72">
        <v>122.3</v>
      </c>
      <c r="R100" s="72">
        <v>122.7</v>
      </c>
      <c r="S100" s="72">
        <v>123.6</v>
      </c>
      <c r="T100" s="72">
        <v>124.2</v>
      </c>
      <c r="U100" s="72">
        <v>126.5</v>
      </c>
      <c r="V100" s="72">
        <v>127.8</v>
      </c>
      <c r="W100" s="72">
        <v>129.30000000000001</v>
      </c>
      <c r="X100" s="72">
        <v>129.9</v>
      </c>
      <c r="Y100" s="72">
        <v>128.6</v>
      </c>
      <c r="Z100" s="72">
        <v>128.80000000000001</v>
      </c>
      <c r="AA100" s="72">
        <v>129.19999999999999</v>
      </c>
      <c r="AB100" s="72">
        <v>129</v>
      </c>
      <c r="AC100" s="72">
        <v>130</v>
      </c>
      <c r="AD100" s="72">
        <v>130</v>
      </c>
      <c r="AE100" s="72">
        <v>130</v>
      </c>
      <c r="AF100" s="72">
        <v>128</v>
      </c>
      <c r="AG100" s="111"/>
      <c r="AH100" s="52">
        <f t="shared" si="12"/>
        <v>130</v>
      </c>
      <c r="AI100" s="53">
        <f t="shared" si="13"/>
        <v>122.3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130.69999999999999</v>
      </c>
      <c r="C101" s="72">
        <v>131.6</v>
      </c>
      <c r="D101" s="72">
        <v>131.6</v>
      </c>
      <c r="E101" s="72">
        <v>129.80000000000001</v>
      </c>
      <c r="F101" s="72">
        <v>129.80000000000001</v>
      </c>
      <c r="G101" s="72">
        <v>131.5</v>
      </c>
      <c r="H101" s="72">
        <v>131.5</v>
      </c>
      <c r="I101" s="72">
        <v>131.5</v>
      </c>
      <c r="J101" s="72">
        <v>131.5</v>
      </c>
      <c r="K101" s="72">
        <v>131.5</v>
      </c>
      <c r="L101" s="72">
        <v>131.5</v>
      </c>
      <c r="M101" s="72">
        <v>127.8</v>
      </c>
      <c r="N101" s="72">
        <v>127.6</v>
      </c>
      <c r="O101" s="72">
        <v>128</v>
      </c>
      <c r="P101" s="72">
        <v>127.8</v>
      </c>
      <c r="Q101" s="72">
        <v>126</v>
      </c>
      <c r="R101" s="72">
        <v>126.3</v>
      </c>
      <c r="S101" s="72">
        <v>127</v>
      </c>
      <c r="T101" s="72">
        <v>127</v>
      </c>
      <c r="U101" s="72">
        <v>128.69999999999999</v>
      </c>
      <c r="V101" s="72">
        <v>129.9</v>
      </c>
      <c r="W101" s="72">
        <v>130.6</v>
      </c>
      <c r="X101" s="72">
        <v>131.4</v>
      </c>
      <c r="Y101" s="72">
        <v>131.4</v>
      </c>
      <c r="Z101" s="72">
        <v>130</v>
      </c>
      <c r="AA101" s="72">
        <v>130.9</v>
      </c>
      <c r="AB101" s="72">
        <v>131</v>
      </c>
      <c r="AC101" s="72">
        <v>132</v>
      </c>
      <c r="AD101" s="72">
        <v>132</v>
      </c>
      <c r="AE101" s="72">
        <v>132</v>
      </c>
      <c r="AF101" s="72">
        <v>131</v>
      </c>
      <c r="AG101" s="111"/>
      <c r="AH101" s="52">
        <f t="shared" si="12"/>
        <v>132</v>
      </c>
      <c r="AI101" s="53">
        <f t="shared" si="13"/>
        <v>126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128.30000000000001</v>
      </c>
      <c r="C102" s="72">
        <v>128.30000000000001</v>
      </c>
      <c r="D102" s="72">
        <v>128.30000000000001</v>
      </c>
      <c r="E102" s="72">
        <v>131</v>
      </c>
      <c r="F102" s="72">
        <v>131</v>
      </c>
      <c r="G102" s="72">
        <v>131.6</v>
      </c>
      <c r="H102" s="72">
        <v>131.6</v>
      </c>
      <c r="I102" s="72">
        <v>131.6</v>
      </c>
      <c r="J102" s="72">
        <v>131.6</v>
      </c>
      <c r="K102" s="72">
        <v>131.6</v>
      </c>
      <c r="L102" s="72">
        <v>131.6</v>
      </c>
      <c r="M102" s="72">
        <v>128.5</v>
      </c>
      <c r="N102" s="72">
        <v>128.6</v>
      </c>
      <c r="O102" s="72">
        <v>126.5</v>
      </c>
      <c r="P102" s="72">
        <v>126</v>
      </c>
      <c r="Q102" s="72">
        <v>128</v>
      </c>
      <c r="R102" s="72">
        <v>123.7</v>
      </c>
      <c r="S102" s="72">
        <v>125.2</v>
      </c>
      <c r="T102" s="72">
        <v>126.4</v>
      </c>
      <c r="U102" s="72">
        <v>124.1</v>
      </c>
      <c r="V102" s="72">
        <v>127.6</v>
      </c>
      <c r="W102" s="72">
        <v>127.7</v>
      </c>
      <c r="X102" s="72">
        <v>128.6</v>
      </c>
      <c r="Y102" s="72">
        <v>128.6</v>
      </c>
      <c r="Z102" s="72">
        <v>127.3</v>
      </c>
      <c r="AA102" s="72">
        <v>133.30000000000001</v>
      </c>
      <c r="AB102" s="72">
        <v>129</v>
      </c>
      <c r="AC102" s="72">
        <v>130</v>
      </c>
      <c r="AD102" s="72">
        <v>130</v>
      </c>
      <c r="AE102" s="72">
        <v>130</v>
      </c>
      <c r="AF102" s="72">
        <v>129</v>
      </c>
      <c r="AG102" s="111"/>
      <c r="AH102" s="52">
        <f t="shared" si="12"/>
        <v>133.30000000000001</v>
      </c>
      <c r="AI102" s="53">
        <f t="shared" si="13"/>
        <v>123.7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2"/>
        <v>0</v>
      </c>
      <c r="AI103" s="53">
        <f t="shared" si="13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72">
        <v>134.6</v>
      </c>
      <c r="C104" s="113">
        <v>133</v>
      </c>
      <c r="D104" s="113">
        <v>133</v>
      </c>
      <c r="E104" s="113">
        <v>128.5</v>
      </c>
      <c r="F104" s="113">
        <v>128.5</v>
      </c>
      <c r="G104" s="113">
        <v>132.9</v>
      </c>
      <c r="H104" s="113">
        <v>132.9</v>
      </c>
      <c r="I104" s="113">
        <v>132.9</v>
      </c>
      <c r="J104" s="113">
        <v>132.9</v>
      </c>
      <c r="K104" s="113">
        <v>132.9</v>
      </c>
      <c r="L104" s="113">
        <v>132.9</v>
      </c>
      <c r="M104" s="113">
        <v>131</v>
      </c>
      <c r="N104" s="113">
        <v>131.1</v>
      </c>
      <c r="O104" s="113">
        <v>127.7</v>
      </c>
      <c r="P104" s="113">
        <v>131.30000000000001</v>
      </c>
      <c r="Q104" s="113">
        <v>130.6</v>
      </c>
      <c r="R104" s="113">
        <v>130.9</v>
      </c>
      <c r="S104" s="113">
        <v>129.9</v>
      </c>
      <c r="T104" s="113">
        <v>128.4</v>
      </c>
      <c r="U104" s="113">
        <v>133.1</v>
      </c>
      <c r="V104" s="113">
        <v>136.5</v>
      </c>
      <c r="W104" s="113">
        <v>132.4</v>
      </c>
      <c r="X104" s="113">
        <v>134.80000000000001</v>
      </c>
      <c r="Y104" s="113">
        <v>134.80000000000001</v>
      </c>
      <c r="Z104" s="113">
        <v>135</v>
      </c>
      <c r="AA104" s="113"/>
      <c r="AB104" s="113">
        <v>134</v>
      </c>
      <c r="AC104" s="113">
        <v>132</v>
      </c>
      <c r="AD104" s="113">
        <v>132</v>
      </c>
      <c r="AE104" s="113">
        <v>132</v>
      </c>
      <c r="AF104" s="113">
        <v>131</v>
      </c>
      <c r="AG104" s="114"/>
      <c r="AH104" s="52">
        <f t="shared" si="12"/>
        <v>136.5</v>
      </c>
      <c r="AI104" s="53">
        <f t="shared" si="13"/>
        <v>127.7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113">
        <v>128.5</v>
      </c>
      <c r="C105" s="72">
        <v>128.80000000000001</v>
      </c>
      <c r="D105" s="72">
        <v>128.80000000000001</v>
      </c>
      <c r="E105" s="72">
        <v>127</v>
      </c>
      <c r="F105" s="72">
        <v>127</v>
      </c>
      <c r="G105" s="72">
        <v>130.69999999999999</v>
      </c>
      <c r="H105" s="72">
        <v>130.69999999999999</v>
      </c>
      <c r="I105" s="72">
        <v>130.69999999999999</v>
      </c>
      <c r="J105" s="72">
        <v>130.69999999999999</v>
      </c>
      <c r="K105" s="72">
        <v>130.69999999999999</v>
      </c>
      <c r="L105" s="72">
        <v>130.69999999999999</v>
      </c>
      <c r="M105" s="72">
        <v>126.8</v>
      </c>
      <c r="N105" s="72">
        <v>128.30000000000001</v>
      </c>
      <c r="O105" s="72">
        <v>123.9</v>
      </c>
      <c r="P105" s="72">
        <v>124.2</v>
      </c>
      <c r="Q105" s="72">
        <v>134</v>
      </c>
      <c r="R105" s="72">
        <v>138.19999999999999</v>
      </c>
      <c r="S105" s="72">
        <v>130.6</v>
      </c>
      <c r="T105" s="72">
        <v>129.80000000000001</v>
      </c>
      <c r="U105" s="72">
        <v>129.1</v>
      </c>
      <c r="V105" s="72">
        <v>128.1</v>
      </c>
      <c r="W105" s="72">
        <v>128.19999999999999</v>
      </c>
      <c r="X105" s="72">
        <v>126.3</v>
      </c>
      <c r="Y105" s="72">
        <v>126.3</v>
      </c>
      <c r="Z105" s="72">
        <v>123.9</v>
      </c>
      <c r="AA105" s="72"/>
      <c r="AB105" s="72">
        <v>128</v>
      </c>
      <c r="AC105" s="72">
        <v>131</v>
      </c>
      <c r="AD105" s="72">
        <v>131</v>
      </c>
      <c r="AE105" s="72">
        <v>131</v>
      </c>
      <c r="AF105" s="72">
        <v>129</v>
      </c>
      <c r="AG105" s="111"/>
      <c r="AH105" s="52">
        <f t="shared" si="12"/>
        <v>138.19999999999999</v>
      </c>
      <c r="AI105" s="53">
        <f t="shared" si="13"/>
        <v>123.9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65.5</v>
      </c>
      <c r="C106" s="99">
        <v>65.7</v>
      </c>
      <c r="D106" s="99">
        <v>65.7</v>
      </c>
      <c r="E106" s="99">
        <v>64.900000000000006</v>
      </c>
      <c r="F106" s="99">
        <v>64.900000000000006</v>
      </c>
      <c r="G106" s="99">
        <v>65.599999999999994</v>
      </c>
      <c r="H106" s="99">
        <v>65.599999999999994</v>
      </c>
      <c r="I106" s="99">
        <v>65.599999999999994</v>
      </c>
      <c r="J106" s="99">
        <v>65.599999999999994</v>
      </c>
      <c r="K106" s="99">
        <v>65.599999999999994</v>
      </c>
      <c r="L106" s="99">
        <v>65.599999999999994</v>
      </c>
      <c r="M106" s="99">
        <v>63.8</v>
      </c>
      <c r="N106" s="99">
        <v>64</v>
      </c>
      <c r="O106" s="99">
        <v>64</v>
      </c>
      <c r="P106" s="99">
        <v>64</v>
      </c>
      <c r="Q106" s="99">
        <v>63.4</v>
      </c>
      <c r="R106" s="99">
        <v>63.2</v>
      </c>
      <c r="S106" s="99">
        <v>63.5</v>
      </c>
      <c r="T106" s="99">
        <v>63.8</v>
      </c>
      <c r="U106" s="99">
        <v>64.3</v>
      </c>
      <c r="V106" s="99">
        <v>64.900000000000006</v>
      </c>
      <c r="W106" s="99">
        <v>65</v>
      </c>
      <c r="X106" s="99">
        <v>65.400000000000006</v>
      </c>
      <c r="Y106" s="99">
        <v>65.400000000000006</v>
      </c>
      <c r="Z106" s="99">
        <v>65</v>
      </c>
      <c r="AA106" s="99"/>
      <c r="AB106" s="99">
        <v>65.5</v>
      </c>
      <c r="AC106" s="99">
        <v>66.099999999999994</v>
      </c>
      <c r="AD106" s="99">
        <v>66.099999999999994</v>
      </c>
      <c r="AE106" s="99">
        <v>66.099999999999994</v>
      </c>
      <c r="AF106" s="99">
        <v>65.8</v>
      </c>
      <c r="AG106" s="115"/>
      <c r="AH106" s="52">
        <f t="shared" si="12"/>
        <v>66.099999999999994</v>
      </c>
      <c r="AI106" s="53">
        <f t="shared" si="13"/>
        <v>63.2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 t="s">
        <v>256</v>
      </c>
      <c r="AA107" s="99"/>
      <c r="AB107" s="99"/>
      <c r="AC107" s="99"/>
      <c r="AD107" s="99"/>
      <c r="AE107" s="99"/>
      <c r="AF107" s="99"/>
      <c r="AG107" s="115"/>
      <c r="AH107" s="52">
        <f t="shared" si="12"/>
        <v>0</v>
      </c>
      <c r="AI107" s="53">
        <f t="shared" si="13"/>
        <v>0</v>
      </c>
    </row>
    <row r="108" spans="1:88" ht="15.75" thickBot="1" x14ac:dyDescent="0.3">
      <c r="A108" s="117" t="s">
        <v>112</v>
      </c>
      <c r="B108" s="118">
        <f t="shared" ref="B108" si="24">SUM(B18,B24,B27:B28,B56,B58:B59,B61,B63,B109:B113,B135,B141,B147,B156,B158,B170,B177,B180:B181,B188,B190,B192,B196:B198,B200:B202,B207,B213:B214,B216:B218,B226,B231)</f>
        <v>116</v>
      </c>
      <c r="C108" s="118">
        <f t="shared" ref="C108:AF108" si="25">SUM(C18,C24,C27:C28,C56,C58:C59,C61,C63,C109:C113,C135,C141,C147,C156,C158,C170,C177,C180:C181,C188,C190,C192,C196:C198,C200:C202,C207,C213:C214,C216:C218,C226,C231)</f>
        <v>105.74</v>
      </c>
      <c r="D108" s="118">
        <f t="shared" si="25"/>
        <v>105.74</v>
      </c>
      <c r="E108" s="118">
        <f t="shared" si="25"/>
        <v>97.44</v>
      </c>
      <c r="F108" s="118">
        <f t="shared" si="25"/>
        <v>115.33999999999999</v>
      </c>
      <c r="G108" s="118">
        <f t="shared" si="25"/>
        <v>133.54000000000002</v>
      </c>
      <c r="H108" s="118">
        <f t="shared" si="25"/>
        <v>150.54</v>
      </c>
      <c r="I108" s="118">
        <f t="shared" si="25"/>
        <v>190.54</v>
      </c>
      <c r="J108" s="118">
        <f t="shared" si="25"/>
        <v>224.54000000000002</v>
      </c>
      <c r="K108" s="118">
        <f t="shared" si="25"/>
        <v>253.04</v>
      </c>
      <c r="L108" s="118">
        <f t="shared" si="25"/>
        <v>269.64</v>
      </c>
      <c r="M108" s="118">
        <f t="shared" si="25"/>
        <v>250.23999999999998</v>
      </c>
      <c r="N108" s="118">
        <f t="shared" si="25"/>
        <v>245.04000000000002</v>
      </c>
      <c r="O108" s="118">
        <f t="shared" si="25"/>
        <v>236.83999999999997</v>
      </c>
      <c r="P108" s="118">
        <v>42</v>
      </c>
      <c r="Q108" s="118">
        <f t="shared" si="25"/>
        <v>266</v>
      </c>
      <c r="R108" s="118">
        <f t="shared" si="25"/>
        <v>226.39999999999998</v>
      </c>
      <c r="S108" s="118">
        <f t="shared" si="25"/>
        <v>234.90000000000003</v>
      </c>
      <c r="T108" s="118">
        <f t="shared" si="25"/>
        <v>277.10000000000002</v>
      </c>
      <c r="U108" s="118">
        <f t="shared" si="25"/>
        <v>147.56</v>
      </c>
      <c r="V108" s="118">
        <f t="shared" si="25"/>
        <v>227.60000000000002</v>
      </c>
      <c r="W108" s="118">
        <f t="shared" si="25"/>
        <v>271.10000000000002</v>
      </c>
      <c r="X108" s="118">
        <f t="shared" si="25"/>
        <v>269.89999999999998</v>
      </c>
      <c r="Y108" s="118">
        <f t="shared" si="25"/>
        <v>270.2</v>
      </c>
      <c r="Z108" s="118">
        <v>359.79708333333332</v>
      </c>
      <c r="AA108" s="118">
        <f t="shared" si="25"/>
        <v>83.199999999999989</v>
      </c>
      <c r="AB108" s="118">
        <f t="shared" si="25"/>
        <v>254.6</v>
      </c>
      <c r="AC108" s="118">
        <f t="shared" si="25"/>
        <v>213.5</v>
      </c>
      <c r="AD108" s="118">
        <f t="shared" si="25"/>
        <v>213.5</v>
      </c>
      <c r="AE108" s="118">
        <f t="shared" si="25"/>
        <v>154.04999999999998</v>
      </c>
      <c r="AF108" s="118">
        <f t="shared" si="25"/>
        <v>152.69999999999999</v>
      </c>
      <c r="AG108" s="119"/>
      <c r="AH108" s="52">
        <f t="shared" si="12"/>
        <v>359.79708333333332</v>
      </c>
      <c r="AI108" s="53">
        <f t="shared" si="13"/>
        <v>42</v>
      </c>
    </row>
    <row r="109" spans="1:88" x14ac:dyDescent="0.25">
      <c r="A109" s="107" t="s">
        <v>113</v>
      </c>
      <c r="B109" s="120">
        <v>-12</v>
      </c>
      <c r="C109" s="120">
        <v>-12.5</v>
      </c>
      <c r="D109" s="120">
        <v>-12.5</v>
      </c>
      <c r="E109" s="120">
        <v>-21.5</v>
      </c>
      <c r="F109" s="120">
        <v>-21.1</v>
      </c>
      <c r="G109" s="120">
        <v>-17.8</v>
      </c>
      <c r="H109" s="120">
        <v>-13.7</v>
      </c>
      <c r="I109" s="120">
        <v>-4.5999999999999996</v>
      </c>
      <c r="J109" s="120">
        <v>-8.6</v>
      </c>
      <c r="K109" s="120">
        <v>-5.3</v>
      </c>
      <c r="L109" s="120">
        <v>-6.6</v>
      </c>
      <c r="M109" s="120">
        <v>-7.2</v>
      </c>
      <c r="N109" s="120">
        <v>-11.7</v>
      </c>
      <c r="O109" s="120">
        <v>-12.2</v>
      </c>
      <c r="P109" s="120">
        <v>0</v>
      </c>
      <c r="Q109" s="120">
        <v>16</v>
      </c>
      <c r="R109" s="120">
        <v>18</v>
      </c>
      <c r="S109" s="120">
        <v>15.4</v>
      </c>
      <c r="T109" s="120">
        <v>-8.6</v>
      </c>
      <c r="U109" s="120">
        <v>-2.5</v>
      </c>
      <c r="V109" s="120">
        <v>-4.5999999999999996</v>
      </c>
      <c r="W109" s="120">
        <v>-6.8</v>
      </c>
      <c r="X109" s="120">
        <v>-1</v>
      </c>
      <c r="Y109" s="120">
        <v>-4.7</v>
      </c>
      <c r="Z109" s="120">
        <v>15.3</v>
      </c>
      <c r="AA109" s="120"/>
      <c r="AB109" s="120">
        <v>3.4</v>
      </c>
      <c r="AC109" s="120">
        <v>1.3</v>
      </c>
      <c r="AD109" s="120">
        <v>1.3</v>
      </c>
      <c r="AE109" s="120">
        <v>3.6</v>
      </c>
      <c r="AF109" s="120">
        <v>3</v>
      </c>
      <c r="AG109" s="121">
        <v>75</v>
      </c>
      <c r="AH109" s="52">
        <f t="shared" si="12"/>
        <v>18</v>
      </c>
      <c r="AI109" s="53">
        <f t="shared" si="13"/>
        <v>-21.5</v>
      </c>
    </row>
    <row r="110" spans="1:88" x14ac:dyDescent="0.25">
      <c r="A110" s="110" t="s">
        <v>114</v>
      </c>
      <c r="B110" s="188">
        <v>-14.7</v>
      </c>
      <c r="C110" s="188">
        <v>-15.9</v>
      </c>
      <c r="D110" s="188">
        <v>-15.9</v>
      </c>
      <c r="E110" s="188">
        <v>-27</v>
      </c>
      <c r="F110" s="188">
        <v>-27</v>
      </c>
      <c r="G110" s="188">
        <v>-21.3</v>
      </c>
      <c r="H110" s="188">
        <v>-15.8</v>
      </c>
      <c r="I110" s="188">
        <v>-3.7</v>
      </c>
      <c r="J110" s="188">
        <v>-5.8</v>
      </c>
      <c r="K110" s="188">
        <v>-6.5</v>
      </c>
      <c r="L110" s="188">
        <v>-12</v>
      </c>
      <c r="M110" s="188">
        <v>-11.1</v>
      </c>
      <c r="N110" s="188">
        <v>-17.7</v>
      </c>
      <c r="O110" s="188">
        <v>-17.2</v>
      </c>
      <c r="P110" s="188">
        <v>-1.4</v>
      </c>
      <c r="Q110" s="188">
        <v>25</v>
      </c>
      <c r="R110" s="188">
        <v>25.6</v>
      </c>
      <c r="S110" s="188">
        <v>24</v>
      </c>
      <c r="T110" s="188">
        <v>-9.8000000000000007</v>
      </c>
      <c r="U110" s="188">
        <v>0</v>
      </c>
      <c r="V110" s="188">
        <v>-3.6</v>
      </c>
      <c r="W110" s="188">
        <v>-13.2</v>
      </c>
      <c r="X110" s="188">
        <v>-6.4</v>
      </c>
      <c r="Y110" s="188">
        <v>1.1000000000000001</v>
      </c>
      <c r="Z110" s="188">
        <v>15.1</v>
      </c>
      <c r="AA110" s="188"/>
      <c r="AB110" s="188">
        <v>0</v>
      </c>
      <c r="AC110" s="188">
        <v>0</v>
      </c>
      <c r="AD110" s="188">
        <v>0</v>
      </c>
      <c r="AE110" s="188">
        <v>2.8</v>
      </c>
      <c r="AF110" s="188">
        <v>2</v>
      </c>
      <c r="AG110" s="121">
        <v>240</v>
      </c>
      <c r="AH110" s="52">
        <f t="shared" si="12"/>
        <v>25.6</v>
      </c>
      <c r="AI110" s="53">
        <f t="shared" si="13"/>
        <v>-27</v>
      </c>
    </row>
    <row r="111" spans="1:88" x14ac:dyDescent="0.25">
      <c r="A111" s="110" t="s">
        <v>115</v>
      </c>
      <c r="B111" s="188">
        <v>-69.2</v>
      </c>
      <c r="C111" s="188">
        <v>-43.2</v>
      </c>
      <c r="D111" s="188">
        <v>-43.2</v>
      </c>
      <c r="E111" s="188">
        <v>-46</v>
      </c>
      <c r="F111" s="188">
        <v>-29</v>
      </c>
      <c r="G111" s="188">
        <v>-20</v>
      </c>
      <c r="H111" s="188">
        <v>-16</v>
      </c>
      <c r="I111" s="188">
        <v>4</v>
      </c>
      <c r="J111" s="188">
        <v>29</v>
      </c>
      <c r="K111" s="188">
        <v>44</v>
      </c>
      <c r="L111" s="188">
        <v>58.4</v>
      </c>
      <c r="M111" s="188">
        <v>22.4</v>
      </c>
      <c r="N111" s="188">
        <v>24.6</v>
      </c>
      <c r="O111" s="188">
        <v>18</v>
      </c>
      <c r="P111" s="188">
        <v>-16</v>
      </c>
      <c r="Q111" s="188">
        <v>-13</v>
      </c>
      <c r="R111" s="188">
        <v>-50.9</v>
      </c>
      <c r="S111" s="188">
        <v>-45</v>
      </c>
      <c r="T111" s="188">
        <f>24.3+18.3</f>
        <v>42.6</v>
      </c>
      <c r="U111" s="188">
        <f>-14.74+17.2</f>
        <v>2.4599999999999991</v>
      </c>
      <c r="V111" s="188">
        <f>-15.9+16.2</f>
        <v>0.29999999999999893</v>
      </c>
      <c r="W111" s="188">
        <f>32.9+27.3</f>
        <v>60.2</v>
      </c>
      <c r="X111" s="188">
        <f>29.3+26</f>
        <v>55.3</v>
      </c>
      <c r="Y111" s="188">
        <f>-1.7+31.1</f>
        <v>29.400000000000002</v>
      </c>
      <c r="Z111" s="188">
        <v>25.700000000000003</v>
      </c>
      <c r="AA111" s="188"/>
      <c r="AB111" s="188">
        <v>35</v>
      </c>
      <c r="AC111" s="188">
        <v>14</v>
      </c>
      <c r="AD111" s="188">
        <v>14</v>
      </c>
      <c r="AE111" s="188">
        <v>-43</v>
      </c>
      <c r="AF111" s="188">
        <v>-43</v>
      </c>
      <c r="AG111" s="121">
        <v>240</v>
      </c>
      <c r="AH111" s="52">
        <f t="shared" si="12"/>
        <v>60.2</v>
      </c>
      <c r="AI111" s="53">
        <f t="shared" si="13"/>
        <v>-69.2</v>
      </c>
    </row>
    <row r="112" spans="1:88" x14ac:dyDescent="0.25">
      <c r="A112" s="110" t="s">
        <v>116</v>
      </c>
      <c r="B112" s="188">
        <v>57</v>
      </c>
      <c r="C112" s="188">
        <v>30.2</v>
      </c>
      <c r="D112" s="188">
        <v>30.2</v>
      </c>
      <c r="E112" s="188">
        <v>26.3</v>
      </c>
      <c r="F112" s="188">
        <v>29.7</v>
      </c>
      <c r="G112" s="188">
        <v>29.7</v>
      </c>
      <c r="H112" s="188">
        <v>29.4</v>
      </c>
      <c r="I112" s="188">
        <v>38.5</v>
      </c>
      <c r="J112" s="188">
        <v>46.2</v>
      </c>
      <c r="K112" s="188">
        <v>36.6</v>
      </c>
      <c r="L112" s="188">
        <v>47.6</v>
      </c>
      <c r="M112" s="188">
        <v>52.8</v>
      </c>
      <c r="N112" s="188">
        <v>51.2</v>
      </c>
      <c r="O112" s="188">
        <v>51.7</v>
      </c>
      <c r="P112" s="188">
        <v>46.6</v>
      </c>
      <c r="Q112" s="188">
        <v>42</v>
      </c>
      <c r="R112" s="188">
        <v>40.5</v>
      </c>
      <c r="S112" s="188">
        <v>40.4</v>
      </c>
      <c r="T112" s="188">
        <v>43.4</v>
      </c>
      <c r="U112" s="188">
        <v>47.5</v>
      </c>
      <c r="V112" s="188">
        <v>45.5</v>
      </c>
      <c r="W112" s="188">
        <v>48.7</v>
      </c>
      <c r="X112" s="188">
        <v>37.200000000000003</v>
      </c>
      <c r="Y112" s="188">
        <v>51.1</v>
      </c>
      <c r="Z112" s="188">
        <v>50.6</v>
      </c>
      <c r="AA112" s="188"/>
      <c r="AB112" s="188">
        <v>31</v>
      </c>
      <c r="AC112" s="188">
        <v>30</v>
      </c>
      <c r="AD112" s="188">
        <v>30</v>
      </c>
      <c r="AE112" s="188">
        <v>33</v>
      </c>
      <c r="AF112" s="188">
        <v>32</v>
      </c>
      <c r="AG112" s="121">
        <v>60</v>
      </c>
      <c r="AH112" s="52">
        <f t="shared" si="12"/>
        <v>57</v>
      </c>
      <c r="AI112" s="53">
        <f t="shared" si="13"/>
        <v>26.3</v>
      </c>
    </row>
    <row r="113" spans="1:37" x14ac:dyDescent="0.25">
      <c r="A113" s="123" t="s">
        <v>117</v>
      </c>
      <c r="B113" s="124">
        <v>72.8</v>
      </c>
      <c r="C113" s="124">
        <v>64.099999999999994</v>
      </c>
      <c r="D113" s="124">
        <v>64.099999999999994</v>
      </c>
      <c r="E113" s="124">
        <v>83.8</v>
      </c>
      <c r="F113" s="124">
        <v>80.5</v>
      </c>
      <c r="G113" s="124">
        <v>80.7</v>
      </c>
      <c r="H113" s="124">
        <v>84.4</v>
      </c>
      <c r="I113" s="124">
        <v>74.099999999999994</v>
      </c>
      <c r="J113" s="124">
        <v>81.5</v>
      </c>
      <c r="K113" s="124">
        <v>102</v>
      </c>
      <c r="L113" s="124">
        <v>100</v>
      </c>
      <c r="M113" s="124">
        <v>105.1</v>
      </c>
      <c r="N113" s="124">
        <v>107.8</v>
      </c>
      <c r="O113" s="124">
        <v>102.3</v>
      </c>
      <c r="P113" s="124">
        <v>106.2</v>
      </c>
      <c r="Q113" s="124">
        <v>101</v>
      </c>
      <c r="R113" s="124">
        <v>98.2</v>
      </c>
      <c r="S113" s="124">
        <v>103.2</v>
      </c>
      <c r="T113" s="124">
        <v>121.5</v>
      </c>
      <c r="U113" s="124">
        <v>11.9</v>
      </c>
      <c r="V113" s="124">
        <v>101.8</v>
      </c>
      <c r="W113" s="124">
        <v>99.3</v>
      </c>
      <c r="X113" s="124">
        <v>101.6</v>
      </c>
      <c r="Y113" s="124">
        <v>110.1</v>
      </c>
      <c r="Z113" s="124">
        <v>105.4</v>
      </c>
      <c r="AA113" s="124"/>
      <c r="AB113" s="124">
        <v>102</v>
      </c>
      <c r="AC113" s="124">
        <v>85</v>
      </c>
      <c r="AD113" s="124">
        <v>85</v>
      </c>
      <c r="AE113" s="124">
        <v>74.45</v>
      </c>
      <c r="AF113" s="124">
        <v>75.5</v>
      </c>
      <c r="AG113" s="125">
        <v>120</v>
      </c>
      <c r="AH113" s="52">
        <f t="shared" si="12"/>
        <v>121.5</v>
      </c>
      <c r="AI113" s="53">
        <f t="shared" si="13"/>
        <v>11.9</v>
      </c>
    </row>
    <row r="114" spans="1:37" x14ac:dyDescent="0.25">
      <c r="A114" s="123" t="s">
        <v>118</v>
      </c>
      <c r="B114" s="124">
        <v>90.3</v>
      </c>
      <c r="C114" s="124">
        <v>73</v>
      </c>
      <c r="D114" s="124">
        <v>73</v>
      </c>
      <c r="E114" s="124">
        <v>97.2</v>
      </c>
      <c r="F114" s="124">
        <v>90</v>
      </c>
      <c r="G114" s="124">
        <v>92</v>
      </c>
      <c r="H114" s="124">
        <v>91.4</v>
      </c>
      <c r="I114" s="124">
        <v>69.8</v>
      </c>
      <c r="J114" s="124">
        <v>66.8</v>
      </c>
      <c r="K114" s="124">
        <v>77.8</v>
      </c>
      <c r="L114" s="124">
        <v>78.900000000000006</v>
      </c>
      <c r="M114" s="124">
        <v>81.599999999999994</v>
      </c>
      <c r="N114" s="124">
        <v>83.5</v>
      </c>
      <c r="O114" s="124">
        <v>79</v>
      </c>
      <c r="P114" s="124">
        <v>95.7</v>
      </c>
      <c r="Q114" s="124">
        <v>105</v>
      </c>
      <c r="R114" s="124">
        <v>103.2</v>
      </c>
      <c r="S114" s="124">
        <v>105.9</v>
      </c>
      <c r="T114" s="124">
        <v>100.9</v>
      </c>
      <c r="U114" s="124">
        <v>92</v>
      </c>
      <c r="V114" s="124">
        <v>80.5</v>
      </c>
      <c r="W114" s="124">
        <v>73.5</v>
      </c>
      <c r="X114" s="124">
        <v>77.7</v>
      </c>
      <c r="Y114" s="124">
        <v>85.3</v>
      </c>
      <c r="Z114" s="124">
        <v>72.599999999999994</v>
      </c>
      <c r="AA114" s="124"/>
      <c r="AB114" s="124">
        <v>94</v>
      </c>
      <c r="AC114" s="124">
        <v>65.3</v>
      </c>
      <c r="AD114" s="124">
        <v>65.3</v>
      </c>
      <c r="AE114" s="124">
        <v>83</v>
      </c>
      <c r="AF114" s="124">
        <v>83</v>
      </c>
      <c r="AG114" s="125"/>
      <c r="AH114" s="52">
        <f t="shared" si="12"/>
        <v>105.9</v>
      </c>
      <c r="AI114" s="53">
        <f t="shared" si="13"/>
        <v>65.3</v>
      </c>
    </row>
    <row r="115" spans="1:37" x14ac:dyDescent="0.25">
      <c r="A115" s="123" t="s">
        <v>119</v>
      </c>
      <c r="B115" s="124">
        <v>45.3</v>
      </c>
      <c r="C115" s="124">
        <v>47.7</v>
      </c>
      <c r="D115" s="124">
        <v>47.7</v>
      </c>
      <c r="E115" s="124">
        <v>52.6</v>
      </c>
      <c r="F115" s="124">
        <v>49.2</v>
      </c>
      <c r="G115" s="124">
        <v>51.4</v>
      </c>
      <c r="H115" s="124">
        <v>46.9</v>
      </c>
      <c r="I115" s="124">
        <v>35.9</v>
      </c>
      <c r="J115" s="124">
        <v>52.9</v>
      </c>
      <c r="K115" s="124">
        <v>48</v>
      </c>
      <c r="L115" s="124">
        <v>48.4</v>
      </c>
      <c r="M115" s="124">
        <v>56.3</v>
      </c>
      <c r="N115" s="124">
        <v>59.8</v>
      </c>
      <c r="O115" s="124">
        <v>59.3</v>
      </c>
      <c r="P115" s="124">
        <v>52.2</v>
      </c>
      <c r="Q115" s="124">
        <v>45</v>
      </c>
      <c r="R115" s="124">
        <v>33.200000000000003</v>
      </c>
      <c r="S115" s="124">
        <v>35.799999999999997</v>
      </c>
      <c r="T115" s="124">
        <v>44.8</v>
      </c>
      <c r="U115" s="124">
        <v>35.4</v>
      </c>
      <c r="V115" s="124">
        <v>22.1</v>
      </c>
      <c r="W115" s="124">
        <v>27.2</v>
      </c>
      <c r="X115" s="124">
        <v>25.9</v>
      </c>
      <c r="Y115" s="124">
        <v>25.9</v>
      </c>
      <c r="Z115" s="124">
        <v>21.7</v>
      </c>
      <c r="AA115" s="124"/>
      <c r="AB115" s="124">
        <v>45</v>
      </c>
      <c r="AC115" s="124">
        <v>38</v>
      </c>
      <c r="AD115" s="124">
        <v>38</v>
      </c>
      <c r="AE115" s="124">
        <v>71</v>
      </c>
      <c r="AF115" s="124">
        <v>73</v>
      </c>
      <c r="AG115" s="126"/>
      <c r="AH115" s="52">
        <f t="shared" si="12"/>
        <v>73</v>
      </c>
      <c r="AI115" s="53">
        <f t="shared" si="13"/>
        <v>21.7</v>
      </c>
    </row>
    <row r="116" spans="1:37" x14ac:dyDescent="0.25">
      <c r="A116" s="127" t="s">
        <v>120</v>
      </c>
      <c r="B116" s="113">
        <v>-14.9</v>
      </c>
      <c r="C116" s="113">
        <v>-15.1</v>
      </c>
      <c r="D116" s="113">
        <v>-15.1</v>
      </c>
      <c r="E116" s="113">
        <v>-10</v>
      </c>
      <c r="F116" s="113">
        <v>-9</v>
      </c>
      <c r="G116" s="113">
        <v>-8.4</v>
      </c>
      <c r="H116" s="113">
        <v>-17</v>
      </c>
      <c r="I116" s="113">
        <v>-22.6</v>
      </c>
      <c r="J116" s="113">
        <v>-25.8</v>
      </c>
      <c r="K116" s="113">
        <v>-30.3</v>
      </c>
      <c r="L116" s="113">
        <v>-36.799999999999997</v>
      </c>
      <c r="M116" s="113">
        <v>-20.100000000000001</v>
      </c>
      <c r="N116" s="113">
        <v>-19.399999999999999</v>
      </c>
      <c r="O116" s="113">
        <v>-18</v>
      </c>
      <c r="P116" s="113">
        <v>-17.399999999999999</v>
      </c>
      <c r="Q116" s="113">
        <v>-15</v>
      </c>
      <c r="R116" s="113">
        <v>-16.5</v>
      </c>
      <c r="S116" s="113">
        <v>-25</v>
      </c>
      <c r="T116" s="113">
        <v>-19.2</v>
      </c>
      <c r="U116" s="113">
        <v>-36.5</v>
      </c>
      <c r="V116" s="113">
        <v>-40.9</v>
      </c>
      <c r="W116" s="113">
        <v>-23</v>
      </c>
      <c r="X116" s="113">
        <v>-47.8</v>
      </c>
      <c r="Y116" s="113">
        <v>-47.8</v>
      </c>
      <c r="Z116" s="113">
        <v>56.4</v>
      </c>
      <c r="AA116" s="113"/>
      <c r="AB116" s="113">
        <v>-20</v>
      </c>
      <c r="AC116" s="113">
        <v>-15</v>
      </c>
      <c r="AD116" s="113">
        <v>-15</v>
      </c>
      <c r="AE116" s="113">
        <v>-12</v>
      </c>
      <c r="AF116" s="113">
        <v>-11</v>
      </c>
      <c r="AG116" s="126"/>
      <c r="AH116" s="52">
        <f t="shared" si="12"/>
        <v>56.4</v>
      </c>
      <c r="AI116" s="53">
        <f t="shared" si="13"/>
        <v>-47.8</v>
      </c>
    </row>
    <row r="117" spans="1:37" ht="15.75" thickBot="1" x14ac:dyDescent="0.3">
      <c r="A117" s="127" t="s">
        <v>121</v>
      </c>
      <c r="B117" s="113">
        <v>105</v>
      </c>
      <c r="C117" s="113">
        <v>103.9</v>
      </c>
      <c r="D117" s="113">
        <v>103.9</v>
      </c>
      <c r="E117" s="113">
        <v>96.9</v>
      </c>
      <c r="F117" s="113">
        <v>97.8</v>
      </c>
      <c r="G117" s="113">
        <v>89.9</v>
      </c>
      <c r="H117" s="113">
        <v>87.2</v>
      </c>
      <c r="I117" s="113">
        <v>91.2</v>
      </c>
      <c r="J117" s="113">
        <v>90.3</v>
      </c>
      <c r="K117" s="113">
        <v>96.9</v>
      </c>
      <c r="L117" s="113">
        <v>91.1</v>
      </c>
      <c r="M117" s="113">
        <v>95</v>
      </c>
      <c r="N117" s="113">
        <v>93</v>
      </c>
      <c r="O117" s="113">
        <v>109.8</v>
      </c>
      <c r="P117" s="113">
        <v>112</v>
      </c>
      <c r="Q117" s="113">
        <v>116</v>
      </c>
      <c r="R117" s="113">
        <v>117.1</v>
      </c>
      <c r="S117" s="113">
        <v>110.5</v>
      </c>
      <c r="T117" s="113">
        <v>113.2</v>
      </c>
      <c r="U117" s="113">
        <v>118.2</v>
      </c>
      <c r="V117" s="113">
        <v>115</v>
      </c>
      <c r="W117" s="113">
        <v>95.8</v>
      </c>
      <c r="X117" s="113">
        <v>94.1</v>
      </c>
      <c r="Y117" s="113">
        <v>94.1</v>
      </c>
      <c r="Z117" s="113">
        <v>87.6</v>
      </c>
      <c r="AA117" s="113"/>
      <c r="AB117" s="113">
        <v>95</v>
      </c>
      <c r="AC117" s="113">
        <v>97</v>
      </c>
      <c r="AD117" s="113">
        <v>97</v>
      </c>
      <c r="AE117" s="113">
        <v>108</v>
      </c>
      <c r="AF117" s="113">
        <v>107</v>
      </c>
      <c r="AG117" s="126"/>
      <c r="AH117" s="52">
        <f t="shared" si="12"/>
        <v>118.2</v>
      </c>
      <c r="AI117" s="53">
        <f t="shared" si="13"/>
        <v>87.2</v>
      </c>
    </row>
    <row r="118" spans="1:37" ht="15.75" thickBot="1" x14ac:dyDescent="0.3">
      <c r="A118" s="128" t="s">
        <v>122</v>
      </c>
      <c r="B118" s="83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4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4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4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4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4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4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4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4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4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4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4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4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4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4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4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4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7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7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7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7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7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7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7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7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7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7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7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7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7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7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7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7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7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7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7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7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7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7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7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7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7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7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7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7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7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7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7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7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7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7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7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7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7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7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7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7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7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7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7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7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7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7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7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7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7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7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7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7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7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7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7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7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7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7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7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7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7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7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7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7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7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7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7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7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7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7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7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7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7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7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7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7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7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7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26">SUM(B119:B223)</f>
        <v>0</v>
      </c>
      <c r="C224" s="144">
        <f t="shared" si="26"/>
        <v>0</v>
      </c>
      <c r="D224" s="144">
        <f t="shared" si="26"/>
        <v>0</v>
      </c>
      <c r="E224" s="144">
        <f t="shared" si="26"/>
        <v>0</v>
      </c>
      <c r="F224" s="144">
        <f t="shared" si="26"/>
        <v>0</v>
      </c>
      <c r="G224" s="144">
        <f t="shared" si="26"/>
        <v>0</v>
      </c>
      <c r="H224" s="144">
        <f t="shared" si="26"/>
        <v>0</v>
      </c>
      <c r="I224" s="144">
        <f t="shared" si="26"/>
        <v>0</v>
      </c>
      <c r="J224" s="144">
        <f t="shared" si="26"/>
        <v>0</v>
      </c>
      <c r="K224" s="144">
        <f t="shared" si="26"/>
        <v>0</v>
      </c>
      <c r="L224" s="144">
        <f t="shared" si="26"/>
        <v>0</v>
      </c>
      <c r="M224" s="144">
        <f t="shared" si="26"/>
        <v>0</v>
      </c>
      <c r="N224" s="144">
        <f t="shared" si="26"/>
        <v>0</v>
      </c>
      <c r="O224" s="144">
        <f t="shared" si="26"/>
        <v>0</v>
      </c>
      <c r="P224" s="144">
        <f t="shared" si="26"/>
        <v>0</v>
      </c>
      <c r="Q224" s="144">
        <f t="shared" si="26"/>
        <v>0</v>
      </c>
      <c r="R224" s="144">
        <f t="shared" si="26"/>
        <v>0</v>
      </c>
      <c r="S224" s="144">
        <f t="shared" si="26"/>
        <v>0</v>
      </c>
      <c r="T224" s="144">
        <f t="shared" si="26"/>
        <v>0</v>
      </c>
      <c r="U224" s="144">
        <f t="shared" si="26"/>
        <v>0</v>
      </c>
      <c r="V224" s="144">
        <f t="shared" si="26"/>
        <v>0</v>
      </c>
      <c r="W224" s="144">
        <f t="shared" si="26"/>
        <v>0</v>
      </c>
      <c r="X224" s="144">
        <f t="shared" si="26"/>
        <v>0</v>
      </c>
      <c r="Y224" s="144">
        <f t="shared" si="26"/>
        <v>0</v>
      </c>
      <c r="Z224" s="144">
        <f t="shared" si="26"/>
        <v>0</v>
      </c>
      <c r="AA224" s="144">
        <f t="shared" si="26"/>
        <v>0</v>
      </c>
      <c r="AB224" s="144">
        <f t="shared" si="26"/>
        <v>0</v>
      </c>
      <c r="AC224" s="144">
        <f t="shared" si="26"/>
        <v>0</v>
      </c>
      <c r="AD224" s="144">
        <f t="shared" si="26"/>
        <v>0</v>
      </c>
      <c r="AE224" s="144">
        <f t="shared" si="26"/>
        <v>0</v>
      </c>
      <c r="AF224" s="145">
        <f t="shared" si="26"/>
        <v>0</v>
      </c>
      <c r="AG224" s="146">
        <f t="shared" si="26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27">AF226</f>
        <v>0</v>
      </c>
      <c r="C226" s="149">
        <v>0.3</v>
      </c>
      <c r="D226" s="149">
        <f t="shared" ref="D226:P231" si="28">C226</f>
        <v>0.3</v>
      </c>
      <c r="E226" s="149">
        <f t="shared" si="28"/>
        <v>0.3</v>
      </c>
      <c r="F226" s="149">
        <f t="shared" si="28"/>
        <v>0.3</v>
      </c>
      <c r="G226" s="149">
        <f t="shared" si="28"/>
        <v>0.3</v>
      </c>
      <c r="H226" s="149">
        <f t="shared" si="28"/>
        <v>0.3</v>
      </c>
      <c r="I226" s="149">
        <f t="shared" si="28"/>
        <v>0.3</v>
      </c>
      <c r="J226" s="149">
        <f t="shared" si="28"/>
        <v>0.3</v>
      </c>
      <c r="K226" s="149">
        <f t="shared" si="28"/>
        <v>0.3</v>
      </c>
      <c r="L226" s="149">
        <f t="shared" si="28"/>
        <v>0.3</v>
      </c>
      <c r="M226" s="149">
        <f t="shared" si="28"/>
        <v>0.3</v>
      </c>
      <c r="N226" s="149">
        <f t="shared" si="28"/>
        <v>0.3</v>
      </c>
      <c r="O226" s="149">
        <f t="shared" si="28"/>
        <v>0.3</v>
      </c>
      <c r="P226" s="149">
        <f t="shared" si="28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27"/>
        <v>0</v>
      </c>
      <c r="C227" s="136">
        <v>0.4</v>
      </c>
      <c r="D227" s="136">
        <f t="shared" si="28"/>
        <v>0.4</v>
      </c>
      <c r="E227" s="136">
        <f t="shared" si="28"/>
        <v>0.4</v>
      </c>
      <c r="F227" s="136">
        <f t="shared" si="28"/>
        <v>0.4</v>
      </c>
      <c r="G227" s="136">
        <f t="shared" si="28"/>
        <v>0.4</v>
      </c>
      <c r="H227" s="136">
        <f t="shared" si="28"/>
        <v>0.4</v>
      </c>
      <c r="I227" s="136">
        <f t="shared" si="28"/>
        <v>0.4</v>
      </c>
      <c r="J227" s="136">
        <f t="shared" si="28"/>
        <v>0.4</v>
      </c>
      <c r="K227" s="136">
        <f t="shared" si="28"/>
        <v>0.4</v>
      </c>
      <c r="L227" s="136">
        <f t="shared" si="28"/>
        <v>0.4</v>
      </c>
      <c r="M227" s="136">
        <f t="shared" si="28"/>
        <v>0.4</v>
      </c>
      <c r="N227" s="136">
        <f t="shared" si="28"/>
        <v>0.4</v>
      </c>
      <c r="O227" s="136">
        <f t="shared" si="28"/>
        <v>0.4</v>
      </c>
      <c r="P227" s="136">
        <f t="shared" si="28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27"/>
        <v>0</v>
      </c>
      <c r="C228" s="136">
        <v>1.5</v>
      </c>
      <c r="D228" s="136">
        <f t="shared" si="28"/>
        <v>1.5</v>
      </c>
      <c r="E228" s="136">
        <f t="shared" si="28"/>
        <v>1.5</v>
      </c>
      <c r="F228" s="136">
        <f t="shared" si="28"/>
        <v>1.5</v>
      </c>
      <c r="G228" s="136">
        <f t="shared" si="28"/>
        <v>1.5</v>
      </c>
      <c r="H228" s="136">
        <f t="shared" si="28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8"/>
        <v>1.5</v>
      </c>
      <c r="K228" s="136">
        <f t="shared" ca="1" si="28"/>
        <v>1.5</v>
      </c>
      <c r="L228" s="136">
        <f t="shared" ca="1" si="28"/>
        <v>1.5</v>
      </c>
      <c r="M228" s="136">
        <f t="shared" ca="1" si="28"/>
        <v>1.5</v>
      </c>
      <c r="N228" s="136">
        <f t="shared" ca="1" si="28"/>
        <v>1.5</v>
      </c>
      <c r="O228" s="136">
        <f t="shared" ca="1" si="28"/>
        <v>1.5</v>
      </c>
      <c r="P228" s="136">
        <f t="shared" ca="1" si="28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27"/>
        <v>0</v>
      </c>
      <c r="C229" s="136">
        <v>0.3</v>
      </c>
      <c r="D229" s="136">
        <f t="shared" si="28"/>
        <v>0.3</v>
      </c>
      <c r="E229" s="136">
        <f t="shared" si="28"/>
        <v>0.3</v>
      </c>
      <c r="F229" s="136">
        <f t="shared" si="28"/>
        <v>0.3</v>
      </c>
      <c r="G229" s="136">
        <f t="shared" si="28"/>
        <v>0.3</v>
      </c>
      <c r="H229" s="136">
        <f t="shared" si="28"/>
        <v>0.3</v>
      </c>
      <c r="I229" s="136">
        <f t="shared" si="28"/>
        <v>0.3</v>
      </c>
      <c r="J229" s="136">
        <f t="shared" si="28"/>
        <v>0.3</v>
      </c>
      <c r="K229" s="136">
        <f t="shared" si="28"/>
        <v>0.3</v>
      </c>
      <c r="L229" s="136">
        <f t="shared" si="28"/>
        <v>0.3</v>
      </c>
      <c r="M229" s="136">
        <f t="shared" si="28"/>
        <v>0.3</v>
      </c>
      <c r="N229" s="136">
        <f t="shared" si="28"/>
        <v>0.3</v>
      </c>
      <c r="O229" s="136">
        <f t="shared" si="28"/>
        <v>0.3</v>
      </c>
      <c r="P229" s="136">
        <f t="shared" si="28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27"/>
        <v>0</v>
      </c>
      <c r="C230" s="136">
        <v>0.4</v>
      </c>
      <c r="D230" s="136">
        <f t="shared" si="28"/>
        <v>0.4</v>
      </c>
      <c r="E230" s="136">
        <f t="shared" si="28"/>
        <v>0.4</v>
      </c>
      <c r="F230" s="136">
        <f t="shared" si="28"/>
        <v>0.4</v>
      </c>
      <c r="G230" s="136">
        <f t="shared" si="28"/>
        <v>0.4</v>
      </c>
      <c r="H230" s="136">
        <f t="shared" si="28"/>
        <v>0.4</v>
      </c>
      <c r="I230" s="136">
        <f t="shared" si="28"/>
        <v>0.4</v>
      </c>
      <c r="J230" s="136">
        <f t="shared" si="28"/>
        <v>0.4</v>
      </c>
      <c r="K230" s="136">
        <f t="shared" si="28"/>
        <v>0.4</v>
      </c>
      <c r="L230" s="136">
        <f t="shared" si="28"/>
        <v>0.4</v>
      </c>
      <c r="M230" s="136">
        <f t="shared" si="28"/>
        <v>0.4</v>
      </c>
      <c r="N230" s="136">
        <f t="shared" si="28"/>
        <v>0.4</v>
      </c>
      <c r="O230" s="136">
        <f t="shared" si="28"/>
        <v>0.4</v>
      </c>
      <c r="P230" s="136">
        <f t="shared" si="28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27"/>
        <v>0</v>
      </c>
      <c r="C231" s="140">
        <v>0.64</v>
      </c>
      <c r="D231" s="140">
        <f t="shared" si="28"/>
        <v>0.64</v>
      </c>
      <c r="E231" s="140">
        <f t="shared" si="28"/>
        <v>0.64</v>
      </c>
      <c r="F231" s="140">
        <f t="shared" si="28"/>
        <v>0.64</v>
      </c>
      <c r="G231" s="140">
        <f t="shared" si="28"/>
        <v>0.64</v>
      </c>
      <c r="H231" s="140">
        <f t="shared" si="28"/>
        <v>0.64</v>
      </c>
      <c r="I231" s="140">
        <f t="shared" si="28"/>
        <v>0.64</v>
      </c>
      <c r="J231" s="140">
        <f t="shared" si="28"/>
        <v>0.64</v>
      </c>
      <c r="K231" s="140">
        <f t="shared" si="28"/>
        <v>0.64</v>
      </c>
      <c r="L231" s="140">
        <f t="shared" si="28"/>
        <v>0.64</v>
      </c>
      <c r="M231" s="140">
        <f t="shared" si="28"/>
        <v>0.64</v>
      </c>
      <c r="N231" s="140">
        <f t="shared" si="28"/>
        <v>0.64</v>
      </c>
      <c r="O231" s="140">
        <f t="shared" si="28"/>
        <v>0.64</v>
      </c>
      <c r="P231" s="140">
        <f t="shared" si="28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9">SUM(B226:B231)</f>
        <v>0</v>
      </c>
      <c r="C232" s="144">
        <f t="shared" si="29"/>
        <v>3.54</v>
      </c>
      <c r="D232" s="144">
        <f t="shared" si="29"/>
        <v>3.54</v>
      </c>
      <c r="E232" s="144">
        <f t="shared" si="29"/>
        <v>3.54</v>
      </c>
      <c r="F232" s="144">
        <f t="shared" si="29"/>
        <v>3.54</v>
      </c>
      <c r="G232" s="144">
        <f t="shared" si="29"/>
        <v>3.54</v>
      </c>
      <c r="H232" s="144">
        <f t="shared" si="29"/>
        <v>3.54</v>
      </c>
      <c r="I232" s="144">
        <f t="shared" ca="1" si="29"/>
        <v>3.54</v>
      </c>
      <c r="J232" s="144">
        <f t="shared" ca="1" si="29"/>
        <v>3.54</v>
      </c>
      <c r="K232" s="144">
        <f t="shared" ca="1" si="29"/>
        <v>3.54</v>
      </c>
      <c r="L232" s="144">
        <f t="shared" ca="1" si="29"/>
        <v>3.54</v>
      </c>
      <c r="M232" s="144">
        <f t="shared" ca="1" si="29"/>
        <v>3.54</v>
      </c>
      <c r="N232" s="144">
        <f t="shared" ca="1" si="29"/>
        <v>3.54</v>
      </c>
      <c r="O232" s="144">
        <f t="shared" ca="1" si="29"/>
        <v>3.54</v>
      </c>
      <c r="P232" s="144">
        <f t="shared" ca="1" si="29"/>
        <v>3.54</v>
      </c>
      <c r="Q232" s="144">
        <f t="shared" si="29"/>
        <v>0</v>
      </c>
      <c r="R232" s="144">
        <f t="shared" si="29"/>
        <v>0</v>
      </c>
      <c r="S232" s="144">
        <f t="shared" si="29"/>
        <v>0</v>
      </c>
      <c r="T232" s="144">
        <f t="shared" si="29"/>
        <v>0</v>
      </c>
      <c r="U232" s="144">
        <f t="shared" si="29"/>
        <v>0</v>
      </c>
      <c r="V232" s="144">
        <f t="shared" si="29"/>
        <v>0</v>
      </c>
      <c r="W232" s="144">
        <f t="shared" si="29"/>
        <v>0</v>
      </c>
      <c r="X232" s="144">
        <f t="shared" si="29"/>
        <v>0</v>
      </c>
      <c r="Y232" s="144">
        <f t="shared" si="29"/>
        <v>0</v>
      </c>
      <c r="Z232" s="144">
        <f t="shared" si="29"/>
        <v>0</v>
      </c>
      <c r="AA232" s="144">
        <f t="shared" si="29"/>
        <v>0</v>
      </c>
      <c r="AB232" s="144">
        <f t="shared" si="29"/>
        <v>0</v>
      </c>
      <c r="AC232" s="144">
        <f t="shared" si="29"/>
        <v>0</v>
      </c>
      <c r="AD232" s="144">
        <f t="shared" si="29"/>
        <v>0</v>
      </c>
      <c r="AE232" s="144">
        <f t="shared" si="29"/>
        <v>0</v>
      </c>
      <c r="AF232" s="144">
        <f t="shared" si="29"/>
        <v>0</v>
      </c>
      <c r="AG232" s="154">
        <f t="shared" si="29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1461.1399999999999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30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2079/12/30)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2079/12/30)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30">B89</f>
        <v>1309.44</v>
      </c>
      <c r="U246" s="180">
        <f t="shared" si="30"/>
        <v>1139.8400000000001</v>
      </c>
      <c r="V246" s="180">
        <f t="shared" si="30"/>
        <v>1162.24</v>
      </c>
      <c r="W246" s="180">
        <f t="shared" si="30"/>
        <v>1128.2400000000002</v>
      </c>
      <c r="X246" s="180">
        <f t="shared" si="30"/>
        <v>1110.8399999999999</v>
      </c>
      <c r="Y246" s="180">
        <f t="shared" si="30"/>
        <v>1113.24</v>
      </c>
      <c r="Z246" s="180">
        <f t="shared" si="30"/>
        <v>1136.7399999999998</v>
      </c>
      <c r="AA246" s="180">
        <f t="shared" si="30"/>
        <v>1154.94</v>
      </c>
      <c r="AB246" s="180">
        <f t="shared" si="30"/>
        <v>1282.1399999999999</v>
      </c>
      <c r="AC246" s="180">
        <f t="shared" si="30"/>
        <v>1326.54</v>
      </c>
      <c r="AD246" s="180">
        <f t="shared" si="30"/>
        <v>1408.3400000000001</v>
      </c>
      <c r="AE246" s="180">
        <f t="shared" si="30"/>
        <v>1421.3400000000001</v>
      </c>
      <c r="AF246" s="180">
        <f t="shared" si="30"/>
        <v>1461.1399999999999</v>
      </c>
      <c r="AG246" s="180">
        <f t="shared" si="30"/>
        <v>1532.1399999999999</v>
      </c>
      <c r="AH246" s="180">
        <f t="shared" si="30"/>
        <v>1511.1399999999999</v>
      </c>
      <c r="AI246" s="180">
        <f t="shared" si="30"/>
        <v>1520.6399999999999</v>
      </c>
      <c r="AJ246" s="180">
        <f t="shared" si="30"/>
        <v>1528.6399999999999</v>
      </c>
      <c r="AK246" s="180">
        <f t="shared" si="30"/>
        <v>1516.94</v>
      </c>
      <c r="AL246" s="180">
        <f t="shared" si="30"/>
        <v>1525.64</v>
      </c>
      <c r="AM246" s="180">
        <f t="shared" si="30"/>
        <v>1495.94</v>
      </c>
      <c r="AN246" s="180">
        <f t="shared" si="30"/>
        <v>1432.1399999999999</v>
      </c>
      <c r="AO246" s="180">
        <f t="shared" si="30"/>
        <v>1476.8400000000001</v>
      </c>
      <c r="AP246" s="180">
        <f t="shared" si="30"/>
        <v>1476.54</v>
      </c>
      <c r="AQ246" s="180">
        <f t="shared" si="30"/>
        <v>1541.24</v>
      </c>
      <c r="AR246" s="180">
        <f t="shared" si="30"/>
        <v>1701.6399999999999</v>
      </c>
      <c r="AS246" s="180">
        <f t="shared" si="30"/>
        <v>1647.34</v>
      </c>
      <c r="AT246" s="180">
        <f t="shared" si="30"/>
        <v>1592.94</v>
      </c>
      <c r="AU246" s="180">
        <f t="shared" si="30"/>
        <v>1503.54</v>
      </c>
      <c r="AV246" s="180">
        <f t="shared" si="30"/>
        <v>1503.1399999999999</v>
      </c>
      <c r="AW246" s="180">
        <f t="shared" si="30"/>
        <v>1399.1399999999999</v>
      </c>
      <c r="AX246" s="180">
        <f t="shared" si="30"/>
        <v>1313.74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31">C231</f>
        <v>0.64</v>
      </c>
      <c r="C267" s="183">
        <f t="shared" si="31"/>
        <v>0.64</v>
      </c>
      <c r="D267" s="183">
        <f t="shared" si="31"/>
        <v>0.64</v>
      </c>
      <c r="E267" s="183">
        <f t="shared" si="31"/>
        <v>0.64</v>
      </c>
      <c r="F267" s="183">
        <f t="shared" si="31"/>
        <v>0.64</v>
      </c>
      <c r="G267" s="183">
        <f t="shared" si="31"/>
        <v>0.64</v>
      </c>
      <c r="H267" s="183">
        <f t="shared" si="31"/>
        <v>0.64</v>
      </c>
      <c r="I267" s="183">
        <f t="shared" si="31"/>
        <v>0.64</v>
      </c>
      <c r="J267" s="183">
        <f t="shared" si="31"/>
        <v>0.64</v>
      </c>
      <c r="K267" s="183">
        <f t="shared" si="31"/>
        <v>0.64</v>
      </c>
      <c r="L267" s="183">
        <f t="shared" si="31"/>
        <v>0.64</v>
      </c>
      <c r="M267" s="183">
        <f t="shared" si="31"/>
        <v>0.64</v>
      </c>
      <c r="N267" s="183">
        <f t="shared" si="31"/>
        <v>0.64</v>
      </c>
      <c r="O267" s="183">
        <f t="shared" si="31"/>
        <v>0.64</v>
      </c>
      <c r="P267" s="183">
        <f t="shared" si="31"/>
        <v>0</v>
      </c>
      <c r="Q267" s="183">
        <f t="shared" si="31"/>
        <v>0</v>
      </c>
      <c r="R267" s="183">
        <f t="shared" si="31"/>
        <v>0</v>
      </c>
      <c r="S267" s="183">
        <f t="shared" si="31"/>
        <v>0</v>
      </c>
      <c r="T267" s="183">
        <f t="shared" si="31"/>
        <v>0</v>
      </c>
      <c r="U267" s="183">
        <f t="shared" si="31"/>
        <v>0</v>
      </c>
      <c r="V267" s="183">
        <f t="shared" si="31"/>
        <v>0</v>
      </c>
      <c r="W267" s="183">
        <f t="shared" si="31"/>
        <v>0</v>
      </c>
      <c r="X267" s="183">
        <f t="shared" si="31"/>
        <v>0</v>
      </c>
      <c r="Y267" s="183">
        <f t="shared" si="31"/>
        <v>0</v>
      </c>
      <c r="Z267" s="183">
        <f t="shared" si="31"/>
        <v>0</v>
      </c>
      <c r="AA267" s="183">
        <f t="shared" si="31"/>
        <v>0</v>
      </c>
      <c r="AB267" s="183">
        <f t="shared" si="31"/>
        <v>0</v>
      </c>
      <c r="AC267" s="183">
        <f t="shared" si="31"/>
        <v>0</v>
      </c>
      <c r="AD267" s="183">
        <f t="shared" si="31"/>
        <v>0</v>
      </c>
      <c r="AE267" s="183">
        <f t="shared" si="31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32">IF(B235&lt;100,"",B235-520)</f>
        <v/>
      </c>
      <c r="C268" s="184" t="str">
        <f t="shared" si="32"/>
        <v/>
      </c>
      <c r="D268" s="184" t="str">
        <f t="shared" si="32"/>
        <v/>
      </c>
      <c r="E268" s="184" t="str">
        <f t="shared" si="32"/>
        <v/>
      </c>
      <c r="F268" s="184" t="str">
        <f t="shared" si="32"/>
        <v/>
      </c>
      <c r="G268" s="184" t="str">
        <f t="shared" si="32"/>
        <v/>
      </c>
      <c r="H268" s="184" t="str">
        <f t="shared" si="32"/>
        <v/>
      </c>
      <c r="I268" s="184" t="str">
        <f t="shared" si="32"/>
        <v/>
      </c>
      <c r="J268" s="184" t="str">
        <f t="shared" si="32"/>
        <v/>
      </c>
      <c r="K268" s="184" t="str">
        <f t="shared" si="32"/>
        <v/>
      </c>
      <c r="L268" s="184" t="str">
        <f t="shared" si="32"/>
        <v/>
      </c>
      <c r="M268" s="184" t="str">
        <f t="shared" si="32"/>
        <v/>
      </c>
      <c r="N268" s="184" t="str">
        <f t="shared" si="32"/>
        <v/>
      </c>
      <c r="O268" s="184" t="str">
        <f t="shared" si="32"/>
        <v/>
      </c>
      <c r="P268" s="184" t="str">
        <f t="shared" si="32"/>
        <v/>
      </c>
      <c r="Q268" s="184" t="str">
        <f t="shared" si="32"/>
        <v/>
      </c>
      <c r="R268" s="184" t="str">
        <f t="shared" si="32"/>
        <v/>
      </c>
      <c r="S268" s="184" t="str">
        <f t="shared" si="32"/>
        <v/>
      </c>
      <c r="T268" s="184" t="str">
        <f t="shared" si="32"/>
        <v/>
      </c>
      <c r="U268" s="184" t="str">
        <f t="shared" si="32"/>
        <v/>
      </c>
      <c r="V268" s="184" t="str">
        <f t="shared" si="32"/>
        <v/>
      </c>
      <c r="W268" s="184" t="str">
        <f t="shared" si="32"/>
        <v/>
      </c>
      <c r="X268" s="184" t="str">
        <f t="shared" si="32"/>
        <v/>
      </c>
      <c r="Y268" s="184" t="str">
        <f t="shared" si="32"/>
        <v/>
      </c>
      <c r="Z268" s="184" t="str">
        <f t="shared" si="32"/>
        <v/>
      </c>
      <c r="AA268" s="184" t="str">
        <f t="shared" si="32"/>
        <v/>
      </c>
      <c r="AB268" s="184" t="str">
        <f t="shared" si="32"/>
        <v/>
      </c>
      <c r="AC268" s="184" t="str">
        <f t="shared" si="32"/>
        <v/>
      </c>
      <c r="AD268" s="184" t="str">
        <f t="shared" si="32"/>
        <v/>
      </c>
      <c r="AE268" s="184" t="str">
        <f t="shared" si="32"/>
        <v/>
      </c>
      <c r="AF268" s="184" t="str">
        <f t="shared" si="32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33">IF(B236&lt;100,"",B236-620)</f>
        <v/>
      </c>
      <c r="C269" s="184" t="str">
        <f t="shared" si="33"/>
        <v/>
      </c>
      <c r="D269" s="184" t="str">
        <f t="shared" si="33"/>
        <v/>
      </c>
      <c r="E269" s="184" t="str">
        <f t="shared" si="33"/>
        <v/>
      </c>
      <c r="F269" s="184" t="str">
        <f t="shared" si="33"/>
        <v/>
      </c>
      <c r="G269" s="184" t="str">
        <f t="shared" si="33"/>
        <v/>
      </c>
      <c r="H269" s="184" t="str">
        <f t="shared" si="33"/>
        <v/>
      </c>
      <c r="I269" s="184" t="str">
        <f t="shared" si="33"/>
        <v/>
      </c>
      <c r="J269" s="184" t="str">
        <f t="shared" si="33"/>
        <v/>
      </c>
      <c r="K269" s="184" t="str">
        <f t="shared" si="33"/>
        <v/>
      </c>
      <c r="L269" s="184" t="str">
        <f t="shared" si="33"/>
        <v/>
      </c>
      <c r="M269" s="184" t="str">
        <f t="shared" si="33"/>
        <v/>
      </c>
      <c r="N269" s="184" t="str">
        <f t="shared" si="33"/>
        <v/>
      </c>
      <c r="O269" s="184" t="str">
        <f t="shared" si="33"/>
        <v/>
      </c>
      <c r="P269" s="184" t="str">
        <f t="shared" si="33"/>
        <v/>
      </c>
      <c r="Q269" s="184" t="str">
        <f t="shared" si="33"/>
        <v/>
      </c>
      <c r="R269" s="184" t="str">
        <f t="shared" si="33"/>
        <v/>
      </c>
      <c r="S269" s="184" t="str">
        <f t="shared" si="33"/>
        <v/>
      </c>
      <c r="T269" s="184" t="str">
        <f t="shared" si="33"/>
        <v/>
      </c>
      <c r="U269" s="184" t="str">
        <f t="shared" si="33"/>
        <v/>
      </c>
      <c r="V269" s="184" t="str">
        <f t="shared" si="33"/>
        <v/>
      </c>
      <c r="W269" s="184" t="str">
        <f t="shared" si="33"/>
        <v/>
      </c>
      <c r="X269" s="184" t="str">
        <f t="shared" si="33"/>
        <v/>
      </c>
      <c r="Y269" s="184" t="str">
        <f t="shared" si="33"/>
        <v/>
      </c>
      <c r="Z269" s="184" t="str">
        <f t="shared" si="33"/>
        <v/>
      </c>
      <c r="AA269" s="184" t="str">
        <f t="shared" si="33"/>
        <v/>
      </c>
      <c r="AB269" s="184" t="str">
        <f t="shared" si="33"/>
        <v/>
      </c>
      <c r="AC269" s="184" t="str">
        <f t="shared" si="33"/>
        <v/>
      </c>
      <c r="AD269" s="184" t="str">
        <f t="shared" si="33"/>
        <v/>
      </c>
      <c r="AE269" s="184" t="str">
        <f t="shared" si="33"/>
        <v/>
      </c>
      <c r="AF269" s="184" t="str">
        <f t="shared" si="33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34">IF(B237&lt;100,"",B237-330)</f>
        <v/>
      </c>
      <c r="C270" s="184" t="str">
        <f t="shared" si="34"/>
        <v/>
      </c>
      <c r="D270" s="184" t="str">
        <f t="shared" si="34"/>
        <v/>
      </c>
      <c r="E270" s="184" t="str">
        <f t="shared" si="34"/>
        <v/>
      </c>
      <c r="F270" s="184" t="str">
        <f t="shared" si="34"/>
        <v/>
      </c>
      <c r="G270" s="184" t="str">
        <f t="shared" si="34"/>
        <v/>
      </c>
      <c r="H270" s="184" t="str">
        <f t="shared" si="34"/>
        <v/>
      </c>
      <c r="I270" s="184" t="str">
        <f t="shared" si="34"/>
        <v/>
      </c>
      <c r="J270" s="184" t="str">
        <f t="shared" si="34"/>
        <v/>
      </c>
      <c r="K270" s="184" t="str">
        <f t="shared" si="34"/>
        <v/>
      </c>
      <c r="L270" s="184" t="str">
        <f t="shared" si="34"/>
        <v/>
      </c>
      <c r="M270" s="184" t="str">
        <f t="shared" si="34"/>
        <v/>
      </c>
      <c r="N270" s="184" t="str">
        <f t="shared" si="34"/>
        <v/>
      </c>
      <c r="O270" s="184" t="str">
        <f t="shared" si="34"/>
        <v/>
      </c>
      <c r="P270" s="184" t="str">
        <f t="shared" si="34"/>
        <v/>
      </c>
      <c r="Q270" s="184" t="str">
        <f t="shared" si="34"/>
        <v/>
      </c>
      <c r="R270" s="184" t="str">
        <f t="shared" si="34"/>
        <v/>
      </c>
      <c r="S270" s="184" t="str">
        <f t="shared" si="34"/>
        <v/>
      </c>
      <c r="T270" s="184" t="str">
        <f t="shared" si="34"/>
        <v/>
      </c>
      <c r="U270" s="184" t="str">
        <f t="shared" si="34"/>
        <v/>
      </c>
      <c r="V270" s="184" t="str">
        <f t="shared" si="34"/>
        <v/>
      </c>
      <c r="W270" s="184" t="str">
        <f t="shared" si="34"/>
        <v/>
      </c>
      <c r="X270" s="184" t="str">
        <f t="shared" si="34"/>
        <v/>
      </c>
      <c r="Y270" s="184" t="str">
        <f t="shared" si="34"/>
        <v/>
      </c>
      <c r="Z270" s="184" t="str">
        <f t="shared" si="34"/>
        <v/>
      </c>
      <c r="AA270" s="184" t="str">
        <f t="shared" si="34"/>
        <v/>
      </c>
      <c r="AB270" s="184" t="str">
        <f t="shared" si="34"/>
        <v/>
      </c>
      <c r="AC270" s="184" t="str">
        <f t="shared" si="34"/>
        <v/>
      </c>
      <c r="AD270" s="184" t="str">
        <f t="shared" si="34"/>
        <v/>
      </c>
      <c r="AE270" s="184" t="str">
        <f t="shared" si="34"/>
        <v/>
      </c>
      <c r="AF270" s="184" t="str">
        <f t="shared" si="34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35">IF(B238&lt;100,"",B238-1500)</f>
        <v/>
      </c>
      <c r="C271" s="184" t="str">
        <f t="shared" si="35"/>
        <v/>
      </c>
      <c r="D271" s="184" t="str">
        <f t="shared" si="35"/>
        <v/>
      </c>
      <c r="E271" s="184" t="str">
        <f t="shared" si="35"/>
        <v/>
      </c>
      <c r="F271" s="184" t="str">
        <f t="shared" si="35"/>
        <v/>
      </c>
      <c r="G271" s="184" t="str">
        <f t="shared" si="35"/>
        <v/>
      </c>
      <c r="H271" s="184" t="str">
        <f t="shared" si="35"/>
        <v/>
      </c>
      <c r="I271" s="184" t="str">
        <f t="shared" si="35"/>
        <v/>
      </c>
      <c r="J271" s="184" t="str">
        <f t="shared" si="35"/>
        <v/>
      </c>
      <c r="K271" s="184" t="str">
        <f t="shared" si="35"/>
        <v/>
      </c>
      <c r="L271" s="184" t="str">
        <f t="shared" si="35"/>
        <v/>
      </c>
      <c r="M271" s="184" t="str">
        <f t="shared" si="35"/>
        <v/>
      </c>
      <c r="N271" s="184" t="str">
        <f t="shared" si="35"/>
        <v/>
      </c>
      <c r="O271" s="184" t="str">
        <f t="shared" si="35"/>
        <v/>
      </c>
      <c r="P271" s="184" t="str">
        <f t="shared" si="35"/>
        <v/>
      </c>
      <c r="Q271" s="184" t="str">
        <f t="shared" si="35"/>
        <v/>
      </c>
      <c r="R271" s="184" t="str">
        <f t="shared" si="35"/>
        <v/>
      </c>
      <c r="S271" s="184" t="str">
        <f t="shared" si="35"/>
        <v/>
      </c>
      <c r="T271" s="184" t="str">
        <f t="shared" si="35"/>
        <v/>
      </c>
      <c r="U271" s="184" t="str">
        <f t="shared" si="35"/>
        <v/>
      </c>
      <c r="V271" s="184" t="str">
        <f t="shared" si="35"/>
        <v/>
      </c>
      <c r="W271" s="184" t="str">
        <f t="shared" si="35"/>
        <v/>
      </c>
      <c r="X271" s="184" t="str">
        <f t="shared" si="35"/>
        <v/>
      </c>
      <c r="Y271" s="184" t="str">
        <f t="shared" si="35"/>
        <v/>
      </c>
      <c r="Z271" s="184" t="str">
        <f t="shared" si="35"/>
        <v/>
      </c>
      <c r="AA271" s="184" t="str">
        <f t="shared" si="35"/>
        <v/>
      </c>
      <c r="AB271" s="184" t="str">
        <f t="shared" si="35"/>
        <v/>
      </c>
      <c r="AC271" s="184" t="str">
        <f t="shared" si="35"/>
        <v/>
      </c>
      <c r="AD271" s="184" t="str">
        <f t="shared" si="35"/>
        <v/>
      </c>
      <c r="AE271" s="184" t="str">
        <f t="shared" si="35"/>
        <v/>
      </c>
      <c r="AF271" s="184" t="str">
        <f t="shared" si="35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9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97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E109:AF109 E111:AF116">
    <cfRule type="expression" dxfId="1104" priority="593">
      <formula>B$9&gt;=20/24</formula>
    </cfRule>
    <cfRule type="expression" dxfId="1103" priority="594">
      <formula>AND(B$9&gt;=14/24,B$9&lt;20/24)</formula>
    </cfRule>
    <cfRule type="expression" dxfId="1102" priority="595">
      <formula>AND(B$9&gt;=8/24,B$9&lt;14/24)</formula>
    </cfRule>
    <cfRule type="expression" dxfId="1101" priority="596">
      <formula>B$9&lt;8/24</formula>
    </cfRule>
  </conditionalFormatting>
  <conditionalFormatting sqref="AL4:AL6">
    <cfRule type="iconSet" priority="592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1100" priority="591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1099" priority="590">
      <formula>$AH12=0</formula>
    </cfRule>
  </conditionalFormatting>
  <conditionalFormatting sqref="A114">
    <cfRule type="expression" dxfId="1098" priority="589">
      <formula>$AH114=0</formula>
    </cfRule>
  </conditionalFormatting>
  <conditionalFormatting sqref="AL42">
    <cfRule type="iconSet" priority="588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1097" priority="587">
      <formula>$AH45=0</formula>
    </cfRule>
  </conditionalFormatting>
  <conditionalFormatting sqref="A98">
    <cfRule type="expression" dxfId="1096" priority="586">
      <formula>$AH98=0</formula>
    </cfRule>
  </conditionalFormatting>
  <conditionalFormatting sqref="A18">
    <cfRule type="expression" dxfId="1095" priority="585">
      <formula>$AH18=0</formula>
    </cfRule>
  </conditionalFormatting>
  <conditionalFormatting sqref="A196:A201">
    <cfRule type="expression" dxfId="1094" priority="584">
      <formula>$AH196=0</formula>
    </cfRule>
  </conditionalFormatting>
  <conditionalFormatting sqref="A190:A195">
    <cfRule type="expression" dxfId="1093" priority="583">
      <formula>$AH190=0</formula>
    </cfRule>
  </conditionalFormatting>
  <conditionalFormatting sqref="A58">
    <cfRule type="expression" dxfId="1092" priority="582">
      <formula>$AH58=0</formula>
    </cfRule>
  </conditionalFormatting>
  <conditionalFormatting sqref="A94">
    <cfRule type="expression" dxfId="1091" priority="581">
      <formula>$AH94=0</formula>
    </cfRule>
  </conditionalFormatting>
  <conditionalFormatting sqref="AD99:AF99 E99:Y99">
    <cfRule type="expression" dxfId="1090" priority="577">
      <formula>E$9&gt;=20/24</formula>
    </cfRule>
    <cfRule type="expression" dxfId="1089" priority="578">
      <formula>AND(E$9&gt;=14/24,E$9&lt;20/24)</formula>
    </cfRule>
    <cfRule type="expression" dxfId="1088" priority="579">
      <formula>AND(E$9&gt;=8/24,E$9&lt;14/24)</formula>
    </cfRule>
    <cfRule type="expression" dxfId="1087" priority="580">
      <formula>E$9&lt;8/24</formula>
    </cfRule>
  </conditionalFormatting>
  <conditionalFormatting sqref="AL43">
    <cfRule type="iconSet" priority="57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86" priority="599">
      <formula>C$9&gt;=20/24</formula>
    </cfRule>
    <cfRule type="expression" dxfId="1085" priority="600">
      <formula>AND(C$9&gt;=14/24,C$9&lt;20/24)</formula>
    </cfRule>
    <cfRule type="expression" dxfId="1084" priority="601">
      <formula>AND(C$9&gt;=8/24,C$9&lt;14/24)</formula>
    </cfRule>
    <cfRule type="expression" dxfId="1083" priority="602">
      <formula>C$9&lt;8/24</formula>
    </cfRule>
  </conditionalFormatting>
  <conditionalFormatting sqref="A233">
    <cfRule type="expression" dxfId="1082" priority="603">
      <formula>$AH233=0</formula>
    </cfRule>
  </conditionalFormatting>
  <conditionalFormatting sqref="AG245">
    <cfRule type="expression" dxfId="1081" priority="604">
      <formula>B$9&gt;=20/24</formula>
    </cfRule>
    <cfRule type="expression" dxfId="1080" priority="605">
      <formula>AND(B$9&gt;=14/24,B$9&lt;20/24)</formula>
    </cfRule>
    <cfRule type="expression" dxfId="1079" priority="606">
      <formula>AND(B$9&gt;=8/24,B$9&lt;14/24)</formula>
    </cfRule>
    <cfRule type="expression" dxfId="1078" priority="607">
      <formula>B$9&lt;8/24</formula>
    </cfRule>
  </conditionalFormatting>
  <conditionalFormatting sqref="S8">
    <cfRule type="expression" dxfId="1077" priority="572">
      <formula>U$9&gt;=20/24</formula>
    </cfRule>
    <cfRule type="expression" dxfId="1076" priority="573">
      <formula>AND(U$9&gt;=14/24,U$9&lt;20/24)</formula>
    </cfRule>
    <cfRule type="expression" dxfId="1075" priority="574">
      <formula>AND(U$9&gt;=8/24,U$9&lt;14/24)</formula>
    </cfRule>
    <cfRule type="expression" dxfId="1074" priority="575">
      <formula>U$9&lt;8/24</formula>
    </cfRule>
  </conditionalFormatting>
  <conditionalFormatting sqref="AB8">
    <cfRule type="expression" dxfId="1073" priority="568">
      <formula>AD$9&gt;=20/24</formula>
    </cfRule>
    <cfRule type="expression" dxfId="1072" priority="569">
      <formula>AND(AD$9&gt;=14/24,AD$9&lt;20/24)</formula>
    </cfRule>
    <cfRule type="expression" dxfId="1071" priority="570">
      <formula>AND(AD$9&gt;=8/24,AD$9&lt;14/24)</formula>
    </cfRule>
    <cfRule type="expression" dxfId="1070" priority="571">
      <formula>AD$9&lt;8/24</formula>
    </cfRule>
  </conditionalFormatting>
  <conditionalFormatting sqref="AH245:AX245">
    <cfRule type="expression" dxfId="1069" priority="608">
      <formula>AG$9&gt;=20/24</formula>
    </cfRule>
    <cfRule type="expression" dxfId="1068" priority="609">
      <formula>AND(AG$9&gt;=14/24,AG$9&lt;20/24)</formula>
    </cfRule>
    <cfRule type="expression" dxfId="1067" priority="610">
      <formula>AND(AG$9&gt;=8/24,AG$9&lt;14/24)</formula>
    </cfRule>
    <cfRule type="expression" dxfId="1066" priority="611">
      <formula>AG$9&lt;8/24</formula>
    </cfRule>
  </conditionalFormatting>
  <conditionalFormatting sqref="T245">
    <cfRule type="expression" dxfId="1065" priority="612">
      <formula>AX$9&gt;=20/24</formula>
    </cfRule>
    <cfRule type="expression" dxfId="1064" priority="613">
      <formula>AND(AX$9&gt;=14/24,AX$9&lt;20/24)</formula>
    </cfRule>
    <cfRule type="expression" dxfId="1063" priority="614">
      <formula>AND(AX$9&gt;=8/24,AX$9&lt;14/24)</formula>
    </cfRule>
    <cfRule type="expression" dxfId="1062" priority="615">
      <formula>AX$9&lt;8/24</formula>
    </cfRule>
  </conditionalFormatting>
  <conditionalFormatting sqref="A115:A116">
    <cfRule type="expression" dxfId="1061" priority="567">
      <formula>$AH115=0</formula>
    </cfRule>
  </conditionalFormatting>
  <conditionalFormatting sqref="O54:S55 E71:AF71 AB54:AF55">
    <cfRule type="expression" dxfId="1060" priority="563">
      <formula>E$9&gt;=20/24</formula>
    </cfRule>
    <cfRule type="expression" dxfId="1059" priority="564">
      <formula>AND(E$9&gt;=14/24,E$9&lt;20/24)</formula>
    </cfRule>
    <cfRule type="expression" dxfId="1058" priority="565">
      <formula>AND(E$9&gt;=8/24,E$9&lt;14/24)</formula>
    </cfRule>
    <cfRule type="expression" dxfId="1057" priority="566">
      <formula>E$9&lt;8/24</formula>
    </cfRule>
  </conditionalFormatting>
  <conditionalFormatting sqref="O53:Q53 AB53:AF53">
    <cfRule type="expression" dxfId="1056" priority="559">
      <formula>O$9&gt;=20/24</formula>
    </cfRule>
    <cfRule type="expression" dxfId="1055" priority="560">
      <formula>AND(O$9&gt;=14/24,O$9&lt;20/24)</formula>
    </cfRule>
    <cfRule type="expression" dxfId="1054" priority="561">
      <formula>AND(O$9&gt;=8/24,O$9&lt;14/24)</formula>
    </cfRule>
    <cfRule type="expression" dxfId="1053" priority="562">
      <formula>O$9&lt;8/24</formula>
    </cfRule>
  </conditionalFormatting>
  <conditionalFormatting sqref="O53:Q55 R54:S55 AB53:AF55">
    <cfRule type="expression" dxfId="1052" priority="558">
      <formula>O53&gt;$AG53</formula>
    </cfRule>
  </conditionalFormatting>
  <conditionalFormatting sqref="D86:AF86 X96:AF96 AF100:AF106 M100:Y106 Z74:AF74 Z67:AF69 E72:AF73 X47:AF47">
    <cfRule type="expression" dxfId="1051" priority="554">
      <formula>D$9&gt;=20/24</formula>
    </cfRule>
    <cfRule type="expression" dxfId="1050" priority="555">
      <formula>AND(D$9&gt;=14/24,D$9&lt;20/24)</formula>
    </cfRule>
    <cfRule type="expression" dxfId="1049" priority="556">
      <formula>AND(D$9&gt;=8/24,D$9&lt;14/24)</formula>
    </cfRule>
    <cfRule type="expression" dxfId="1048" priority="557">
      <formula>D$9&lt;8/24</formula>
    </cfRule>
  </conditionalFormatting>
  <conditionalFormatting sqref="Z67:AF69 X47:AF47">
    <cfRule type="expression" dxfId="1047" priority="553">
      <formula>X47&gt;$AG47</formula>
    </cfRule>
  </conditionalFormatting>
  <conditionalFormatting sqref="R53:S53 T53:AA58 AB56:AF58">
    <cfRule type="expression" dxfId="1046" priority="549">
      <formula>R$9&gt;=20/24</formula>
    </cfRule>
    <cfRule type="expression" dxfId="1045" priority="550">
      <formula>AND(R$9&gt;=14/24,R$9&lt;20/24)</formula>
    </cfRule>
    <cfRule type="expression" dxfId="1044" priority="551">
      <formula>AND(R$9&gt;=8/24,R$9&lt;14/24)</formula>
    </cfRule>
    <cfRule type="expression" dxfId="1043" priority="552">
      <formula>R$9&lt;8/24</formula>
    </cfRule>
  </conditionalFormatting>
  <conditionalFormatting sqref="R53:S53 T53:AA58 AB56:AF58">
    <cfRule type="expression" dxfId="1042" priority="548">
      <formula>R53&gt;$AG53</formula>
    </cfRule>
  </conditionalFormatting>
  <conditionalFormatting sqref="C97:AF97 D88:AF88">
    <cfRule type="expression" dxfId="1041" priority="544">
      <formula>C$9&gt;=20/24</formula>
    </cfRule>
    <cfRule type="expression" dxfId="1040" priority="545">
      <formula>AND(C$9&gt;=14/24,C$9&lt;20/24)</formula>
    </cfRule>
    <cfRule type="expression" dxfId="1039" priority="546">
      <formula>AND(C$9&gt;=8/24,C$9&lt;14/24)</formula>
    </cfRule>
    <cfRule type="expression" dxfId="1038" priority="547">
      <formula>C$9&lt;8/24</formula>
    </cfRule>
  </conditionalFormatting>
  <conditionalFormatting sqref="T47:W47">
    <cfRule type="expression" dxfId="1037" priority="540">
      <formula>T$9&gt;=20/24</formula>
    </cfRule>
    <cfRule type="expression" dxfId="1036" priority="541">
      <formula>AND(T$9&gt;=14/24,T$9&lt;20/24)</formula>
    </cfRule>
    <cfRule type="expression" dxfId="1035" priority="542">
      <formula>AND(T$9&gt;=8/24,T$9&lt;14/24)</formula>
    </cfRule>
    <cfRule type="expression" dxfId="1034" priority="543">
      <formula>T$9&lt;8/24</formula>
    </cfRule>
  </conditionalFormatting>
  <conditionalFormatting sqref="T47:W47">
    <cfRule type="expression" dxfId="1033" priority="539">
      <formula>T47&gt;$AG47</formula>
    </cfRule>
  </conditionalFormatting>
  <conditionalFormatting sqref="E54:N55">
    <cfRule type="expression" dxfId="1032" priority="535">
      <formula>E$9&gt;=20/24</formula>
    </cfRule>
    <cfRule type="expression" dxfId="1031" priority="536">
      <formula>AND(E$9&gt;=14/24,E$9&lt;20/24)</formula>
    </cfRule>
    <cfRule type="expression" dxfId="1030" priority="537">
      <formula>AND(E$9&gt;=8/24,E$9&lt;14/24)</formula>
    </cfRule>
    <cfRule type="expression" dxfId="1029" priority="538">
      <formula>E$9&lt;8/24</formula>
    </cfRule>
  </conditionalFormatting>
  <conditionalFormatting sqref="E53:N53">
    <cfRule type="expression" dxfId="1028" priority="531">
      <formula>E$9&gt;=20/24</formula>
    </cfRule>
    <cfRule type="expression" dxfId="1027" priority="532">
      <formula>AND(E$9&gt;=14/24,E$9&lt;20/24)</formula>
    </cfRule>
    <cfRule type="expression" dxfId="1026" priority="533">
      <formula>AND(E$9&gt;=8/24,E$9&lt;14/24)</formula>
    </cfRule>
    <cfRule type="expression" dxfId="1025" priority="534">
      <formula>E$9&lt;8/24</formula>
    </cfRule>
  </conditionalFormatting>
  <conditionalFormatting sqref="E53:N55">
    <cfRule type="expression" dxfId="1024" priority="530">
      <formula>E53&gt;$AG53</formula>
    </cfRule>
  </conditionalFormatting>
  <conditionalFormatting sqref="AG70 AG87 E100:L106 S67:Y69">
    <cfRule type="expression" dxfId="1023" priority="526">
      <formula>E$9&gt;=20/24</formula>
    </cfRule>
    <cfRule type="expression" dxfId="1022" priority="527">
      <formula>AND(E$9&gt;=14/24,E$9&lt;20/24)</formula>
    </cfRule>
    <cfRule type="expression" dxfId="1021" priority="528">
      <formula>AND(E$9&gt;=8/24,E$9&lt;14/24)</formula>
    </cfRule>
    <cfRule type="expression" dxfId="1020" priority="529">
      <formula>E$9&lt;8/24</formula>
    </cfRule>
  </conditionalFormatting>
  <conditionalFormatting sqref="AG48 AG66 AG70 S67:Y69">
    <cfRule type="expression" dxfId="1019" priority="525">
      <formula>S48&gt;$AG48</formula>
    </cfRule>
  </conditionalFormatting>
  <conditionalFormatting sqref="A43">
    <cfRule type="expression" dxfId="1018" priority="519">
      <formula>$AH43=0</formula>
    </cfRule>
  </conditionalFormatting>
  <conditionalFormatting sqref="X91:AF95">
    <cfRule type="expression" dxfId="1017" priority="515">
      <formula>X$9&gt;=20/24</formula>
    </cfRule>
    <cfRule type="expression" dxfId="1016" priority="516">
      <formula>AND(X$9&gt;=14/24,X$9&lt;20/24)</formula>
    </cfRule>
    <cfRule type="expression" dxfId="1015" priority="517">
      <formula>AND(X$9&gt;=8/24,X$9&lt;14/24)</formula>
    </cfRule>
    <cfRule type="expression" dxfId="1014" priority="518">
      <formula>X$9&lt;8/24</formula>
    </cfRule>
  </conditionalFormatting>
  <conditionalFormatting sqref="AL45 AL41 AL22:AL32 AL38:AL39 AL7:AL15 AL17:AL20 AL34:AL36">
    <cfRule type="iconSet" priority="616">
      <iconSet iconSet="3TrafficLights2" reverse="1">
        <cfvo type="percent" val="0"/>
        <cfvo type="num" val="1"/>
        <cfvo type="num" val="1"/>
      </iconSet>
    </cfRule>
  </conditionalFormatting>
  <conditionalFormatting sqref="F49:L49 G50:L51 M49:AF51">
    <cfRule type="expression" dxfId="1013" priority="511">
      <formula>F$9&gt;=20/24</formula>
    </cfRule>
    <cfRule type="expression" dxfId="1012" priority="512">
      <formula>AND(F$9&gt;=14/24,F$9&lt;20/24)</formula>
    </cfRule>
    <cfRule type="expression" dxfId="1011" priority="513">
      <formula>AND(F$9&gt;=8/24,F$9&lt;14/24)</formula>
    </cfRule>
    <cfRule type="expression" dxfId="1010" priority="514">
      <formula>F$9&lt;8/24</formula>
    </cfRule>
  </conditionalFormatting>
  <conditionalFormatting sqref="F49:L49 G50:L51 M49:AF51">
    <cfRule type="expression" dxfId="1009" priority="510">
      <formula>F49&gt;$AG49</formula>
    </cfRule>
  </conditionalFormatting>
  <conditionalFormatting sqref="AG52">
    <cfRule type="expression" dxfId="1008" priority="506">
      <formula>AG$9&gt;=20/24</formula>
    </cfRule>
    <cfRule type="expression" dxfId="1007" priority="507">
      <formula>AND(AG$9&gt;=14/24,AG$9&lt;20/24)</formula>
    </cfRule>
    <cfRule type="expression" dxfId="1006" priority="508">
      <formula>AND(AG$9&gt;=8/24,AG$9&lt;14/24)</formula>
    </cfRule>
    <cfRule type="expression" dxfId="1005" priority="509">
      <formula>AG$9&lt;8/24</formula>
    </cfRule>
  </conditionalFormatting>
  <conditionalFormatting sqref="AG52">
    <cfRule type="expression" dxfId="1004" priority="505">
      <formula>AG52&gt;$AG52</formula>
    </cfRule>
  </conditionalFormatting>
  <conditionalFormatting sqref="C107:AF107">
    <cfRule type="expression" dxfId="1003" priority="501">
      <formula>C$9&gt;=20/24</formula>
    </cfRule>
    <cfRule type="expression" dxfId="1002" priority="502">
      <formula>AND(C$9&gt;=14/24,C$9&lt;20/24)</formula>
    </cfRule>
    <cfRule type="expression" dxfId="1001" priority="503">
      <formula>AND(C$9&gt;=8/24,C$9&lt;14/24)</formula>
    </cfRule>
    <cfRule type="expression" dxfId="1000" priority="504">
      <formula>C$9&lt;8/24</formula>
    </cfRule>
  </conditionalFormatting>
  <conditionalFormatting sqref="AL40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999" priority="499">
      <formula>$AH40=0</formula>
    </cfRule>
  </conditionalFormatting>
  <conditionalFormatting sqref="A90">
    <cfRule type="expression" dxfId="998" priority="497">
      <formula>$AH90=0</formula>
    </cfRule>
  </conditionalFormatting>
  <conditionalFormatting sqref="A87">
    <cfRule type="expression" dxfId="997" priority="498">
      <formula>$AH87=0</formula>
    </cfRule>
  </conditionalFormatting>
  <conditionalFormatting sqref="E110:AF110">
    <cfRule type="expression" dxfId="996" priority="493">
      <formula>E$9&gt;=20/24</formula>
    </cfRule>
    <cfRule type="expression" dxfId="995" priority="494">
      <formula>AND(E$9&gt;=14/24,E$9&lt;20/24)</formula>
    </cfRule>
    <cfRule type="expression" dxfId="994" priority="495">
      <formula>AND(E$9&gt;=8/24,E$9&lt;14/24)</formula>
    </cfRule>
    <cfRule type="expression" dxfId="993" priority="496">
      <formula>E$9&lt;8/24</formula>
    </cfRule>
  </conditionalFormatting>
  <conditionalFormatting sqref="A110">
    <cfRule type="expression" dxfId="992" priority="492">
      <formula>$AH110=0</formula>
    </cfRule>
  </conditionalFormatting>
  <conditionalFormatting sqref="A21">
    <cfRule type="expression" dxfId="991" priority="490">
      <formula>$AH21=0</formula>
    </cfRule>
  </conditionalFormatting>
  <conditionalFormatting sqref="AL21">
    <cfRule type="iconSet" priority="49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990" priority="488">
      <formula>$AH37=0</formula>
    </cfRule>
  </conditionalFormatting>
  <conditionalFormatting sqref="AL37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Z99:AC99">
    <cfRule type="expression" dxfId="989" priority="484">
      <formula>Z$9&gt;=20/24</formula>
    </cfRule>
    <cfRule type="expression" dxfId="988" priority="485">
      <formula>AND(Z$9&gt;=14/24,Z$9&lt;20/24)</formula>
    </cfRule>
    <cfRule type="expression" dxfId="987" priority="486">
      <formula>AND(Z$9&gt;=8/24,Z$9&lt;14/24)</formula>
    </cfRule>
    <cfRule type="expression" dxfId="986" priority="487">
      <formula>Z$9&lt;8/24</formula>
    </cfRule>
  </conditionalFormatting>
  <conditionalFormatting sqref="Z100:AE106">
    <cfRule type="expression" dxfId="985" priority="480">
      <formula>Z$9&gt;=20/24</formula>
    </cfRule>
    <cfRule type="expression" dxfId="984" priority="481">
      <formula>AND(Z$9&gt;=14/24,Z$9&lt;20/24)</formula>
    </cfRule>
    <cfRule type="expression" dxfId="983" priority="482">
      <formula>AND(Z$9&gt;=8/24,Z$9&lt;14/24)</formula>
    </cfRule>
    <cfRule type="expression" dxfId="982" priority="483">
      <formula>Z$9&lt;8/24</formula>
    </cfRule>
  </conditionalFormatting>
  <conditionalFormatting sqref="C109:D109 C111:D116 S27 S41 T34:AF43 T17:AF28 T30:AF32 AB29:AF29">
    <cfRule type="expression" dxfId="981" priority="476">
      <formula>C$9&gt;=20/24</formula>
    </cfRule>
    <cfRule type="expression" dxfId="980" priority="477">
      <formula>AND(C$9&gt;=14/24,C$9&lt;20/24)</formula>
    </cfRule>
    <cfRule type="expression" dxfId="979" priority="478">
      <formula>AND(C$9&gt;=8/24,C$9&lt;14/24)</formula>
    </cfRule>
    <cfRule type="expression" dxfId="978" priority="479">
      <formula>C$9&lt;8/24</formula>
    </cfRule>
  </conditionalFormatting>
  <conditionalFormatting sqref="C47:S47">
    <cfRule type="expression" dxfId="977" priority="472">
      <formula>C$9&gt;=20/24</formula>
    </cfRule>
    <cfRule type="expression" dxfId="976" priority="473">
      <formula>AND(C$9&gt;=14/24,C$9&lt;20/24)</formula>
    </cfRule>
    <cfRule type="expression" dxfId="975" priority="474">
      <formula>AND(C$9&gt;=8/24,C$9&lt;14/24)</formula>
    </cfRule>
    <cfRule type="expression" dxfId="974" priority="475">
      <formula>C$9&lt;8/24</formula>
    </cfRule>
  </conditionalFormatting>
  <conditionalFormatting sqref="C47:S47 S27 S41 T34:AF43 T17:AF28 T30:AF32 AB29:AF29">
    <cfRule type="expression" dxfId="973" priority="471">
      <formula>C17&gt;$AG17</formula>
    </cfRule>
  </conditionalFormatting>
  <conditionalFormatting sqref="C99:D99">
    <cfRule type="expression" dxfId="972" priority="467">
      <formula>C$9&gt;=20/24</formula>
    </cfRule>
    <cfRule type="expression" dxfId="971" priority="468">
      <formula>AND(C$9&gt;=14/24,C$9&lt;20/24)</formula>
    </cfRule>
    <cfRule type="expression" dxfId="970" priority="469">
      <formula>AND(C$9&gt;=8/24,C$9&lt;14/24)</formula>
    </cfRule>
    <cfRule type="expression" dxfId="969" priority="470">
      <formula>C$9&lt;8/24</formula>
    </cfRule>
  </conditionalFormatting>
  <conditionalFormatting sqref="C86 C96:W96 C83:AF85 C100:D106 N67:R69 E74:Y76 Z75:AF76">
    <cfRule type="expression" dxfId="968" priority="463">
      <formula>C$9&gt;=20/24</formula>
    </cfRule>
    <cfRule type="expression" dxfId="967" priority="464">
      <formula>AND(C$9&gt;=14/24,C$9&lt;20/24)</formula>
    </cfRule>
    <cfRule type="expression" dxfId="966" priority="465">
      <formula>AND(C$9&gt;=8/24,C$9&lt;14/24)</formula>
    </cfRule>
    <cfRule type="expression" dxfId="965" priority="466">
      <formula>C$9&lt;8/24</formula>
    </cfRule>
  </conditionalFormatting>
  <conditionalFormatting sqref="N67:R69 L56:S57">
    <cfRule type="expression" dxfId="964" priority="462">
      <formula>L56&gt;$AG56</formula>
    </cfRule>
  </conditionalFormatting>
  <conditionalFormatting sqref="L58:S58">
    <cfRule type="expression" dxfId="963" priority="458">
      <formula>L$9&gt;=20/24</formula>
    </cfRule>
    <cfRule type="expression" dxfId="962" priority="459">
      <formula>AND(L$9&gt;=14/24,L$9&lt;20/24)</formula>
    </cfRule>
    <cfRule type="expression" dxfId="961" priority="460">
      <formula>AND(L$9&gt;=8/24,L$9&lt;14/24)</formula>
    </cfRule>
    <cfRule type="expression" dxfId="960" priority="461">
      <formula>L$9&lt;8/24</formula>
    </cfRule>
  </conditionalFormatting>
  <conditionalFormatting sqref="L58:S58">
    <cfRule type="expression" dxfId="959" priority="457">
      <formula>L58&gt;$AG58</formula>
    </cfRule>
  </conditionalFormatting>
  <conditionalFormatting sqref="C54:D55">
    <cfRule type="expression" dxfId="958" priority="386">
      <formula>C$9&gt;=20/24</formula>
    </cfRule>
    <cfRule type="expression" dxfId="957" priority="387">
      <formula>AND(C$9&gt;=14/24,C$9&lt;20/24)</formula>
    </cfRule>
    <cfRule type="expression" dxfId="956" priority="388">
      <formula>AND(C$9&gt;=8/24,C$9&lt;14/24)</formula>
    </cfRule>
    <cfRule type="expression" dxfId="955" priority="389">
      <formula>C$9&lt;8/24</formula>
    </cfRule>
  </conditionalFormatting>
  <conditionalFormatting sqref="C87:AF87 C89:AF89 C98:AF98 C70:AF70">
    <cfRule type="expression" dxfId="954" priority="453">
      <formula>C$9&gt;=20/24</formula>
    </cfRule>
    <cfRule type="expression" dxfId="953" priority="454">
      <formula>AND(C$9&gt;=14/24,C$9&lt;20/24)</formula>
    </cfRule>
    <cfRule type="expression" dxfId="952" priority="455">
      <formula>AND(C$9&gt;=8/24,C$9&lt;14/24)</formula>
    </cfRule>
    <cfRule type="expression" dxfId="951" priority="456">
      <formula>C$9&lt;8/24</formula>
    </cfRule>
  </conditionalFormatting>
  <conditionalFormatting sqref="C70:AF70 C65:AF66 C48:AF48">
    <cfRule type="expression" dxfId="950" priority="452">
      <formula>C48&gt;$AG48</formula>
    </cfRule>
  </conditionalFormatting>
  <conditionalFormatting sqref="C82:AF82">
    <cfRule type="expression" dxfId="949" priority="448">
      <formula>C$9&gt;=20/24</formula>
    </cfRule>
    <cfRule type="expression" dxfId="948" priority="449">
      <formula>AND(C$9&gt;=14/24,C$9&lt;20/24)</formula>
    </cfRule>
    <cfRule type="expression" dxfId="947" priority="450">
      <formula>AND(C$9&gt;=8/24,C$9&lt;14/24)</formula>
    </cfRule>
    <cfRule type="expression" dxfId="946" priority="451">
      <formula>C$9&lt;8/24</formula>
    </cfRule>
  </conditionalFormatting>
  <conditionalFormatting sqref="C91:W95">
    <cfRule type="expression" dxfId="945" priority="444">
      <formula>C$9&gt;=20/24</formula>
    </cfRule>
    <cfRule type="expression" dxfId="944" priority="445">
      <formula>AND(C$9&gt;=14/24,C$9&lt;20/24)</formula>
    </cfRule>
    <cfRule type="expression" dxfId="943" priority="446">
      <formula>AND(C$9&gt;=8/24,C$9&lt;14/24)</formula>
    </cfRule>
    <cfRule type="expression" dxfId="942" priority="447">
      <formula>C$9&lt;8/24</formula>
    </cfRule>
  </conditionalFormatting>
  <conditionalFormatting sqref="C52:AF52">
    <cfRule type="expression" dxfId="941" priority="440">
      <formula>C$9&gt;=20/24</formula>
    </cfRule>
    <cfRule type="expression" dxfId="940" priority="441">
      <formula>AND(C$9&gt;=14/24,C$9&lt;20/24)</formula>
    </cfRule>
    <cfRule type="expression" dxfId="939" priority="442">
      <formula>AND(C$9&gt;=8/24,C$9&lt;14/24)</formula>
    </cfRule>
    <cfRule type="expression" dxfId="938" priority="443">
      <formula>C$9&lt;8/24</formula>
    </cfRule>
  </conditionalFormatting>
  <conditionalFormatting sqref="C52:AF52">
    <cfRule type="expression" dxfId="937" priority="439">
      <formula>C52&gt;$AG52</formula>
    </cfRule>
  </conditionalFormatting>
  <conditionalFormatting sqref="C49:E49">
    <cfRule type="expression" dxfId="936" priority="354">
      <formula>C$9&gt;=20/24</formula>
    </cfRule>
    <cfRule type="expression" dxfId="935" priority="355">
      <formula>AND(C$9&gt;=14/24,C$9&lt;20/24)</formula>
    </cfRule>
    <cfRule type="expression" dxfId="934" priority="356">
      <formula>AND(C$9&gt;=8/24,C$9&lt;14/24)</formula>
    </cfRule>
    <cfRule type="expression" dxfId="933" priority="357">
      <formula>C$9&lt;8/24</formula>
    </cfRule>
  </conditionalFormatting>
  <conditionalFormatting sqref="C110:D110">
    <cfRule type="expression" dxfId="932" priority="431">
      <formula>C$9&gt;=20/24</formula>
    </cfRule>
    <cfRule type="expression" dxfId="931" priority="432">
      <formula>AND(C$9&gt;=14/24,C$9&lt;20/24)</formula>
    </cfRule>
    <cfRule type="expression" dxfId="930" priority="433">
      <formula>AND(C$9&gt;=8/24,C$9&lt;14/24)</formula>
    </cfRule>
    <cfRule type="expression" dxfId="929" priority="434">
      <formula>C$9&lt;8/24</formula>
    </cfRule>
  </conditionalFormatting>
  <conditionalFormatting sqref="T59:AF64">
    <cfRule type="expression" dxfId="928" priority="427">
      <formula>T$9&gt;=20/24</formula>
    </cfRule>
    <cfRule type="expression" dxfId="927" priority="428">
      <formula>AND(T$9&gt;=14/24,T$9&lt;20/24)</formula>
    </cfRule>
    <cfRule type="expression" dxfId="926" priority="429">
      <formula>AND(T$9&gt;=8/24,T$9&lt;14/24)</formula>
    </cfRule>
    <cfRule type="expression" dxfId="925" priority="430">
      <formula>T$9&lt;8/24</formula>
    </cfRule>
  </conditionalFormatting>
  <conditionalFormatting sqref="T59:AF64">
    <cfRule type="expression" dxfId="924" priority="426">
      <formula>T59&gt;$AG59</formula>
    </cfRule>
  </conditionalFormatting>
  <conditionalFormatting sqref="T45:AF45 T13:AF15">
    <cfRule type="expression" dxfId="923" priority="425">
      <formula>T13&gt;$AG13</formula>
    </cfRule>
  </conditionalFormatting>
  <conditionalFormatting sqref="T12:AF12">
    <cfRule type="expression" dxfId="922" priority="421">
      <formula>T$9&gt;=20/24</formula>
    </cfRule>
    <cfRule type="expression" dxfId="921" priority="422">
      <formula>AND(T$9&gt;=14/24,T$9&lt;20/24)</formula>
    </cfRule>
    <cfRule type="expression" dxfId="920" priority="423">
      <formula>AND(T$9&gt;=8/24,T$9&lt;14/24)</formula>
    </cfRule>
    <cfRule type="expression" dxfId="919" priority="424">
      <formula>T$9&lt;8/24</formula>
    </cfRule>
  </conditionalFormatting>
  <conditionalFormatting sqref="T12:AF12">
    <cfRule type="expression" dxfId="918" priority="420">
      <formula>T12&gt;$AG12</formula>
    </cfRule>
  </conditionalFormatting>
  <conditionalFormatting sqref="T13:AF15">
    <cfRule type="expression" dxfId="917" priority="416">
      <formula>T$9&gt;=20/24</formula>
    </cfRule>
    <cfRule type="expression" dxfId="916" priority="417">
      <formula>AND(T$9&gt;=14/24,T$9&lt;20/24)</formula>
    </cfRule>
    <cfRule type="expression" dxfId="915" priority="418">
      <formula>AND(T$9&gt;=8/24,T$9&lt;14/24)</formula>
    </cfRule>
    <cfRule type="expression" dxfId="914" priority="419">
      <formula>T$9&lt;8/24</formula>
    </cfRule>
  </conditionalFormatting>
  <conditionalFormatting sqref="T45:AF45">
    <cfRule type="expression" dxfId="913" priority="412">
      <formula>T$9&gt;=20/24</formula>
    </cfRule>
    <cfRule type="expression" dxfId="912" priority="413">
      <formula>AND(T$9&gt;=14/24,T$9&lt;20/24)</formula>
    </cfRule>
    <cfRule type="expression" dxfId="911" priority="414">
      <formula>AND(T$9&gt;=8/24,T$9&lt;14/24)</formula>
    </cfRule>
    <cfRule type="expression" dxfId="910" priority="415">
      <formula>T$9&lt;8/24</formula>
    </cfRule>
  </conditionalFormatting>
  <conditionalFormatting sqref="M77:AF81">
    <cfRule type="expression" dxfId="909" priority="408">
      <formula>M$9&gt;=20/24</formula>
    </cfRule>
    <cfRule type="expression" dxfId="908" priority="409">
      <formula>AND(M$9&gt;=14/24,M$9&lt;20/24)</formula>
    </cfRule>
    <cfRule type="expression" dxfId="907" priority="410">
      <formula>AND(M$9&gt;=8/24,M$9&lt;14/24)</formula>
    </cfRule>
    <cfRule type="expression" dxfId="906" priority="411">
      <formula>M$9&lt;8/24</formula>
    </cfRule>
  </conditionalFormatting>
  <conditionalFormatting sqref="AL78:AN78 AL84:AN84 AN79:AN80">
    <cfRule type="expression" dxfId="905" priority="404">
      <formula>AL$9&gt;=20/24</formula>
    </cfRule>
    <cfRule type="expression" dxfId="904" priority="405">
      <formula>AND(AL$9&gt;=14/24,AL$9&lt;20/24)</formula>
    </cfRule>
    <cfRule type="expression" dxfId="903" priority="406">
      <formula>AND(AL$9&gt;=8/24,AL$9&lt;14/24)</formula>
    </cfRule>
    <cfRule type="expression" dxfId="902" priority="407">
      <formula>AL$9&lt;8/24</formula>
    </cfRule>
  </conditionalFormatting>
  <conditionalFormatting sqref="AN81:AN82">
    <cfRule type="expression" dxfId="901" priority="400">
      <formula>AN$9&gt;=20/24</formula>
    </cfRule>
    <cfRule type="expression" dxfId="900" priority="401">
      <formula>AND(AN$9&gt;=14/24,AN$9&lt;20/24)</formula>
    </cfRule>
    <cfRule type="expression" dxfId="899" priority="402">
      <formula>AND(AN$9&gt;=8/24,AN$9&lt;14/24)</formula>
    </cfRule>
    <cfRule type="expression" dxfId="898" priority="403">
      <formula>AN$9&lt;8/24</formula>
    </cfRule>
  </conditionalFormatting>
  <conditionalFormatting sqref="AL79:AM83">
    <cfRule type="expression" dxfId="897" priority="617">
      <formula>AJ$9&gt;=20/24</formula>
    </cfRule>
    <cfRule type="expression" dxfId="896" priority="618">
      <formula>AND(AJ$9&gt;=14/24,AJ$9&lt;20/24)</formula>
    </cfRule>
    <cfRule type="expression" dxfId="895" priority="619">
      <formula>AND(AJ$9&gt;=8/24,AJ$9&lt;14/24)</formula>
    </cfRule>
    <cfRule type="expression" dxfId="894" priority="620">
      <formula>AJ$9&lt;8/24</formula>
    </cfRule>
  </conditionalFormatting>
  <conditionalFormatting sqref="A117">
    <cfRule type="expression" dxfId="893" priority="399">
      <formula>$AH117=0</formula>
    </cfRule>
  </conditionalFormatting>
  <conditionalFormatting sqref="C53:D53">
    <cfRule type="expression" dxfId="892" priority="382">
      <formula>C$9&gt;=20/24</formula>
    </cfRule>
    <cfRule type="expression" dxfId="891" priority="383">
      <formula>AND(C$9&gt;=14/24,C$9&lt;20/24)</formula>
    </cfRule>
    <cfRule type="expression" dxfId="890" priority="384">
      <formula>AND(C$9&gt;=8/24,C$9&lt;14/24)</formula>
    </cfRule>
    <cfRule type="expression" dxfId="889" priority="385">
      <formula>C$9&lt;8/24</formula>
    </cfRule>
  </conditionalFormatting>
  <conditionalFormatting sqref="C53:D55">
    <cfRule type="expression" dxfId="888" priority="381">
      <formula>C53&gt;$AG53</formula>
    </cfRule>
  </conditionalFormatting>
  <conditionalFormatting sqref="C73:D74">
    <cfRule type="expression" dxfId="887" priority="377">
      <formula>C$9&gt;=20/24</formula>
    </cfRule>
    <cfRule type="expression" dxfId="886" priority="378">
      <formula>AND(C$9&gt;=14/24,C$9&lt;20/24)</formula>
    </cfRule>
    <cfRule type="expression" dxfId="885" priority="379">
      <formula>AND(C$9&gt;=8/24,C$9&lt;14/24)</formula>
    </cfRule>
    <cfRule type="expression" dxfId="884" priority="380">
      <formula>C$9&lt;8/24</formula>
    </cfRule>
  </conditionalFormatting>
  <conditionalFormatting sqref="C88">
    <cfRule type="expression" dxfId="883" priority="372">
      <formula>C$9&gt;=20/24</formula>
    </cfRule>
    <cfRule type="expression" dxfId="882" priority="373">
      <formula>AND(C$9&gt;=14/24,C$9&lt;20/24)</formula>
    </cfRule>
    <cfRule type="expression" dxfId="881" priority="374">
      <formula>AND(C$9&gt;=8/24,C$9&lt;14/24)</formula>
    </cfRule>
    <cfRule type="expression" dxfId="880" priority="375">
      <formula>C$9&lt;8/24</formula>
    </cfRule>
  </conditionalFormatting>
  <conditionalFormatting sqref="O46:AF46">
    <cfRule type="expression" dxfId="879" priority="368">
      <formula>O$9&gt;=20/24</formula>
    </cfRule>
    <cfRule type="expression" dxfId="878" priority="369">
      <formula>AND(O$9&gt;=14/24,O$9&lt;20/24)</formula>
    </cfRule>
    <cfRule type="expression" dxfId="877" priority="370">
      <formula>AND(O$9&gt;=8/24,O$9&lt;14/24)</formula>
    </cfRule>
    <cfRule type="expression" dxfId="876" priority="371">
      <formula>O$9&lt;8/24</formula>
    </cfRule>
  </conditionalFormatting>
  <conditionalFormatting sqref="O46:AF46">
    <cfRule type="expression" dxfId="875" priority="367">
      <formula>O46&gt;$AG46</formula>
    </cfRule>
  </conditionalFormatting>
  <conditionalFormatting sqref="C49:E49">
    <cfRule type="expression" dxfId="874" priority="353">
      <formula>C49&gt;$AG49</formula>
    </cfRule>
  </conditionalFormatting>
  <conditionalFormatting sqref="C75:D75">
    <cfRule type="expression" dxfId="873" priority="341">
      <formula>C$9&gt;=20/24</formula>
    </cfRule>
    <cfRule type="expression" dxfId="872" priority="342">
      <formula>AND(C$9&gt;=14/24,C$9&lt;20/24)</formula>
    </cfRule>
    <cfRule type="expression" dxfId="871" priority="343">
      <formula>AND(C$9&gt;=8/24,C$9&lt;14/24)</formula>
    </cfRule>
    <cfRule type="expression" dxfId="870" priority="344">
      <formula>C$9&lt;8/24</formula>
    </cfRule>
  </conditionalFormatting>
  <conditionalFormatting sqref="A11">
    <cfRule type="expression" dxfId="869" priority="313">
      <formula>$AH11=0</formula>
    </cfRule>
  </conditionalFormatting>
  <conditionalFormatting sqref="T11:AF11">
    <cfRule type="expression" dxfId="868" priority="309">
      <formula>T$9&gt;=20/24</formula>
    </cfRule>
    <cfRule type="expression" dxfId="867" priority="310">
      <formula>AND(T$9&gt;=14/24,T$9&lt;20/24)</formula>
    </cfRule>
    <cfRule type="expression" dxfId="866" priority="311">
      <formula>AND(T$9&gt;=8/24,T$9&lt;14/24)</formula>
    </cfRule>
    <cfRule type="expression" dxfId="865" priority="312">
      <formula>T$9&lt;8/24</formula>
    </cfRule>
  </conditionalFormatting>
  <conditionalFormatting sqref="T11:AF11">
    <cfRule type="expression" dxfId="864" priority="308">
      <formula>T11&gt;$AG11</formula>
    </cfRule>
  </conditionalFormatting>
  <conditionalFormatting sqref="A16">
    <cfRule type="expression" dxfId="863" priority="301">
      <formula>$AH16=0</formula>
    </cfRule>
  </conditionalFormatting>
  <conditionalFormatting sqref="AL16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T16:AF16">
    <cfRule type="expression" dxfId="862" priority="297">
      <formula>T$9&gt;=20/24</formula>
    </cfRule>
    <cfRule type="expression" dxfId="861" priority="298">
      <formula>AND(T$9&gt;=14/24,T$9&lt;20/24)</formula>
    </cfRule>
    <cfRule type="expression" dxfId="860" priority="299">
      <formula>AND(T$9&gt;=8/24,T$9&lt;14/24)</formula>
    </cfRule>
    <cfRule type="expression" dxfId="859" priority="300">
      <formula>T$9&lt;8/24</formula>
    </cfRule>
  </conditionalFormatting>
  <conditionalFormatting sqref="T16:AF16">
    <cfRule type="expression" dxfId="858" priority="296">
      <formula>T16&gt;$AG16</formula>
    </cfRule>
  </conditionalFormatting>
  <conditionalFormatting sqref="A33">
    <cfRule type="expression" dxfId="857" priority="289">
      <formula>$AH33=0</formula>
    </cfRule>
  </conditionalFormatting>
  <conditionalFormatting sqref="AL3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T33:AF33">
    <cfRule type="expression" dxfId="856" priority="285">
      <formula>T$9&gt;=20/24</formula>
    </cfRule>
    <cfRule type="expression" dxfId="855" priority="286">
      <formula>AND(T$9&gt;=14/24,T$9&lt;20/24)</formula>
    </cfRule>
    <cfRule type="expression" dxfId="854" priority="287">
      <formula>AND(T$9&gt;=8/24,T$9&lt;14/24)</formula>
    </cfRule>
    <cfRule type="expression" dxfId="853" priority="288">
      <formula>T$9&lt;8/24</formula>
    </cfRule>
  </conditionalFormatting>
  <conditionalFormatting sqref="T33:AF33">
    <cfRule type="expression" dxfId="852" priority="284">
      <formula>T33&gt;$AG33</formula>
    </cfRule>
  </conditionalFormatting>
  <conditionalFormatting sqref="A44">
    <cfRule type="expression" dxfId="851" priority="277">
      <formula>$AH44=0</formula>
    </cfRule>
  </conditionalFormatting>
  <conditionalFormatting sqref="AL44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T44:AF44">
    <cfRule type="expression" dxfId="850" priority="276">
      <formula>T44&gt;$AG44</formula>
    </cfRule>
  </conditionalFormatting>
  <conditionalFormatting sqref="T44:AF44">
    <cfRule type="expression" dxfId="849" priority="272">
      <formula>T$9&gt;=20/24</formula>
    </cfRule>
    <cfRule type="expression" dxfId="848" priority="273">
      <formula>AND(T$9&gt;=14/24,T$9&lt;20/24)</formula>
    </cfRule>
    <cfRule type="expression" dxfId="847" priority="274">
      <formula>AND(T$9&gt;=8/24,T$9&lt;14/24)</formula>
    </cfRule>
    <cfRule type="expression" dxfId="846" priority="275">
      <formula>T$9&lt;8/24</formula>
    </cfRule>
  </conditionalFormatting>
  <conditionalFormatting sqref="E117:AF117">
    <cfRule type="expression" dxfId="845" priority="263">
      <formula>E$9&gt;=20/24</formula>
    </cfRule>
    <cfRule type="expression" dxfId="844" priority="264">
      <formula>AND(E$9&gt;=14/24,E$9&lt;20/24)</formula>
    </cfRule>
    <cfRule type="expression" dxfId="843" priority="265">
      <formula>AND(E$9&gt;=8/24,E$9&lt;14/24)</formula>
    </cfRule>
    <cfRule type="expression" dxfId="842" priority="266">
      <formula>E$9&lt;8/24</formula>
    </cfRule>
  </conditionalFormatting>
  <conditionalFormatting sqref="C117:D117">
    <cfRule type="expression" dxfId="841" priority="259">
      <formula>C$9&gt;=20/24</formula>
    </cfRule>
    <cfRule type="expression" dxfId="840" priority="260">
      <formula>AND(C$9&gt;=14/24,C$9&lt;20/24)</formula>
    </cfRule>
    <cfRule type="expression" dxfId="839" priority="261">
      <formula>AND(C$9&gt;=8/24,C$9&lt;14/24)</formula>
    </cfRule>
    <cfRule type="expression" dxfId="838" priority="262">
      <formula>C$9&lt;8/24</formula>
    </cfRule>
  </conditionalFormatting>
  <conditionalFormatting sqref="B118">
    <cfRule type="expression" dxfId="837" priority="198">
      <formula>B$9&gt;=20/24</formula>
    </cfRule>
    <cfRule type="expression" dxfId="836" priority="199">
      <formula>AND(B$9&gt;=14/24,B$9&lt;20/24)</formula>
    </cfRule>
    <cfRule type="expression" dxfId="835" priority="200">
      <formula>AND(B$9&gt;=8/24,B$9&lt;14/24)</formula>
    </cfRule>
    <cfRule type="expression" dxfId="834" priority="201">
      <formula>B$9&lt;8/24</formula>
    </cfRule>
  </conditionalFormatting>
  <conditionalFormatting sqref="B111:B116 B109">
    <cfRule type="expression" dxfId="833" priority="124">
      <formula>B$9&gt;=20/24</formula>
    </cfRule>
    <cfRule type="expression" dxfId="832" priority="125">
      <formula>AND(B$9&gt;=14/24,B$9&lt;20/24)</formula>
    </cfRule>
    <cfRule type="expression" dxfId="831" priority="126">
      <formula>AND(B$9&gt;=8/24,B$9&lt;14/24)</formula>
    </cfRule>
    <cfRule type="expression" dxfId="830" priority="127">
      <formula>B$9&lt;8/24</formula>
    </cfRule>
  </conditionalFormatting>
  <conditionalFormatting sqref="B99">
    <cfRule type="expression" dxfId="829" priority="120">
      <formula>B$9&gt;=20/24</formula>
    </cfRule>
    <cfRule type="expression" dxfId="828" priority="121">
      <formula>AND(B$9&gt;=14/24,B$9&lt;20/24)</formula>
    </cfRule>
    <cfRule type="expression" dxfId="827" priority="122">
      <formula>AND(B$9&gt;=8/24,B$9&lt;14/24)</formula>
    </cfRule>
    <cfRule type="expression" dxfId="826" priority="123">
      <formula>B$9&lt;8/24</formula>
    </cfRule>
  </conditionalFormatting>
  <conditionalFormatting sqref="B54:B56 B71:D71 C56:K56">
    <cfRule type="expression" dxfId="825" priority="116">
      <formula>B$9&gt;=20/24</formula>
    </cfRule>
    <cfRule type="expression" dxfId="824" priority="117">
      <formula>AND(B$9&gt;=14/24,B$9&lt;20/24)</formula>
    </cfRule>
    <cfRule type="expression" dxfId="823" priority="118">
      <formula>AND(B$9&gt;=8/24,B$9&lt;14/24)</formula>
    </cfRule>
    <cfRule type="expression" dxfId="822" priority="119">
      <formula>B$9&lt;8/24</formula>
    </cfRule>
  </conditionalFormatting>
  <conditionalFormatting sqref="B53">
    <cfRule type="expression" dxfId="821" priority="112">
      <formula>B$9&gt;=20/24</formula>
    </cfRule>
    <cfRule type="expression" dxfId="820" priority="113">
      <formula>AND(B$9&gt;=14/24,B$9&lt;20/24)</formula>
    </cfRule>
    <cfRule type="expression" dxfId="819" priority="114">
      <formula>AND(B$9&gt;=8/24,B$9&lt;14/24)</formula>
    </cfRule>
    <cfRule type="expression" dxfId="818" priority="115">
      <formula>B$9&lt;8/24</formula>
    </cfRule>
  </conditionalFormatting>
  <conditionalFormatting sqref="B53:B56 C56:K56">
    <cfRule type="expression" dxfId="817" priority="111">
      <formula>B53&gt;$AG53</formula>
    </cfRule>
  </conditionalFormatting>
  <conditionalFormatting sqref="B86 B96 B47 B100:B106 B72:B74 C72:D72 B67:M69">
    <cfRule type="expression" dxfId="816" priority="107">
      <formula>B$9&gt;=20/24</formula>
    </cfRule>
    <cfRule type="expression" dxfId="815" priority="108">
      <formula>AND(B$9&gt;=14/24,B$9&lt;20/24)</formula>
    </cfRule>
    <cfRule type="expression" dxfId="814" priority="109">
      <formula>AND(B$9&gt;=8/24,B$9&lt;14/24)</formula>
    </cfRule>
    <cfRule type="expression" dxfId="813" priority="110">
      <formula>B$9&lt;8/24</formula>
    </cfRule>
  </conditionalFormatting>
  <conditionalFormatting sqref="B47 B67:M69">
    <cfRule type="expression" dxfId="812" priority="106">
      <formula>B47&gt;$AG47</formula>
    </cfRule>
  </conditionalFormatting>
  <conditionalFormatting sqref="B57:K58">
    <cfRule type="expression" dxfId="811" priority="102">
      <formula>B$9&gt;=20/24</formula>
    </cfRule>
    <cfRule type="expression" dxfId="810" priority="103">
      <formula>AND(B$9&gt;=14/24,B$9&lt;20/24)</formula>
    </cfRule>
    <cfRule type="expression" dxfId="809" priority="104">
      <formula>AND(B$9&gt;=8/24,B$9&lt;14/24)</formula>
    </cfRule>
    <cfRule type="expression" dxfId="808" priority="105">
      <formula>B$9&lt;8/24</formula>
    </cfRule>
  </conditionalFormatting>
  <conditionalFormatting sqref="B57:K58">
    <cfRule type="expression" dxfId="807" priority="101">
      <formula>B57&gt;$AG57</formula>
    </cfRule>
  </conditionalFormatting>
  <conditionalFormatting sqref="B97 B88">
    <cfRule type="expression" dxfId="806" priority="97">
      <formula>B$9&gt;=20/24</formula>
    </cfRule>
    <cfRule type="expression" dxfId="805" priority="98">
      <formula>AND(B$9&gt;=14/24,B$9&lt;20/24)</formula>
    </cfRule>
    <cfRule type="expression" dxfId="804" priority="99">
      <formula>AND(B$9&gt;=8/24,B$9&lt;14/24)</formula>
    </cfRule>
    <cfRule type="expression" dxfId="803" priority="100">
      <formula>B$9&lt;8/24</formula>
    </cfRule>
  </conditionalFormatting>
  <conditionalFormatting sqref="B91:B95">
    <cfRule type="expression" dxfId="802" priority="93">
      <formula>B$9&gt;=20/24</formula>
    </cfRule>
    <cfRule type="expression" dxfId="801" priority="94">
      <formula>AND(B$9&gt;=14/24,B$9&lt;20/24)</formula>
    </cfRule>
    <cfRule type="expression" dxfId="800" priority="95">
      <formula>AND(B$9&gt;=8/24,B$9&lt;14/24)</formula>
    </cfRule>
    <cfRule type="expression" dxfId="799" priority="96">
      <formula>B$9&lt;8/24</formula>
    </cfRule>
  </conditionalFormatting>
  <conditionalFormatting sqref="B49:B51 C50:F51">
    <cfRule type="expression" dxfId="798" priority="89">
      <formula>B$9&gt;=20/24</formula>
    </cfRule>
    <cfRule type="expression" dxfId="797" priority="90">
      <formula>AND(B$9&gt;=14/24,B$9&lt;20/24)</formula>
    </cfRule>
    <cfRule type="expression" dxfId="796" priority="91">
      <formula>AND(B$9&gt;=8/24,B$9&lt;14/24)</formula>
    </cfRule>
    <cfRule type="expression" dxfId="795" priority="92">
      <formula>B$9&lt;8/24</formula>
    </cfRule>
  </conditionalFormatting>
  <conditionalFormatting sqref="B49:B51 C50:F51">
    <cfRule type="expression" dxfId="794" priority="88">
      <formula>B49&gt;$AG49</formula>
    </cfRule>
  </conditionalFormatting>
  <conditionalFormatting sqref="B107">
    <cfRule type="expression" dxfId="793" priority="84">
      <formula>B$9&gt;=20/24</formula>
    </cfRule>
    <cfRule type="expression" dxfId="792" priority="85">
      <formula>AND(B$9&gt;=14/24,B$9&lt;20/24)</formula>
    </cfRule>
    <cfRule type="expression" dxfId="791" priority="86">
      <formula>AND(B$9&gt;=8/24,B$9&lt;14/24)</formula>
    </cfRule>
    <cfRule type="expression" dxfId="790" priority="87">
      <formula>B$9&lt;8/24</formula>
    </cfRule>
  </conditionalFormatting>
  <conditionalFormatting sqref="B110">
    <cfRule type="expression" dxfId="789" priority="80">
      <formula>B$9&gt;=20/24</formula>
    </cfRule>
    <cfRule type="expression" dxfId="788" priority="81">
      <formula>AND(B$9&gt;=14/24,B$9&lt;20/24)</formula>
    </cfRule>
    <cfRule type="expression" dxfId="787" priority="82">
      <formula>AND(B$9&gt;=8/24,B$9&lt;14/24)</formula>
    </cfRule>
    <cfRule type="expression" dxfId="786" priority="83">
      <formula>B$9&lt;8/24</formula>
    </cfRule>
  </conditionalFormatting>
  <conditionalFormatting sqref="B34:S40 B17:S26 B28:S32 B27:R27 B42:S43 B41:R41 T29:AA29">
    <cfRule type="expression" dxfId="785" priority="76">
      <formula>B$9&gt;=20/24</formula>
    </cfRule>
    <cfRule type="expression" dxfId="784" priority="77">
      <formula>AND(B$9&gt;=14/24,B$9&lt;20/24)</formula>
    </cfRule>
    <cfRule type="expression" dxfId="783" priority="78">
      <formula>AND(B$9&gt;=8/24,B$9&lt;14/24)</formula>
    </cfRule>
    <cfRule type="expression" dxfId="782" priority="79">
      <formula>B$9&lt;8/24</formula>
    </cfRule>
  </conditionalFormatting>
  <conditionalFormatting sqref="B34:S40 B17:S26 B28:S32 B27:R27 B42:S43 B41:R41 T29:AA29">
    <cfRule type="expression" dxfId="781" priority="75">
      <formula>B17&gt;$AG17</formula>
    </cfRule>
  </conditionalFormatting>
  <conditionalFormatting sqref="B83:B85 B75:B76 C76:D76">
    <cfRule type="expression" dxfId="780" priority="71">
      <formula>B$9&gt;=20/24</formula>
    </cfRule>
    <cfRule type="expression" dxfId="779" priority="72">
      <formula>AND(B$9&gt;=14/24,B$9&lt;20/24)</formula>
    </cfRule>
    <cfRule type="expression" dxfId="778" priority="73">
      <formula>AND(B$9&gt;=8/24,B$9&lt;14/24)</formula>
    </cfRule>
    <cfRule type="expression" dxfId="777" priority="74">
      <formula>B$9&lt;8/24</formula>
    </cfRule>
  </conditionalFormatting>
  <conditionalFormatting sqref="B87 B89 B98 B70">
    <cfRule type="expression" dxfId="776" priority="67">
      <formula>B$9&gt;=20/24</formula>
    </cfRule>
    <cfRule type="expression" dxfId="775" priority="68">
      <formula>AND(B$9&gt;=14/24,B$9&lt;20/24)</formula>
    </cfRule>
    <cfRule type="expression" dxfId="774" priority="69">
      <formula>AND(B$9&gt;=8/24,B$9&lt;14/24)</formula>
    </cfRule>
    <cfRule type="expression" dxfId="773" priority="70">
      <formula>B$9&lt;8/24</formula>
    </cfRule>
  </conditionalFormatting>
  <conditionalFormatting sqref="B70 B48 B65:B66">
    <cfRule type="expression" dxfId="772" priority="66">
      <formula>B48&gt;$AG48</formula>
    </cfRule>
  </conditionalFormatting>
  <conditionalFormatting sqref="B82">
    <cfRule type="expression" dxfId="771" priority="62">
      <formula>B$9&gt;=20/24</formula>
    </cfRule>
    <cfRule type="expression" dxfId="770" priority="63">
      <formula>AND(B$9&gt;=14/24,B$9&lt;20/24)</formula>
    </cfRule>
    <cfRule type="expression" dxfId="769" priority="64">
      <formula>AND(B$9&gt;=8/24,B$9&lt;14/24)</formula>
    </cfRule>
    <cfRule type="expression" dxfId="768" priority="65">
      <formula>B$9&lt;8/24</formula>
    </cfRule>
  </conditionalFormatting>
  <conditionalFormatting sqref="B52">
    <cfRule type="expression" dxfId="767" priority="58">
      <formula>B$9&gt;=20/24</formula>
    </cfRule>
    <cfRule type="expression" dxfId="766" priority="59">
      <formula>AND(B$9&gt;=14/24,B$9&lt;20/24)</formula>
    </cfRule>
    <cfRule type="expression" dxfId="765" priority="60">
      <formula>AND(B$9&gt;=8/24,B$9&lt;14/24)</formula>
    </cfRule>
    <cfRule type="expression" dxfId="764" priority="61">
      <formula>B$9&lt;8/24</formula>
    </cfRule>
  </conditionalFormatting>
  <conditionalFormatting sqref="B52">
    <cfRule type="expression" dxfId="763" priority="57">
      <formula>B52&gt;$AG52</formula>
    </cfRule>
  </conditionalFormatting>
  <conditionalFormatting sqref="B59:S64">
    <cfRule type="expression" dxfId="762" priority="49">
      <formula>B$9&gt;=20/24</formula>
    </cfRule>
    <cfRule type="expression" dxfId="761" priority="50">
      <formula>AND(B$9&gt;=14/24,B$9&lt;20/24)</formula>
    </cfRule>
    <cfRule type="expression" dxfId="760" priority="51">
      <formula>AND(B$9&gt;=8/24,B$9&lt;14/24)</formula>
    </cfRule>
    <cfRule type="expression" dxfId="759" priority="52">
      <formula>B$9&lt;8/24</formula>
    </cfRule>
  </conditionalFormatting>
  <conditionalFormatting sqref="B59:S64">
    <cfRule type="expression" dxfId="758" priority="48">
      <formula>B59&gt;$AG59</formula>
    </cfRule>
  </conditionalFormatting>
  <conditionalFormatting sqref="B45:S45 B13:S15">
    <cfRule type="expression" dxfId="757" priority="47">
      <formula>B13&gt;$AG13</formula>
    </cfRule>
  </conditionalFormatting>
  <conditionalFormatting sqref="B12:S12">
    <cfRule type="expression" dxfId="756" priority="43">
      <formula>B$9&gt;=20/24</formula>
    </cfRule>
    <cfRule type="expression" dxfId="755" priority="44">
      <formula>AND(B$9&gt;=14/24,B$9&lt;20/24)</formula>
    </cfRule>
    <cfRule type="expression" dxfId="754" priority="45">
      <formula>AND(B$9&gt;=8/24,B$9&lt;14/24)</formula>
    </cfRule>
    <cfRule type="expression" dxfId="753" priority="46">
      <formula>B$9&lt;8/24</formula>
    </cfRule>
  </conditionalFormatting>
  <conditionalFormatting sqref="B12:S12">
    <cfRule type="expression" dxfId="752" priority="42">
      <formula>B12&gt;$AG12</formula>
    </cfRule>
  </conditionalFormatting>
  <conditionalFormatting sqref="B13:S15">
    <cfRule type="expression" dxfId="751" priority="38">
      <formula>B$9&gt;=20/24</formula>
    </cfRule>
    <cfRule type="expression" dxfId="750" priority="39">
      <formula>AND(B$9&gt;=14/24,B$9&lt;20/24)</formula>
    </cfRule>
    <cfRule type="expression" dxfId="749" priority="40">
      <formula>AND(B$9&gt;=8/24,B$9&lt;14/24)</formula>
    </cfRule>
    <cfRule type="expression" dxfId="748" priority="41">
      <formula>B$9&lt;8/24</formula>
    </cfRule>
  </conditionalFormatting>
  <conditionalFormatting sqref="B45:S45">
    <cfRule type="expression" dxfId="747" priority="34">
      <formula>B$9&gt;=20/24</formula>
    </cfRule>
    <cfRule type="expression" dxfId="746" priority="35">
      <formula>AND(B$9&gt;=14/24,B$9&lt;20/24)</formula>
    </cfRule>
    <cfRule type="expression" dxfId="745" priority="36">
      <formula>AND(B$9&gt;=8/24,B$9&lt;14/24)</formula>
    </cfRule>
    <cfRule type="expression" dxfId="744" priority="37">
      <formula>B$9&lt;8/24</formula>
    </cfRule>
  </conditionalFormatting>
  <conditionalFormatting sqref="B77:L81">
    <cfRule type="expression" dxfId="743" priority="30">
      <formula>B$9&gt;=20/24</formula>
    </cfRule>
    <cfRule type="expression" dxfId="742" priority="31">
      <formula>AND(B$9&gt;=14/24,B$9&lt;20/24)</formula>
    </cfRule>
    <cfRule type="expression" dxfId="741" priority="32">
      <formula>AND(B$9&gt;=8/24,B$9&lt;14/24)</formula>
    </cfRule>
    <cfRule type="expression" dxfId="740" priority="33">
      <formula>B$9&lt;8/24</formula>
    </cfRule>
  </conditionalFormatting>
  <conditionalFormatting sqref="B46:N46">
    <cfRule type="expression" dxfId="739" priority="26">
      <formula>B$9&gt;=20/24</formula>
    </cfRule>
    <cfRule type="expression" dxfId="738" priority="27">
      <formula>AND(B$9&gt;=14/24,B$9&lt;20/24)</formula>
    </cfRule>
    <cfRule type="expression" dxfId="737" priority="28">
      <formula>AND(B$9&gt;=8/24,B$9&lt;14/24)</formula>
    </cfRule>
    <cfRule type="expression" dxfId="736" priority="29">
      <formula>B$9&lt;8/24</formula>
    </cfRule>
  </conditionalFormatting>
  <conditionalFormatting sqref="B46:N46">
    <cfRule type="expression" dxfId="735" priority="25">
      <formula>B46&gt;$AG46</formula>
    </cfRule>
  </conditionalFormatting>
  <conditionalFormatting sqref="B11:S11">
    <cfRule type="expression" dxfId="734" priority="21">
      <formula>B$9&gt;=20/24</formula>
    </cfRule>
    <cfRule type="expression" dxfId="733" priority="22">
      <formula>AND(B$9&gt;=14/24,B$9&lt;20/24)</formula>
    </cfRule>
    <cfRule type="expression" dxfId="732" priority="23">
      <formula>AND(B$9&gt;=8/24,B$9&lt;14/24)</formula>
    </cfRule>
    <cfRule type="expression" dxfId="731" priority="24">
      <formula>B$9&lt;8/24</formula>
    </cfRule>
  </conditionalFormatting>
  <conditionalFormatting sqref="B11:S11">
    <cfRule type="expression" dxfId="730" priority="20">
      <formula>B11&gt;$AG11</formula>
    </cfRule>
  </conditionalFormatting>
  <conditionalFormatting sqref="B16:S16">
    <cfRule type="expression" dxfId="729" priority="16">
      <formula>B$9&gt;=20/24</formula>
    </cfRule>
    <cfRule type="expression" dxfId="728" priority="17">
      <formula>AND(B$9&gt;=14/24,B$9&lt;20/24)</formula>
    </cfRule>
    <cfRule type="expression" dxfId="727" priority="18">
      <formula>AND(B$9&gt;=8/24,B$9&lt;14/24)</formula>
    </cfRule>
    <cfRule type="expression" dxfId="726" priority="19">
      <formula>B$9&lt;8/24</formula>
    </cfRule>
  </conditionalFormatting>
  <conditionalFormatting sqref="B16:S16">
    <cfRule type="expression" dxfId="725" priority="15">
      <formula>B16&gt;$AG16</formula>
    </cfRule>
  </conditionalFormatting>
  <conditionalFormatting sqref="B33:S33">
    <cfRule type="expression" dxfId="724" priority="11">
      <formula>B$9&gt;=20/24</formula>
    </cfRule>
    <cfRule type="expression" dxfId="723" priority="12">
      <formula>AND(B$9&gt;=14/24,B$9&lt;20/24)</formula>
    </cfRule>
    <cfRule type="expression" dxfId="722" priority="13">
      <formula>AND(B$9&gt;=8/24,B$9&lt;14/24)</formula>
    </cfRule>
    <cfRule type="expression" dxfId="721" priority="14">
      <formula>B$9&lt;8/24</formula>
    </cfRule>
  </conditionalFormatting>
  <conditionalFormatting sqref="B33:S33">
    <cfRule type="expression" dxfId="720" priority="10">
      <formula>B33&gt;$AG33</formula>
    </cfRule>
  </conditionalFormatting>
  <conditionalFormatting sqref="B44:S44">
    <cfRule type="expression" dxfId="719" priority="9">
      <formula>B44&gt;$AG44</formula>
    </cfRule>
  </conditionalFormatting>
  <conditionalFormatting sqref="B44:S44">
    <cfRule type="expression" dxfId="718" priority="5">
      <formula>B$9&gt;=20/24</formula>
    </cfRule>
    <cfRule type="expression" dxfId="717" priority="6">
      <formula>AND(B$9&gt;=14/24,B$9&lt;20/24)</formula>
    </cfRule>
    <cfRule type="expression" dxfId="716" priority="7">
      <formula>AND(B$9&gt;=8/24,B$9&lt;14/24)</formula>
    </cfRule>
    <cfRule type="expression" dxfId="715" priority="8">
      <formula>B$9&lt;8/24</formula>
    </cfRule>
  </conditionalFormatting>
  <conditionalFormatting sqref="B117">
    <cfRule type="expression" dxfId="714" priority="1">
      <formula>B$9&gt;=20/24</formula>
    </cfRule>
    <cfRule type="expression" dxfId="713" priority="2">
      <formula>AND(B$9&gt;=14/24,B$9&lt;20/24)</formula>
    </cfRule>
    <cfRule type="expression" dxfId="712" priority="3">
      <formula>AND(B$9&gt;=8/24,B$9&lt;14/24)</formula>
    </cfRule>
    <cfRule type="expression" dxfId="711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5" id="{15652963-4F12-434B-886B-3340344A406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6" id="{E9120617-74EF-41E0-BC8D-BEC7F36E853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7" id="{9C82846A-63B4-482B-9C00-375812F41DC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8" id="{284B4526-A681-491A-AD62-C7E1994A740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53" id="{FF12A070-B0B4-4BBA-8F99-DAE7B8B2E09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60B5F0B8-997F-436A-97F7-1E1775CE350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C3C775AB-4930-4F49-BEBB-FB759395A95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02FF6703-FDB0-4ECF-BB0C-03EF46DC168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35" activePane="bottomLeft" state="frozen"/>
      <selection activeCell="Z85" sqref="Z85"/>
      <selection pane="bottomLeft" activeCell="Y16" sqref="Y16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str">
        <f ca="1">"2079/"&amp;"12/"&amp;INT(MID(CELL("filename",D6),FIND("]",CELL("filename",D6))+1,200))</f>
        <v>2079/12/0</v>
      </c>
      <c r="C4" s="196"/>
      <c r="D4" s="196"/>
      <c r="E4" s="197" t="str">
        <f ca="1">"2079/"&amp;"12/"&amp;INT(MID(CELL("filename",G6),FIND("]",CELL("filename",G6))+1,200))</f>
        <v>2079/12/0</v>
      </c>
      <c r="F4" s="197"/>
      <c r="G4" s="197"/>
      <c r="H4" s="197" t="str">
        <f ca="1">TEXT(E4,"dddd")</f>
        <v>2079/12/0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483.8</v>
      </c>
      <c r="C5" s="33">
        <f t="shared" si="0"/>
        <v>530</v>
      </c>
      <c r="D5" s="33">
        <f t="shared" si="0"/>
        <v>533.5</v>
      </c>
      <c r="E5" s="33">
        <f t="shared" si="0"/>
        <v>517.4</v>
      </c>
      <c r="F5" s="33">
        <f t="shared" si="0"/>
        <v>504.5</v>
      </c>
      <c r="G5" s="33">
        <f t="shared" si="0"/>
        <v>505</v>
      </c>
      <c r="H5" s="33">
        <f t="shared" si="0"/>
        <v>466.40000000000003</v>
      </c>
      <c r="I5" s="33">
        <f t="shared" si="0"/>
        <v>539.6</v>
      </c>
      <c r="J5" s="33">
        <f t="shared" si="0"/>
        <v>492.90000000000003</v>
      </c>
      <c r="K5" s="33">
        <f t="shared" si="0"/>
        <v>529.9</v>
      </c>
      <c r="L5" s="33">
        <f t="shared" si="0"/>
        <v>535.5</v>
      </c>
      <c r="M5" s="33">
        <f t="shared" si="0"/>
        <v>547.70000000000005</v>
      </c>
      <c r="N5" s="33">
        <f t="shared" si="0"/>
        <v>556.29999999999995</v>
      </c>
      <c r="O5" s="33">
        <f t="shared" si="0"/>
        <v>555.9</v>
      </c>
      <c r="P5" s="33">
        <f t="shared" si="0"/>
        <v>538.54999999999995</v>
      </c>
      <c r="Q5" s="33">
        <f t="shared" si="0"/>
        <v>546.90000000000009</v>
      </c>
      <c r="R5" s="33">
        <f t="shared" si="0"/>
        <v>0</v>
      </c>
      <c r="S5" s="33">
        <f t="shared" si="0"/>
        <v>0</v>
      </c>
      <c r="T5" s="33">
        <f t="shared" si="0"/>
        <v>0</v>
      </c>
      <c r="U5" s="33">
        <f t="shared" si="0"/>
        <v>0</v>
      </c>
      <c r="V5" s="33">
        <f t="shared" si="0"/>
        <v>0</v>
      </c>
      <c r="W5" s="33">
        <f t="shared" si="0"/>
        <v>0</v>
      </c>
      <c r="X5" s="33">
        <f t="shared" si="0"/>
        <v>0</v>
      </c>
      <c r="Y5" s="33">
        <f t="shared" si="0"/>
        <v>0</v>
      </c>
      <c r="Z5" s="33">
        <f t="shared" si="0"/>
        <v>0</v>
      </c>
      <c r="AA5" s="33">
        <f t="shared" si="0"/>
        <v>0</v>
      </c>
      <c r="AB5" s="33">
        <f t="shared" si="0"/>
        <v>0</v>
      </c>
      <c r="AC5" s="33">
        <f t="shared" si="0"/>
        <v>0</v>
      </c>
      <c r="AD5" s="33">
        <f t="shared" si="0"/>
        <v>0</v>
      </c>
      <c r="AE5" s="33">
        <f t="shared" si="0"/>
        <v>0</v>
      </c>
      <c r="AF5" s="33">
        <f>B82</f>
        <v>460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1316MW at 9:00hr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Load=4</v>
      </c>
      <c r="B7" s="38">
        <f t="shared" ref="B7:AF7" si="1">B89</f>
        <v>1324.3400000000001</v>
      </c>
      <c r="C7" s="38">
        <f t="shared" si="1"/>
        <v>1210.1400000000001</v>
      </c>
      <c r="D7" s="38">
        <f t="shared" si="1"/>
        <v>1225.3400000000001</v>
      </c>
      <c r="E7" s="38">
        <f t="shared" si="1"/>
        <v>1189.6399999999999</v>
      </c>
      <c r="F7" s="38">
        <f t="shared" si="1"/>
        <v>1143.04</v>
      </c>
      <c r="G7" s="38">
        <f t="shared" si="1"/>
        <v>1157.6399999999999</v>
      </c>
      <c r="H7" s="38">
        <f t="shared" si="1"/>
        <v>1205.04</v>
      </c>
      <c r="I7" s="38">
        <f t="shared" si="1"/>
        <v>1141.74</v>
      </c>
      <c r="J7" s="38">
        <f t="shared" si="1"/>
        <v>1141.94</v>
      </c>
      <c r="K7" s="38">
        <f t="shared" si="1"/>
        <v>1055.54</v>
      </c>
      <c r="L7" s="38">
        <f t="shared" si="1"/>
        <v>1180.24</v>
      </c>
      <c r="M7" s="38">
        <f t="shared" si="1"/>
        <v>1300.3399999999999</v>
      </c>
      <c r="N7" s="38">
        <f>N89</f>
        <v>1315.84</v>
      </c>
      <c r="O7" s="38">
        <f t="shared" si="1"/>
        <v>1286.9399999999998</v>
      </c>
      <c r="P7" s="38">
        <f t="shared" si="1"/>
        <v>1257.3400000000001</v>
      </c>
      <c r="Q7" s="38">
        <f t="shared" si="1"/>
        <v>1242.29</v>
      </c>
      <c r="R7" s="38">
        <f t="shared" si="1"/>
        <v>1194.74</v>
      </c>
      <c r="S7" s="38">
        <f t="shared" si="1"/>
        <v>3.54</v>
      </c>
      <c r="T7" s="38">
        <f t="shared" si="1"/>
        <v>3.54</v>
      </c>
      <c r="U7" s="38">
        <f t="shared" si="1"/>
        <v>3.54</v>
      </c>
      <c r="V7" s="38">
        <f t="shared" si="1"/>
        <v>3.54</v>
      </c>
      <c r="W7" s="38">
        <f t="shared" si="1"/>
        <v>3.54</v>
      </c>
      <c r="X7" s="38">
        <f t="shared" si="1"/>
        <v>3.54</v>
      </c>
      <c r="Y7" s="38">
        <f t="shared" si="1"/>
        <v>3.54</v>
      </c>
      <c r="Z7" s="38">
        <f t="shared" si="1"/>
        <v>3.54</v>
      </c>
      <c r="AA7" s="38">
        <f t="shared" si="1"/>
        <v>3.54</v>
      </c>
      <c r="AB7" s="38">
        <f t="shared" si="1"/>
        <v>3.54</v>
      </c>
      <c r="AC7" s="38">
        <f t="shared" si="1"/>
        <v>3.54</v>
      </c>
      <c r="AD7" s="38">
        <f t="shared" si="1"/>
        <v>3.54</v>
      </c>
      <c r="AE7" s="38">
        <f t="shared" si="1"/>
        <v>3.54</v>
      </c>
      <c r="AF7" s="38">
        <f t="shared" si="1"/>
        <v>3.54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>
        <v>23.6</v>
      </c>
      <c r="C11" s="50">
        <v>23.6</v>
      </c>
      <c r="D11" s="50">
        <v>23.6</v>
      </c>
      <c r="E11" s="50">
        <v>23.6</v>
      </c>
      <c r="F11" s="50">
        <v>23.6</v>
      </c>
      <c r="G11" s="50">
        <v>23.6</v>
      </c>
      <c r="H11" s="50">
        <v>23.6</v>
      </c>
      <c r="I11" s="50">
        <v>23.6</v>
      </c>
      <c r="J11" s="50">
        <v>23.6</v>
      </c>
      <c r="K11" s="50">
        <v>23.6</v>
      </c>
      <c r="L11" s="50">
        <v>23.6</v>
      </c>
      <c r="M11" s="50">
        <v>23.6</v>
      </c>
      <c r="N11" s="50">
        <v>24</v>
      </c>
      <c r="O11" s="50">
        <v>24</v>
      </c>
      <c r="P11" s="50">
        <v>24</v>
      </c>
      <c r="Q11" s="50">
        <v>24</v>
      </c>
      <c r="R11" s="50">
        <v>24</v>
      </c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1">
        <v>86</v>
      </c>
      <c r="AH11" s="52">
        <f t="shared" ref="AH11:AH74" si="2">MAX(B11:AF11)</f>
        <v>24</v>
      </c>
      <c r="AI11" s="53">
        <f t="shared" ref="AI11:AI74" si="3">MIN(B11:AF11)</f>
        <v>23.6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>
        <v>13</v>
      </c>
      <c r="C12" s="50">
        <v>13</v>
      </c>
      <c r="D12" s="50">
        <v>13</v>
      </c>
      <c r="E12" s="50">
        <v>13</v>
      </c>
      <c r="F12" s="50">
        <v>13</v>
      </c>
      <c r="G12" s="50">
        <v>13</v>
      </c>
      <c r="H12" s="50">
        <v>13</v>
      </c>
      <c r="I12" s="50">
        <v>13</v>
      </c>
      <c r="J12" s="50">
        <v>13</v>
      </c>
      <c r="K12" s="50">
        <v>13</v>
      </c>
      <c r="L12" s="50">
        <v>13</v>
      </c>
      <c r="M12" s="50">
        <v>13</v>
      </c>
      <c r="N12" s="50">
        <v>15.1</v>
      </c>
      <c r="O12" s="50">
        <v>15.1</v>
      </c>
      <c r="P12" s="50">
        <v>16</v>
      </c>
      <c r="Q12" s="50">
        <v>11.1</v>
      </c>
      <c r="R12" s="50">
        <v>11</v>
      </c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1">
        <v>52.4</v>
      </c>
      <c r="AH12" s="52">
        <f t="shared" si="2"/>
        <v>16</v>
      </c>
      <c r="AI12" s="53">
        <f t="shared" si="3"/>
        <v>11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>
        <v>31.6</v>
      </c>
      <c r="C13" s="50">
        <v>31.6</v>
      </c>
      <c r="D13" s="50">
        <v>31.6</v>
      </c>
      <c r="E13" s="50">
        <v>31.6</v>
      </c>
      <c r="F13" s="50">
        <v>31.6</v>
      </c>
      <c r="G13" s="50">
        <v>31.6</v>
      </c>
      <c r="H13" s="50">
        <v>31.6</v>
      </c>
      <c r="I13" s="50">
        <v>31.6</v>
      </c>
      <c r="J13" s="50">
        <v>31.6</v>
      </c>
      <c r="K13" s="50">
        <v>31.6</v>
      </c>
      <c r="L13" s="50">
        <v>31.6</v>
      </c>
      <c r="M13" s="50">
        <v>31.6</v>
      </c>
      <c r="N13" s="50">
        <v>32.9</v>
      </c>
      <c r="O13" s="50">
        <v>32.9</v>
      </c>
      <c r="P13" s="50">
        <v>32.6</v>
      </c>
      <c r="Q13" s="50">
        <v>32.4</v>
      </c>
      <c r="R13" s="50">
        <v>32.1</v>
      </c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5">
        <v>50</v>
      </c>
      <c r="AH13" s="52">
        <f t="shared" si="2"/>
        <v>32.9</v>
      </c>
      <c r="AI13" s="53">
        <f t="shared" si="3"/>
        <v>31.6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>
        <v>16.2</v>
      </c>
      <c r="C14" s="50">
        <v>16.2</v>
      </c>
      <c r="D14" s="50">
        <v>16.2</v>
      </c>
      <c r="E14" s="50">
        <v>16.2</v>
      </c>
      <c r="F14" s="50">
        <v>16.2</v>
      </c>
      <c r="G14" s="50">
        <v>16.2</v>
      </c>
      <c r="H14" s="50">
        <v>16.2</v>
      </c>
      <c r="I14" s="50">
        <v>16.2</v>
      </c>
      <c r="J14" s="50">
        <v>16.2</v>
      </c>
      <c r="K14" s="50">
        <v>16.2</v>
      </c>
      <c r="L14" s="50">
        <v>16.2</v>
      </c>
      <c r="M14" s="50">
        <v>16.2</v>
      </c>
      <c r="N14" s="50">
        <v>16.3</v>
      </c>
      <c r="O14" s="50">
        <v>16.3</v>
      </c>
      <c r="P14" s="50">
        <v>16.100000000000001</v>
      </c>
      <c r="Q14" s="50">
        <v>15.4</v>
      </c>
      <c r="R14" s="50">
        <v>15.6</v>
      </c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5">
        <v>45</v>
      </c>
      <c r="AH14" s="52">
        <f t="shared" si="2"/>
        <v>16.3</v>
      </c>
      <c r="AI14" s="53">
        <f t="shared" si="3"/>
        <v>15.4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>
        <v>10</v>
      </c>
      <c r="C15" s="50">
        <v>10</v>
      </c>
      <c r="D15" s="50">
        <v>10</v>
      </c>
      <c r="E15" s="50">
        <v>10</v>
      </c>
      <c r="F15" s="50">
        <v>10</v>
      </c>
      <c r="G15" s="50">
        <v>10</v>
      </c>
      <c r="H15" s="50">
        <v>10</v>
      </c>
      <c r="I15" s="50">
        <v>10</v>
      </c>
      <c r="J15" s="50">
        <v>10</v>
      </c>
      <c r="K15" s="50">
        <v>10</v>
      </c>
      <c r="L15" s="50">
        <v>10</v>
      </c>
      <c r="M15" s="50">
        <v>10</v>
      </c>
      <c r="N15" s="50">
        <v>10</v>
      </c>
      <c r="O15" s="50">
        <v>10</v>
      </c>
      <c r="P15" s="50">
        <v>10</v>
      </c>
      <c r="Q15" s="50">
        <v>10</v>
      </c>
      <c r="R15" s="50">
        <v>10</v>
      </c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5">
        <v>42</v>
      </c>
      <c r="AH15" s="52">
        <f t="shared" si="2"/>
        <v>10</v>
      </c>
      <c r="AI15" s="53">
        <f t="shared" si="3"/>
        <v>10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>
        <v>7</v>
      </c>
      <c r="C16" s="50">
        <v>7</v>
      </c>
      <c r="D16" s="50">
        <v>7</v>
      </c>
      <c r="E16" s="50">
        <v>7</v>
      </c>
      <c r="F16" s="50">
        <v>7</v>
      </c>
      <c r="G16" s="50">
        <v>7</v>
      </c>
      <c r="H16" s="50">
        <v>7</v>
      </c>
      <c r="I16" s="50">
        <v>7</v>
      </c>
      <c r="J16" s="50">
        <v>7</v>
      </c>
      <c r="K16" s="50">
        <v>7</v>
      </c>
      <c r="L16" s="50">
        <v>7</v>
      </c>
      <c r="M16" s="50">
        <v>13</v>
      </c>
      <c r="N16" s="50">
        <v>13</v>
      </c>
      <c r="O16" s="50">
        <v>13</v>
      </c>
      <c r="P16" s="50">
        <v>13</v>
      </c>
      <c r="Q16" s="50">
        <v>13</v>
      </c>
      <c r="R16" s="50">
        <v>13</v>
      </c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5">
        <v>36</v>
      </c>
      <c r="AH16" s="52">
        <f t="shared" si="2"/>
        <v>13</v>
      </c>
      <c r="AI16" s="53">
        <f t="shared" si="3"/>
        <v>7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>
        <v>10</v>
      </c>
      <c r="C17" s="50">
        <v>10</v>
      </c>
      <c r="D17" s="50">
        <v>10</v>
      </c>
      <c r="E17" s="50">
        <v>10</v>
      </c>
      <c r="F17" s="50">
        <v>10</v>
      </c>
      <c r="G17" s="50">
        <v>10</v>
      </c>
      <c r="H17" s="50">
        <v>10</v>
      </c>
      <c r="I17" s="50">
        <v>10</v>
      </c>
      <c r="J17" s="50">
        <v>10</v>
      </c>
      <c r="K17" s="50">
        <v>10</v>
      </c>
      <c r="L17" s="50">
        <v>10</v>
      </c>
      <c r="M17" s="50">
        <v>10</v>
      </c>
      <c r="N17" s="50">
        <v>10</v>
      </c>
      <c r="O17" s="50">
        <v>10</v>
      </c>
      <c r="P17" s="50">
        <v>10</v>
      </c>
      <c r="Q17" s="50">
        <v>10</v>
      </c>
      <c r="R17" s="50">
        <v>10</v>
      </c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5">
        <v>36</v>
      </c>
      <c r="AH17" s="52">
        <f t="shared" si="2"/>
        <v>10</v>
      </c>
      <c r="AI17" s="53">
        <f t="shared" si="3"/>
        <v>10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>
        <v>9.3000000000000007</v>
      </c>
      <c r="C18" s="50">
        <v>9.3000000000000007</v>
      </c>
      <c r="D18" s="50">
        <v>9.3000000000000007</v>
      </c>
      <c r="E18" s="50">
        <v>9.3000000000000007</v>
      </c>
      <c r="F18" s="50">
        <v>9.3000000000000007</v>
      </c>
      <c r="G18" s="50">
        <v>9.3000000000000007</v>
      </c>
      <c r="H18" s="50">
        <v>9.3000000000000007</v>
      </c>
      <c r="I18" s="50">
        <v>9.3000000000000007</v>
      </c>
      <c r="J18" s="50">
        <v>9.3000000000000007</v>
      </c>
      <c r="K18" s="50">
        <v>9.3000000000000007</v>
      </c>
      <c r="L18" s="50">
        <v>9.3000000000000007</v>
      </c>
      <c r="M18" s="50">
        <v>9.3000000000000007</v>
      </c>
      <c r="N18" s="50">
        <v>9.9</v>
      </c>
      <c r="O18" s="50">
        <v>9.9</v>
      </c>
      <c r="P18" s="50">
        <v>9.3000000000000007</v>
      </c>
      <c r="Q18" s="50">
        <v>9.4</v>
      </c>
      <c r="R18" s="50">
        <v>9.3000000000000007</v>
      </c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6">
        <v>30</v>
      </c>
      <c r="AH18" s="52">
        <f t="shared" si="2"/>
        <v>9.9</v>
      </c>
      <c r="AI18" s="53">
        <f t="shared" si="3"/>
        <v>9.3000000000000007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>
        <v>6.6</v>
      </c>
      <c r="C19" s="50">
        <v>6.6</v>
      </c>
      <c r="D19" s="50">
        <v>6.6</v>
      </c>
      <c r="E19" s="50">
        <v>6.6</v>
      </c>
      <c r="F19" s="50">
        <v>6.6</v>
      </c>
      <c r="G19" s="50">
        <v>6.6</v>
      </c>
      <c r="H19" s="50">
        <v>6.6</v>
      </c>
      <c r="I19" s="50">
        <v>6.6</v>
      </c>
      <c r="J19" s="50">
        <v>6.6</v>
      </c>
      <c r="K19" s="50">
        <v>6.6</v>
      </c>
      <c r="L19" s="50">
        <v>6.6</v>
      </c>
      <c r="M19" s="50">
        <v>6.6</v>
      </c>
      <c r="N19" s="50">
        <v>6.5</v>
      </c>
      <c r="O19" s="50">
        <v>6.5</v>
      </c>
      <c r="P19" s="50">
        <v>6.5</v>
      </c>
      <c r="Q19" s="50">
        <v>6.6</v>
      </c>
      <c r="R19" s="50">
        <v>6.6</v>
      </c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5">
        <v>24.2</v>
      </c>
      <c r="AH19" s="52">
        <f t="shared" si="2"/>
        <v>6.6</v>
      </c>
      <c r="AI19" s="53">
        <f t="shared" si="3"/>
        <v>6.5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>
        <v>9</v>
      </c>
      <c r="C20" s="50">
        <v>9</v>
      </c>
      <c r="D20" s="50">
        <v>9</v>
      </c>
      <c r="E20" s="50">
        <v>9</v>
      </c>
      <c r="F20" s="50">
        <v>9</v>
      </c>
      <c r="G20" s="50">
        <v>9</v>
      </c>
      <c r="H20" s="50">
        <v>9</v>
      </c>
      <c r="I20" s="50">
        <v>9</v>
      </c>
      <c r="J20" s="50">
        <v>9</v>
      </c>
      <c r="K20" s="50">
        <v>9</v>
      </c>
      <c r="L20" s="50">
        <v>9</v>
      </c>
      <c r="M20" s="50">
        <v>8.5</v>
      </c>
      <c r="N20" s="50">
        <v>8.5</v>
      </c>
      <c r="O20" s="50">
        <v>8.5</v>
      </c>
      <c r="P20" s="50">
        <v>8.5</v>
      </c>
      <c r="Q20" s="50">
        <v>8.5</v>
      </c>
      <c r="R20" s="50">
        <v>8.5</v>
      </c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5">
        <v>28</v>
      </c>
      <c r="AH20" s="52">
        <f t="shared" si="2"/>
        <v>9</v>
      </c>
      <c r="AI20" s="53">
        <f t="shared" si="3"/>
        <v>8.5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>
        <v>6.4</v>
      </c>
      <c r="C21" s="50">
        <v>6.4</v>
      </c>
      <c r="D21" s="50">
        <v>6.4</v>
      </c>
      <c r="E21" s="50">
        <v>6.4</v>
      </c>
      <c r="F21" s="50">
        <v>6.4</v>
      </c>
      <c r="G21" s="50">
        <v>6.4</v>
      </c>
      <c r="H21" s="50">
        <v>6.4</v>
      </c>
      <c r="I21" s="50">
        <v>6.4</v>
      </c>
      <c r="J21" s="50">
        <v>6.4</v>
      </c>
      <c r="K21" s="50">
        <v>6.4</v>
      </c>
      <c r="L21" s="50">
        <v>6.4</v>
      </c>
      <c r="M21" s="50">
        <v>6.4</v>
      </c>
      <c r="N21" s="50">
        <v>6.4</v>
      </c>
      <c r="O21" s="50">
        <v>6.4</v>
      </c>
      <c r="P21" s="50">
        <v>6.4</v>
      </c>
      <c r="Q21" s="50">
        <v>6.4</v>
      </c>
      <c r="R21" s="50">
        <v>6.4</v>
      </c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6">
        <v>30</v>
      </c>
      <c r="AH21" s="52">
        <f t="shared" si="2"/>
        <v>6.4</v>
      </c>
      <c r="AI21" s="53">
        <f t="shared" si="3"/>
        <v>6.4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>
        <v>10.7</v>
      </c>
      <c r="C22" s="50">
        <v>10.7</v>
      </c>
      <c r="D22" s="50">
        <v>10.7</v>
      </c>
      <c r="E22" s="50">
        <v>10.7</v>
      </c>
      <c r="F22" s="50">
        <v>10.7</v>
      </c>
      <c r="G22" s="50">
        <v>10.7</v>
      </c>
      <c r="H22" s="50">
        <v>10.7</v>
      </c>
      <c r="I22" s="50">
        <v>10.7</v>
      </c>
      <c r="J22" s="50">
        <v>10.7</v>
      </c>
      <c r="K22" s="50">
        <v>10.7</v>
      </c>
      <c r="L22" s="50">
        <v>10.7</v>
      </c>
      <c r="M22" s="50">
        <v>10.7</v>
      </c>
      <c r="N22" s="50">
        <v>9.5</v>
      </c>
      <c r="O22" s="50">
        <v>9.5</v>
      </c>
      <c r="P22" s="50">
        <v>10.3</v>
      </c>
      <c r="Q22" s="50">
        <v>9</v>
      </c>
      <c r="R22" s="50">
        <v>9.4</v>
      </c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5">
        <v>25</v>
      </c>
      <c r="AH22" s="52">
        <f t="shared" si="2"/>
        <v>10.7</v>
      </c>
      <c r="AI22" s="53">
        <f t="shared" si="3"/>
        <v>9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>
        <v>9</v>
      </c>
      <c r="C23" s="50">
        <v>9</v>
      </c>
      <c r="D23" s="50">
        <v>9</v>
      </c>
      <c r="E23" s="50">
        <v>9</v>
      </c>
      <c r="F23" s="50">
        <v>9</v>
      </c>
      <c r="G23" s="50">
        <v>9</v>
      </c>
      <c r="H23" s="50">
        <v>9</v>
      </c>
      <c r="I23" s="50">
        <v>9</v>
      </c>
      <c r="J23" s="50">
        <v>9</v>
      </c>
      <c r="K23" s="50">
        <v>9</v>
      </c>
      <c r="L23" s="50">
        <v>9</v>
      </c>
      <c r="M23" s="50">
        <v>9</v>
      </c>
      <c r="N23" s="50">
        <v>9</v>
      </c>
      <c r="O23" s="50">
        <v>9</v>
      </c>
      <c r="P23" s="50">
        <v>9</v>
      </c>
      <c r="Q23" s="50">
        <v>9</v>
      </c>
      <c r="R23" s="50">
        <v>9</v>
      </c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5">
        <v>25</v>
      </c>
      <c r="AH23" s="52">
        <f t="shared" si="2"/>
        <v>9</v>
      </c>
      <c r="AI23" s="53">
        <f t="shared" si="3"/>
        <v>9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>
        <v>6</v>
      </c>
      <c r="C24" s="50">
        <v>6</v>
      </c>
      <c r="D24" s="50">
        <v>6</v>
      </c>
      <c r="E24" s="50">
        <v>6</v>
      </c>
      <c r="F24" s="50">
        <v>6</v>
      </c>
      <c r="G24" s="50">
        <v>6</v>
      </c>
      <c r="H24" s="50">
        <v>6</v>
      </c>
      <c r="I24" s="50">
        <v>6</v>
      </c>
      <c r="J24" s="50">
        <v>6</v>
      </c>
      <c r="K24" s="50">
        <v>6</v>
      </c>
      <c r="L24" s="50">
        <v>6</v>
      </c>
      <c r="M24" s="50">
        <v>6</v>
      </c>
      <c r="N24" s="50">
        <v>6</v>
      </c>
      <c r="O24" s="50">
        <v>6</v>
      </c>
      <c r="P24" s="50">
        <v>6</v>
      </c>
      <c r="Q24" s="50">
        <v>6</v>
      </c>
      <c r="R24" s="50">
        <v>6</v>
      </c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5">
        <v>25</v>
      </c>
      <c r="AH24" s="52">
        <f t="shared" si="2"/>
        <v>6</v>
      </c>
      <c r="AI24" s="53">
        <f t="shared" si="3"/>
        <v>6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>
        <v>7</v>
      </c>
      <c r="C25" s="50">
        <v>7</v>
      </c>
      <c r="D25" s="50">
        <v>7</v>
      </c>
      <c r="E25" s="50">
        <v>7</v>
      </c>
      <c r="F25" s="50">
        <v>7</v>
      </c>
      <c r="G25" s="50">
        <v>7</v>
      </c>
      <c r="H25" s="50">
        <v>7</v>
      </c>
      <c r="I25" s="50">
        <v>7</v>
      </c>
      <c r="J25" s="50">
        <v>7</v>
      </c>
      <c r="K25" s="50">
        <v>7</v>
      </c>
      <c r="L25" s="50">
        <v>7</v>
      </c>
      <c r="M25" s="50">
        <v>7</v>
      </c>
      <c r="N25" s="50">
        <v>7</v>
      </c>
      <c r="O25" s="50">
        <v>7</v>
      </c>
      <c r="P25" s="50">
        <v>7</v>
      </c>
      <c r="Q25" s="50">
        <v>7</v>
      </c>
      <c r="R25" s="50">
        <v>7</v>
      </c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5">
        <v>25</v>
      </c>
      <c r="AH25" s="52">
        <f t="shared" si="2"/>
        <v>7</v>
      </c>
      <c r="AI25" s="53">
        <f t="shared" si="3"/>
        <v>7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>
        <v>4.9000000000000004</v>
      </c>
      <c r="C26" s="50">
        <v>4.9000000000000004</v>
      </c>
      <c r="D26" s="50">
        <v>4.9000000000000004</v>
      </c>
      <c r="E26" s="50">
        <v>4.9000000000000004</v>
      </c>
      <c r="F26" s="50">
        <v>4.9000000000000004</v>
      </c>
      <c r="G26" s="50">
        <v>4.9000000000000004</v>
      </c>
      <c r="H26" s="50">
        <v>4.9000000000000004</v>
      </c>
      <c r="I26" s="50">
        <v>4.9000000000000004</v>
      </c>
      <c r="J26" s="50">
        <v>4.9000000000000004</v>
      </c>
      <c r="K26" s="50">
        <v>4.9000000000000004</v>
      </c>
      <c r="L26" s="50">
        <v>4.9000000000000004</v>
      </c>
      <c r="M26" s="50">
        <v>4.9000000000000004</v>
      </c>
      <c r="N26" s="50">
        <v>6.1</v>
      </c>
      <c r="O26" s="50">
        <v>6.1</v>
      </c>
      <c r="P26" s="50">
        <v>6.1</v>
      </c>
      <c r="Q26" s="50">
        <v>6.1</v>
      </c>
      <c r="R26" s="50">
        <v>4.9000000000000004</v>
      </c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5">
        <v>23.5</v>
      </c>
      <c r="AH26" s="52">
        <f t="shared" si="2"/>
        <v>6.1</v>
      </c>
      <c r="AI26" s="53">
        <f t="shared" si="3"/>
        <v>4.9000000000000004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>
        <v>3</v>
      </c>
      <c r="C27" s="50">
        <v>3</v>
      </c>
      <c r="D27" s="50">
        <v>3</v>
      </c>
      <c r="E27" s="50">
        <v>3</v>
      </c>
      <c r="F27" s="50">
        <v>3</v>
      </c>
      <c r="G27" s="50">
        <v>3</v>
      </c>
      <c r="H27" s="50">
        <v>3</v>
      </c>
      <c r="I27" s="50">
        <v>3</v>
      </c>
      <c r="J27" s="50">
        <v>3</v>
      </c>
      <c r="K27" s="50">
        <v>3</v>
      </c>
      <c r="L27" s="50">
        <v>3</v>
      </c>
      <c r="M27" s="50">
        <v>3</v>
      </c>
      <c r="N27" s="50">
        <v>3</v>
      </c>
      <c r="O27" s="50">
        <v>3</v>
      </c>
      <c r="P27" s="50">
        <v>3</v>
      </c>
      <c r="Q27" s="50">
        <v>3</v>
      </c>
      <c r="R27" s="50">
        <v>3</v>
      </c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5">
        <v>22.2</v>
      </c>
      <c r="AH27" s="52">
        <f t="shared" si="2"/>
        <v>3</v>
      </c>
      <c r="AI27" s="53">
        <f t="shared" si="3"/>
        <v>3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>
        <v>2.6</v>
      </c>
      <c r="C28" s="50">
        <v>2.6</v>
      </c>
      <c r="D28" s="50">
        <v>2.6</v>
      </c>
      <c r="E28" s="50">
        <v>2.6</v>
      </c>
      <c r="F28" s="50">
        <v>2.6</v>
      </c>
      <c r="G28" s="50">
        <v>2.6</v>
      </c>
      <c r="H28" s="50">
        <v>2.6</v>
      </c>
      <c r="I28" s="50">
        <v>2.6</v>
      </c>
      <c r="J28" s="50">
        <v>2.6</v>
      </c>
      <c r="K28" s="50">
        <v>2.6</v>
      </c>
      <c r="L28" s="50">
        <v>2.6</v>
      </c>
      <c r="M28" s="50">
        <v>2.6</v>
      </c>
      <c r="N28" s="50">
        <v>2.6</v>
      </c>
      <c r="O28" s="50">
        <v>2.6</v>
      </c>
      <c r="P28" s="50">
        <v>2.6</v>
      </c>
      <c r="Q28" s="50">
        <v>2.6</v>
      </c>
      <c r="R28" s="50">
        <v>2.6</v>
      </c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5">
        <v>22.1</v>
      </c>
      <c r="AH28" s="52">
        <f t="shared" si="2"/>
        <v>2.6</v>
      </c>
      <c r="AI28" s="53">
        <f t="shared" si="3"/>
        <v>2.6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>
        <v>10</v>
      </c>
      <c r="C29" s="50">
        <v>10</v>
      </c>
      <c r="D29" s="50">
        <v>10</v>
      </c>
      <c r="E29" s="50">
        <v>10</v>
      </c>
      <c r="F29" s="50">
        <v>10</v>
      </c>
      <c r="G29" s="50">
        <v>10</v>
      </c>
      <c r="H29" s="50">
        <v>10</v>
      </c>
      <c r="I29" s="50">
        <v>10</v>
      </c>
      <c r="J29" s="50">
        <v>10</v>
      </c>
      <c r="K29" s="50">
        <v>10</v>
      </c>
      <c r="L29" s="50">
        <v>10</v>
      </c>
      <c r="M29" s="50">
        <v>3.5</v>
      </c>
      <c r="N29" s="50">
        <v>3.5</v>
      </c>
      <c r="O29" s="50">
        <v>3.5</v>
      </c>
      <c r="P29" s="50">
        <v>3.5</v>
      </c>
      <c r="Q29" s="50">
        <v>3.5</v>
      </c>
      <c r="R29" s="50">
        <v>3.5</v>
      </c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5">
        <v>22</v>
      </c>
      <c r="AH29" s="52">
        <f t="shared" si="2"/>
        <v>10</v>
      </c>
      <c r="AI29" s="53">
        <f t="shared" si="3"/>
        <v>3.5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>
        <v>9</v>
      </c>
      <c r="C30" s="50">
        <v>9</v>
      </c>
      <c r="D30" s="50">
        <v>9</v>
      </c>
      <c r="E30" s="50">
        <v>9</v>
      </c>
      <c r="F30" s="50">
        <v>9</v>
      </c>
      <c r="G30" s="50">
        <v>9</v>
      </c>
      <c r="H30" s="50">
        <v>9</v>
      </c>
      <c r="I30" s="50">
        <v>9</v>
      </c>
      <c r="J30" s="50">
        <v>9</v>
      </c>
      <c r="K30" s="50">
        <v>9</v>
      </c>
      <c r="L30" s="50">
        <v>9</v>
      </c>
      <c r="M30" s="50">
        <v>9</v>
      </c>
      <c r="N30" s="50">
        <v>8</v>
      </c>
      <c r="O30" s="50">
        <v>8</v>
      </c>
      <c r="P30" s="50">
        <v>8</v>
      </c>
      <c r="Q30" s="50">
        <v>7</v>
      </c>
      <c r="R30" s="50">
        <v>6</v>
      </c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5">
        <v>22</v>
      </c>
      <c r="AH30" s="52">
        <f t="shared" si="2"/>
        <v>9</v>
      </c>
      <c r="AI30" s="53">
        <f t="shared" si="3"/>
        <v>6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5">
        <v>20</v>
      </c>
      <c r="AH31" s="52">
        <f t="shared" si="2"/>
        <v>6</v>
      </c>
      <c r="AI31" s="53">
        <f t="shared" si="3"/>
        <v>6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>
        <v>4</v>
      </c>
      <c r="C32" s="50">
        <v>4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J32" s="50">
        <v>4</v>
      </c>
      <c r="K32" s="50">
        <v>4</v>
      </c>
      <c r="L32" s="50">
        <v>4</v>
      </c>
      <c r="M32" s="50">
        <v>4</v>
      </c>
      <c r="N32" s="50">
        <v>4</v>
      </c>
      <c r="O32" s="50">
        <v>4</v>
      </c>
      <c r="P32" s="50">
        <v>4</v>
      </c>
      <c r="Q32" s="50">
        <v>4</v>
      </c>
      <c r="R32" s="50">
        <v>4</v>
      </c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5">
        <v>18</v>
      </c>
      <c r="AH32" s="52">
        <f t="shared" si="2"/>
        <v>4</v>
      </c>
      <c r="AI32" s="53">
        <f t="shared" si="3"/>
        <v>4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>
        <v>7</v>
      </c>
      <c r="C33" s="50">
        <v>7</v>
      </c>
      <c r="D33" s="50">
        <v>7</v>
      </c>
      <c r="E33" s="50">
        <v>7</v>
      </c>
      <c r="F33" s="50">
        <v>7</v>
      </c>
      <c r="G33" s="50">
        <v>7</v>
      </c>
      <c r="H33" s="50">
        <v>7</v>
      </c>
      <c r="I33" s="50">
        <v>7</v>
      </c>
      <c r="J33" s="50">
        <v>7</v>
      </c>
      <c r="K33" s="50">
        <v>7</v>
      </c>
      <c r="L33" s="50">
        <v>7</v>
      </c>
      <c r="M33" s="50">
        <v>7</v>
      </c>
      <c r="N33" s="50">
        <v>7</v>
      </c>
      <c r="O33" s="50">
        <v>7</v>
      </c>
      <c r="P33" s="50">
        <v>7</v>
      </c>
      <c r="Q33" s="50">
        <v>7</v>
      </c>
      <c r="R33" s="50">
        <v>7</v>
      </c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5">
        <v>14.9</v>
      </c>
      <c r="AH33" s="52">
        <f t="shared" si="2"/>
        <v>7</v>
      </c>
      <c r="AI33" s="53">
        <f t="shared" si="3"/>
        <v>7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>
        <v>6.2</v>
      </c>
      <c r="C34" s="50">
        <v>6.2</v>
      </c>
      <c r="D34" s="50">
        <v>6.2</v>
      </c>
      <c r="E34" s="50">
        <v>6.2</v>
      </c>
      <c r="F34" s="50">
        <v>6.2</v>
      </c>
      <c r="G34" s="50">
        <v>6.2</v>
      </c>
      <c r="H34" s="50">
        <v>6.2</v>
      </c>
      <c r="I34" s="50">
        <v>6.2</v>
      </c>
      <c r="J34" s="50">
        <v>6.2</v>
      </c>
      <c r="K34" s="50">
        <v>6.2</v>
      </c>
      <c r="L34" s="50">
        <v>6.2</v>
      </c>
      <c r="M34" s="50">
        <v>6.2</v>
      </c>
      <c r="N34" s="50">
        <v>6.2</v>
      </c>
      <c r="O34" s="50">
        <v>6.2</v>
      </c>
      <c r="P34" s="50">
        <v>6.2</v>
      </c>
      <c r="Q34" s="50">
        <v>6.2</v>
      </c>
      <c r="R34" s="50">
        <v>6.2</v>
      </c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5">
        <v>14.9</v>
      </c>
      <c r="AH34" s="52">
        <f t="shared" si="2"/>
        <v>6.2</v>
      </c>
      <c r="AI34" s="53">
        <f t="shared" si="3"/>
        <v>6.2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>
        <v>2</v>
      </c>
      <c r="C35" s="50">
        <v>2</v>
      </c>
      <c r="D35" s="50">
        <v>2</v>
      </c>
      <c r="E35" s="50">
        <v>2</v>
      </c>
      <c r="F35" s="50">
        <v>2</v>
      </c>
      <c r="G35" s="50">
        <v>2</v>
      </c>
      <c r="H35" s="50">
        <v>2</v>
      </c>
      <c r="I35" s="50">
        <v>2</v>
      </c>
      <c r="J35" s="50">
        <v>2</v>
      </c>
      <c r="K35" s="50">
        <v>2</v>
      </c>
      <c r="L35" s="50">
        <v>2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5">
        <v>13.6</v>
      </c>
      <c r="AH35" s="52">
        <f t="shared" si="2"/>
        <v>2</v>
      </c>
      <c r="AI35" s="53">
        <f t="shared" si="3"/>
        <v>2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>
        <v>2.9</v>
      </c>
      <c r="C36" s="50">
        <v>2.9</v>
      </c>
      <c r="D36" s="50">
        <v>2.9</v>
      </c>
      <c r="E36" s="50">
        <v>2.9</v>
      </c>
      <c r="F36" s="50">
        <v>2.9</v>
      </c>
      <c r="G36" s="50">
        <v>2.9</v>
      </c>
      <c r="H36" s="50">
        <v>2.9</v>
      </c>
      <c r="I36" s="50">
        <v>2.9</v>
      </c>
      <c r="J36" s="50">
        <v>2.9</v>
      </c>
      <c r="K36" s="50">
        <v>2.9</v>
      </c>
      <c r="L36" s="50">
        <v>2.9</v>
      </c>
      <c r="M36" s="50">
        <v>2.9</v>
      </c>
      <c r="N36" s="50">
        <v>2.9</v>
      </c>
      <c r="O36" s="50">
        <v>2.9</v>
      </c>
      <c r="P36" s="50">
        <v>2.9</v>
      </c>
      <c r="Q36" s="50">
        <v>2.9</v>
      </c>
      <c r="R36" s="50">
        <v>2.9</v>
      </c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5">
        <v>13</v>
      </c>
      <c r="AH36" s="52">
        <f t="shared" si="2"/>
        <v>2.9</v>
      </c>
      <c r="AI36" s="53">
        <f t="shared" si="3"/>
        <v>2.9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>
        <v>3</v>
      </c>
      <c r="C37" s="50">
        <v>3</v>
      </c>
      <c r="D37" s="50">
        <v>3</v>
      </c>
      <c r="E37" s="50">
        <v>3</v>
      </c>
      <c r="F37" s="50">
        <v>3</v>
      </c>
      <c r="G37" s="50">
        <v>3</v>
      </c>
      <c r="H37" s="50">
        <v>3</v>
      </c>
      <c r="I37" s="50">
        <v>3</v>
      </c>
      <c r="J37" s="50">
        <v>3</v>
      </c>
      <c r="K37" s="50">
        <v>3</v>
      </c>
      <c r="L37" s="50">
        <v>3</v>
      </c>
      <c r="M37" s="50">
        <v>3</v>
      </c>
      <c r="N37" s="50">
        <v>3</v>
      </c>
      <c r="O37" s="50">
        <v>3</v>
      </c>
      <c r="P37" s="50">
        <v>3</v>
      </c>
      <c r="Q37" s="50">
        <v>3</v>
      </c>
      <c r="R37" s="50">
        <v>3</v>
      </c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5">
        <v>12</v>
      </c>
      <c r="AH37" s="52">
        <f t="shared" si="2"/>
        <v>3</v>
      </c>
      <c r="AI37" s="53">
        <f t="shared" si="3"/>
        <v>3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>
        <v>5.2</v>
      </c>
      <c r="C38" s="50">
        <v>5.2</v>
      </c>
      <c r="D38" s="50">
        <v>5.2</v>
      </c>
      <c r="E38" s="50">
        <v>5.2</v>
      </c>
      <c r="F38" s="50">
        <v>5.2</v>
      </c>
      <c r="G38" s="50">
        <v>5.2</v>
      </c>
      <c r="H38" s="50">
        <v>5.2</v>
      </c>
      <c r="I38" s="50">
        <v>5.2</v>
      </c>
      <c r="J38" s="50">
        <v>5.2</v>
      </c>
      <c r="K38" s="50">
        <v>5.2</v>
      </c>
      <c r="L38" s="50">
        <v>5.2</v>
      </c>
      <c r="M38" s="50">
        <v>5.2</v>
      </c>
      <c r="N38" s="50">
        <v>5.2</v>
      </c>
      <c r="O38" s="50">
        <v>5.2</v>
      </c>
      <c r="P38" s="50">
        <v>5.2</v>
      </c>
      <c r="Q38" s="50">
        <v>5.2</v>
      </c>
      <c r="R38" s="50">
        <v>5.2</v>
      </c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5">
        <v>12</v>
      </c>
      <c r="AH38" s="52">
        <f t="shared" si="2"/>
        <v>5.2</v>
      </c>
      <c r="AI38" s="53">
        <f t="shared" si="3"/>
        <v>5.2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>
        <v>3</v>
      </c>
      <c r="C39" s="50">
        <v>3</v>
      </c>
      <c r="D39" s="50">
        <v>3</v>
      </c>
      <c r="E39" s="50">
        <v>3</v>
      </c>
      <c r="F39" s="50">
        <v>3</v>
      </c>
      <c r="G39" s="50">
        <v>3</v>
      </c>
      <c r="H39" s="50">
        <v>3</v>
      </c>
      <c r="I39" s="50">
        <v>3</v>
      </c>
      <c r="J39" s="50">
        <v>3</v>
      </c>
      <c r="K39" s="50">
        <v>3</v>
      </c>
      <c r="L39" s="50">
        <v>3</v>
      </c>
      <c r="M39" s="50">
        <v>3</v>
      </c>
      <c r="N39" s="50">
        <v>3</v>
      </c>
      <c r="O39" s="50">
        <v>3</v>
      </c>
      <c r="P39" s="50">
        <v>3</v>
      </c>
      <c r="Q39" s="50">
        <v>3</v>
      </c>
      <c r="R39" s="50">
        <v>3</v>
      </c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5">
        <v>12</v>
      </c>
      <c r="AH39" s="52">
        <f t="shared" si="2"/>
        <v>3</v>
      </c>
      <c r="AI39" s="53">
        <f t="shared" si="3"/>
        <v>3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>
        <v>5</v>
      </c>
      <c r="C40" s="50">
        <v>5</v>
      </c>
      <c r="D40" s="50">
        <v>5</v>
      </c>
      <c r="E40" s="50">
        <v>5</v>
      </c>
      <c r="F40" s="50">
        <v>5</v>
      </c>
      <c r="G40" s="50">
        <v>5</v>
      </c>
      <c r="H40" s="50">
        <v>5</v>
      </c>
      <c r="I40" s="50">
        <v>5</v>
      </c>
      <c r="J40" s="50">
        <v>5</v>
      </c>
      <c r="K40" s="50">
        <v>5</v>
      </c>
      <c r="L40" s="50">
        <v>5</v>
      </c>
      <c r="M40" s="50">
        <v>2</v>
      </c>
      <c r="N40" s="50">
        <v>2</v>
      </c>
      <c r="O40" s="50">
        <v>2</v>
      </c>
      <c r="P40" s="50">
        <v>2</v>
      </c>
      <c r="Q40" s="50">
        <v>2</v>
      </c>
      <c r="R40" s="50">
        <v>2</v>
      </c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7">
        <v>22</v>
      </c>
      <c r="AH40" s="52">
        <f t="shared" si="2"/>
        <v>5</v>
      </c>
      <c r="AI40" s="53">
        <f t="shared" si="3"/>
        <v>2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>
        <v>3.6</v>
      </c>
      <c r="C41" s="50">
        <v>3.6</v>
      </c>
      <c r="D41" s="50">
        <v>3.6</v>
      </c>
      <c r="E41" s="50">
        <v>3.6</v>
      </c>
      <c r="F41" s="50">
        <v>3.6</v>
      </c>
      <c r="G41" s="50">
        <v>3.6</v>
      </c>
      <c r="H41" s="50">
        <v>3.6</v>
      </c>
      <c r="I41" s="50">
        <v>3.6</v>
      </c>
      <c r="J41" s="50">
        <v>3.6</v>
      </c>
      <c r="K41" s="50">
        <v>3.6</v>
      </c>
      <c r="L41" s="50">
        <v>3.6</v>
      </c>
      <c r="M41" s="50">
        <v>3.6</v>
      </c>
      <c r="N41" s="50">
        <v>3.6</v>
      </c>
      <c r="O41" s="50">
        <v>3.6</v>
      </c>
      <c r="P41" s="50">
        <v>3.6</v>
      </c>
      <c r="Q41" s="50">
        <v>3.6</v>
      </c>
      <c r="R41" s="50">
        <v>3.6</v>
      </c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6">
        <v>11.88</v>
      </c>
      <c r="AH41" s="52">
        <f t="shared" si="2"/>
        <v>3.6</v>
      </c>
      <c r="AI41" s="53">
        <f t="shared" si="3"/>
        <v>3.6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>
        <v>5</v>
      </c>
      <c r="C42" s="50">
        <v>5</v>
      </c>
      <c r="D42" s="50">
        <v>5</v>
      </c>
      <c r="E42" s="50">
        <v>5</v>
      </c>
      <c r="F42" s="50">
        <v>5</v>
      </c>
      <c r="G42" s="50">
        <v>5</v>
      </c>
      <c r="H42" s="50">
        <v>5</v>
      </c>
      <c r="I42" s="50">
        <v>5</v>
      </c>
      <c r="J42" s="50">
        <v>5</v>
      </c>
      <c r="K42" s="50">
        <v>5</v>
      </c>
      <c r="L42" s="50">
        <v>5</v>
      </c>
      <c r="M42" s="50">
        <v>5</v>
      </c>
      <c r="N42" s="50">
        <v>5</v>
      </c>
      <c r="O42" s="50">
        <v>5</v>
      </c>
      <c r="P42" s="50">
        <v>5</v>
      </c>
      <c r="Q42" s="50">
        <v>5</v>
      </c>
      <c r="R42" s="50">
        <v>5</v>
      </c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61">
        <v>11</v>
      </c>
      <c r="AH42" s="52">
        <f t="shared" si="2"/>
        <v>5</v>
      </c>
      <c r="AI42" s="53">
        <f t="shared" si="3"/>
        <v>5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>
        <v>4.2</v>
      </c>
      <c r="C43" s="50">
        <v>4.2</v>
      </c>
      <c r="D43" s="50">
        <v>4.2</v>
      </c>
      <c r="E43" s="50">
        <v>4.2</v>
      </c>
      <c r="F43" s="50">
        <v>4.2</v>
      </c>
      <c r="G43" s="50">
        <v>4.2</v>
      </c>
      <c r="H43" s="50">
        <v>4.2</v>
      </c>
      <c r="I43" s="50">
        <v>4.2</v>
      </c>
      <c r="J43" s="50">
        <v>4.2</v>
      </c>
      <c r="K43" s="50">
        <v>4.2</v>
      </c>
      <c r="L43" s="50">
        <v>4.2</v>
      </c>
      <c r="M43" s="50">
        <v>3</v>
      </c>
      <c r="N43" s="50">
        <v>3</v>
      </c>
      <c r="O43" s="50">
        <v>3</v>
      </c>
      <c r="P43" s="50">
        <v>3</v>
      </c>
      <c r="Q43" s="50">
        <v>3</v>
      </c>
      <c r="R43" s="50">
        <v>3</v>
      </c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61">
        <v>10</v>
      </c>
      <c r="AH43" s="52">
        <f t="shared" si="2"/>
        <v>4.2</v>
      </c>
      <c r="AI43" s="53">
        <f t="shared" si="3"/>
        <v>3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>
        <v>3</v>
      </c>
      <c r="C44" s="50">
        <v>3</v>
      </c>
      <c r="D44" s="50">
        <v>3</v>
      </c>
      <c r="E44" s="50">
        <v>3</v>
      </c>
      <c r="F44" s="50">
        <v>3</v>
      </c>
      <c r="G44" s="50">
        <v>3</v>
      </c>
      <c r="H44" s="50">
        <v>3</v>
      </c>
      <c r="I44" s="50">
        <v>3</v>
      </c>
      <c r="J44" s="50">
        <v>3</v>
      </c>
      <c r="K44" s="50">
        <v>3</v>
      </c>
      <c r="L44" s="50">
        <v>3</v>
      </c>
      <c r="M44" s="50">
        <v>3</v>
      </c>
      <c r="N44" s="50">
        <v>3</v>
      </c>
      <c r="O44" s="50">
        <v>3</v>
      </c>
      <c r="P44" s="50">
        <v>3</v>
      </c>
      <c r="Q44" s="50">
        <v>3</v>
      </c>
      <c r="R44" s="50">
        <v>3</v>
      </c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61">
        <v>10</v>
      </c>
      <c r="AH44" s="52">
        <f t="shared" si="2"/>
        <v>3</v>
      </c>
      <c r="AI44" s="53">
        <f t="shared" si="3"/>
        <v>3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>
        <v>0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50">
        <v>0</v>
      </c>
      <c r="P45" s="50">
        <v>0</v>
      </c>
      <c r="Q45" s="50">
        <v>0</v>
      </c>
      <c r="R45" s="50">
        <v>0</v>
      </c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>
        <v>120</v>
      </c>
      <c r="C46" s="63">
        <v>120</v>
      </c>
      <c r="D46" s="63">
        <v>120</v>
      </c>
      <c r="E46" s="63">
        <v>120</v>
      </c>
      <c r="F46" s="63">
        <v>120</v>
      </c>
      <c r="G46" s="63">
        <v>120</v>
      </c>
      <c r="H46" s="63">
        <v>120</v>
      </c>
      <c r="I46" s="63">
        <v>120</v>
      </c>
      <c r="J46" s="63">
        <v>120</v>
      </c>
      <c r="K46" s="63">
        <v>120</v>
      </c>
      <c r="L46" s="63">
        <v>120</v>
      </c>
      <c r="M46" s="63">
        <v>120</v>
      </c>
      <c r="N46" s="63">
        <v>120</v>
      </c>
      <c r="O46" s="63">
        <v>120</v>
      </c>
      <c r="P46" s="63">
        <v>120</v>
      </c>
      <c r="Q46" s="63">
        <v>120</v>
      </c>
      <c r="R46" s="63">
        <v>120</v>
      </c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1">
        <v>85</v>
      </c>
      <c r="AH46" s="52">
        <f t="shared" si="2"/>
        <v>120</v>
      </c>
      <c r="AI46" s="53">
        <f t="shared" si="3"/>
        <v>120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361.4</v>
      </c>
      <c r="C48" s="67">
        <f t="shared" si="4"/>
        <v>361.4</v>
      </c>
      <c r="D48" s="67">
        <f t="shared" si="4"/>
        <v>361.4</v>
      </c>
      <c r="E48" s="67">
        <f t="shared" si="4"/>
        <v>361.4</v>
      </c>
      <c r="F48" s="67">
        <f t="shared" si="4"/>
        <v>361.4</v>
      </c>
      <c r="G48" s="67">
        <f t="shared" si="4"/>
        <v>361.4</v>
      </c>
      <c r="H48" s="67">
        <f t="shared" si="4"/>
        <v>361.4</v>
      </c>
      <c r="I48" s="67">
        <f t="shared" si="4"/>
        <v>361.4</v>
      </c>
      <c r="J48" s="67">
        <f t="shared" si="4"/>
        <v>361.4</v>
      </c>
      <c r="K48" s="67">
        <f t="shared" si="4"/>
        <v>361.4</v>
      </c>
      <c r="L48" s="67">
        <f t="shared" si="4"/>
        <v>361.4</v>
      </c>
      <c r="M48" s="67">
        <f t="shared" si="4"/>
        <v>356.19999999999993</v>
      </c>
      <c r="N48" s="67">
        <f t="shared" si="4"/>
        <v>359.19999999999993</v>
      </c>
      <c r="O48" s="67">
        <f t="shared" si="4"/>
        <v>359.19999999999993</v>
      </c>
      <c r="P48" s="67">
        <f t="shared" si="4"/>
        <v>359.79999999999995</v>
      </c>
      <c r="Q48" s="67">
        <f t="shared" si="4"/>
        <v>351.9</v>
      </c>
      <c r="R48" s="67">
        <f t="shared" ref="R48" si="5">SUM(R12:R46)</f>
        <v>349.79999999999995</v>
      </c>
      <c r="S48" s="67">
        <f t="shared" si="4"/>
        <v>0</v>
      </c>
      <c r="T48" s="67">
        <f t="shared" si="4"/>
        <v>0</v>
      </c>
      <c r="U48" s="67">
        <f t="shared" si="4"/>
        <v>0</v>
      </c>
      <c r="V48" s="67">
        <f t="shared" si="4"/>
        <v>0</v>
      </c>
      <c r="W48" s="67">
        <f t="shared" si="4"/>
        <v>0</v>
      </c>
      <c r="X48" s="67">
        <f t="shared" si="4"/>
        <v>0</v>
      </c>
      <c r="Y48" s="67">
        <f t="shared" si="4"/>
        <v>0</v>
      </c>
      <c r="Z48" s="67">
        <f t="shared" si="4"/>
        <v>0</v>
      </c>
      <c r="AA48" s="67">
        <f t="shared" si="4"/>
        <v>0</v>
      </c>
      <c r="AB48" s="67">
        <f t="shared" si="4"/>
        <v>0</v>
      </c>
      <c r="AC48" s="67">
        <f t="shared" si="4"/>
        <v>0</v>
      </c>
      <c r="AD48" s="67">
        <f t="shared" si="4"/>
        <v>0</v>
      </c>
      <c r="AE48" s="67">
        <f t="shared" si="4"/>
        <v>0</v>
      </c>
      <c r="AF48" s="67">
        <f t="shared" si="4"/>
        <v>0</v>
      </c>
      <c r="AG48" s="68">
        <f t="shared" si="4"/>
        <v>875.68</v>
      </c>
      <c r="AH48" s="52">
        <f t="shared" si="2"/>
        <v>361.4</v>
      </c>
      <c r="AI48" s="53">
        <f t="shared" si="3"/>
        <v>0</v>
      </c>
      <c r="AK48" s="54"/>
    </row>
    <row r="49" spans="1:41" x14ac:dyDescent="0.25">
      <c r="A49" s="69" t="s">
        <v>53</v>
      </c>
      <c r="B49" s="50">
        <v>145</v>
      </c>
      <c r="C49" s="50">
        <v>145</v>
      </c>
      <c r="D49" s="50">
        <v>130</v>
      </c>
      <c r="E49" s="50">
        <v>130</v>
      </c>
      <c r="F49" s="50">
        <v>130</v>
      </c>
      <c r="G49" s="50">
        <v>130</v>
      </c>
      <c r="H49" s="50">
        <v>130</v>
      </c>
      <c r="I49" s="50">
        <v>100</v>
      </c>
      <c r="J49" s="50">
        <v>40</v>
      </c>
      <c r="K49" s="50">
        <v>0</v>
      </c>
      <c r="L49" s="50">
        <v>0</v>
      </c>
      <c r="M49" s="70">
        <v>25</v>
      </c>
      <c r="N49" s="70">
        <v>50</v>
      </c>
      <c r="O49" s="50">
        <v>30</v>
      </c>
      <c r="P49" s="50">
        <v>20</v>
      </c>
      <c r="Q49" s="50">
        <v>20</v>
      </c>
      <c r="R49" s="50">
        <v>0</v>
      </c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6">
        <v>456</v>
      </c>
      <c r="AH49" s="52">
        <f t="shared" si="2"/>
        <v>145</v>
      </c>
      <c r="AI49" s="53">
        <f t="shared" si="3"/>
        <v>0</v>
      </c>
      <c r="AK49" s="54"/>
    </row>
    <row r="50" spans="1:41" x14ac:dyDescent="0.25">
      <c r="A50" s="71" t="s">
        <v>54</v>
      </c>
      <c r="B50" s="72">
        <v>25</v>
      </c>
      <c r="C50" s="72">
        <v>25</v>
      </c>
      <c r="D50" s="72">
        <v>25</v>
      </c>
      <c r="E50" s="72">
        <v>25</v>
      </c>
      <c r="F50" s="72">
        <v>25</v>
      </c>
      <c r="G50" s="72">
        <v>25</v>
      </c>
      <c r="H50" s="72">
        <v>25</v>
      </c>
      <c r="I50" s="72">
        <v>25</v>
      </c>
      <c r="J50" s="72">
        <v>25</v>
      </c>
      <c r="K50" s="72">
        <v>25</v>
      </c>
      <c r="L50" s="72">
        <v>25</v>
      </c>
      <c r="M50" s="72">
        <v>25</v>
      </c>
      <c r="N50" s="72">
        <v>25</v>
      </c>
      <c r="O50" s="72">
        <v>25</v>
      </c>
      <c r="P50" s="72">
        <v>25</v>
      </c>
      <c r="Q50" s="72">
        <v>25</v>
      </c>
      <c r="R50" s="72">
        <v>25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61">
        <v>60</v>
      </c>
      <c r="AH50" s="52">
        <f t="shared" si="2"/>
        <v>25</v>
      </c>
      <c r="AI50" s="53">
        <f t="shared" si="3"/>
        <v>25</v>
      </c>
      <c r="AK50" s="54"/>
    </row>
    <row r="51" spans="1:41" ht="15.75" thickBot="1" x14ac:dyDescent="0.3">
      <c r="A51" s="73" t="s">
        <v>55</v>
      </c>
      <c r="B51" s="74">
        <v>10.6</v>
      </c>
      <c r="C51" s="74">
        <v>10.6</v>
      </c>
      <c r="D51" s="74">
        <v>10.6</v>
      </c>
      <c r="E51" s="74">
        <v>10.6</v>
      </c>
      <c r="F51" s="74">
        <v>10.6</v>
      </c>
      <c r="G51" s="74">
        <v>10.6</v>
      </c>
      <c r="H51" s="74">
        <v>10.6</v>
      </c>
      <c r="I51" s="74">
        <v>10.6</v>
      </c>
      <c r="J51" s="74">
        <v>10.6</v>
      </c>
      <c r="K51" s="74">
        <v>10.6</v>
      </c>
      <c r="L51" s="74">
        <v>10.6</v>
      </c>
      <c r="M51" s="74">
        <v>10.6</v>
      </c>
      <c r="N51" s="74">
        <v>12.2</v>
      </c>
      <c r="O51" s="74">
        <v>10</v>
      </c>
      <c r="P51" s="74">
        <v>10.6</v>
      </c>
      <c r="Q51" s="74">
        <v>10.6</v>
      </c>
      <c r="R51" s="74">
        <v>10.6</v>
      </c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5">
        <v>22.1</v>
      </c>
      <c r="AH51" s="52">
        <f t="shared" si="2"/>
        <v>12.2</v>
      </c>
      <c r="AI51" s="53">
        <f t="shared" si="3"/>
        <v>10</v>
      </c>
      <c r="AK51" s="54"/>
    </row>
    <row r="52" spans="1:41" ht="15.75" thickBot="1" x14ac:dyDescent="0.3">
      <c r="A52" s="76" t="s">
        <v>56</v>
      </c>
      <c r="B52" s="67">
        <f t="shared" ref="B52:AG52" si="6">SUM(B49:B51)</f>
        <v>180.6</v>
      </c>
      <c r="C52" s="67">
        <f t="shared" si="6"/>
        <v>180.6</v>
      </c>
      <c r="D52" s="67">
        <f t="shared" si="6"/>
        <v>165.6</v>
      </c>
      <c r="E52" s="67">
        <f t="shared" si="6"/>
        <v>165.6</v>
      </c>
      <c r="F52" s="67">
        <f t="shared" si="6"/>
        <v>165.6</v>
      </c>
      <c r="G52" s="67">
        <f t="shared" si="6"/>
        <v>165.6</v>
      </c>
      <c r="H52" s="67">
        <f t="shared" si="6"/>
        <v>165.6</v>
      </c>
      <c r="I52" s="67">
        <f t="shared" si="6"/>
        <v>135.6</v>
      </c>
      <c r="J52" s="67">
        <f t="shared" si="6"/>
        <v>75.599999999999994</v>
      </c>
      <c r="K52" s="67">
        <f t="shared" si="6"/>
        <v>35.6</v>
      </c>
      <c r="L52" s="67">
        <f t="shared" si="6"/>
        <v>35.6</v>
      </c>
      <c r="M52" s="67">
        <f t="shared" si="6"/>
        <v>60.6</v>
      </c>
      <c r="N52" s="67">
        <f t="shared" si="6"/>
        <v>87.2</v>
      </c>
      <c r="O52" s="67">
        <f t="shared" si="6"/>
        <v>65</v>
      </c>
      <c r="P52" s="67">
        <f t="shared" si="6"/>
        <v>55.6</v>
      </c>
      <c r="Q52" s="67">
        <f t="shared" si="6"/>
        <v>55.6</v>
      </c>
      <c r="R52" s="67">
        <f t="shared" si="6"/>
        <v>35.6</v>
      </c>
      <c r="S52" s="67">
        <f t="shared" si="6"/>
        <v>0</v>
      </c>
      <c r="T52" s="67">
        <f t="shared" si="6"/>
        <v>0</v>
      </c>
      <c r="U52" s="67">
        <f t="shared" si="6"/>
        <v>0</v>
      </c>
      <c r="V52" s="67">
        <f t="shared" si="6"/>
        <v>0</v>
      </c>
      <c r="W52" s="67">
        <f t="shared" si="6"/>
        <v>0</v>
      </c>
      <c r="X52" s="67">
        <f t="shared" si="6"/>
        <v>0</v>
      </c>
      <c r="Y52" s="67">
        <f t="shared" si="6"/>
        <v>0</v>
      </c>
      <c r="Z52" s="67">
        <f t="shared" si="6"/>
        <v>0</v>
      </c>
      <c r="AA52" s="67">
        <f t="shared" si="6"/>
        <v>0</v>
      </c>
      <c r="AB52" s="67">
        <f t="shared" si="6"/>
        <v>0</v>
      </c>
      <c r="AC52" s="67">
        <f t="shared" si="6"/>
        <v>0</v>
      </c>
      <c r="AD52" s="67">
        <f t="shared" si="6"/>
        <v>0</v>
      </c>
      <c r="AE52" s="67">
        <f t="shared" si="6"/>
        <v>0</v>
      </c>
      <c r="AF52" s="67">
        <f t="shared" si="6"/>
        <v>0</v>
      </c>
      <c r="AG52" s="68">
        <f t="shared" si="6"/>
        <v>538.1</v>
      </c>
      <c r="AH52" s="52">
        <f t="shared" si="2"/>
        <v>180.6</v>
      </c>
      <c r="AI52" s="53">
        <f t="shared" si="3"/>
        <v>0</v>
      </c>
      <c r="AK52" s="54"/>
    </row>
    <row r="53" spans="1:41" x14ac:dyDescent="0.25">
      <c r="A53" s="49" t="s">
        <v>57</v>
      </c>
      <c r="B53" s="50">
        <v>61</v>
      </c>
      <c r="C53" s="50">
        <v>45</v>
      </c>
      <c r="D53" s="50">
        <v>30</v>
      </c>
      <c r="E53" s="50">
        <v>25.4</v>
      </c>
      <c r="F53" s="50">
        <v>25.5</v>
      </c>
      <c r="G53" s="50">
        <v>30</v>
      </c>
      <c r="H53" s="50">
        <v>47.3</v>
      </c>
      <c r="I53" s="50">
        <v>30.5</v>
      </c>
      <c r="J53" s="50">
        <v>26.8</v>
      </c>
      <c r="K53" s="50">
        <v>26.6</v>
      </c>
      <c r="L53" s="50">
        <v>26.6</v>
      </c>
      <c r="M53" s="50">
        <v>26.6</v>
      </c>
      <c r="N53" s="50">
        <v>26.5</v>
      </c>
      <c r="O53" s="50">
        <v>26.6</v>
      </c>
      <c r="P53" s="50">
        <v>57.2</v>
      </c>
      <c r="Q53" s="50">
        <v>70.900000000000006</v>
      </c>
      <c r="R53" s="50">
        <v>71.099999999999994</v>
      </c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6">
        <v>144</v>
      </c>
      <c r="AH53" s="52">
        <f t="shared" si="2"/>
        <v>71.099999999999994</v>
      </c>
      <c r="AI53" s="53">
        <f t="shared" si="3"/>
        <v>25.4</v>
      </c>
      <c r="AK53" s="54"/>
    </row>
    <row r="54" spans="1:41" x14ac:dyDescent="0.25">
      <c r="A54" s="60" t="s">
        <v>58</v>
      </c>
      <c r="B54" s="72">
        <v>37</v>
      </c>
      <c r="C54" s="72">
        <v>35</v>
      </c>
      <c r="D54" s="72">
        <v>35</v>
      </c>
      <c r="E54" s="72">
        <v>0</v>
      </c>
      <c r="F54" s="72">
        <v>0</v>
      </c>
      <c r="G54" s="72">
        <v>0</v>
      </c>
      <c r="H54" s="72">
        <v>30</v>
      </c>
      <c r="I54" s="72">
        <v>29.8</v>
      </c>
      <c r="J54" s="72">
        <v>21.9</v>
      </c>
      <c r="K54" s="72">
        <v>22.1</v>
      </c>
      <c r="L54" s="72">
        <v>22.1</v>
      </c>
      <c r="M54" s="72">
        <v>35.200000000000003</v>
      </c>
      <c r="N54" s="72">
        <v>34.700000000000003</v>
      </c>
      <c r="O54" s="72">
        <v>23.1</v>
      </c>
      <c r="P54" s="72">
        <v>34.9</v>
      </c>
      <c r="Q54" s="72">
        <v>29.8</v>
      </c>
      <c r="R54" s="50">
        <v>29.8</v>
      </c>
      <c r="S54" s="50"/>
      <c r="T54" s="50"/>
      <c r="U54" s="50"/>
      <c r="V54" s="50"/>
      <c r="W54" s="50"/>
      <c r="X54" s="50"/>
      <c r="Y54" s="50"/>
      <c r="Z54" s="50"/>
      <c r="AA54" s="50"/>
      <c r="AB54" s="72"/>
      <c r="AC54" s="72"/>
      <c r="AD54" s="72"/>
      <c r="AE54" s="72"/>
      <c r="AF54" s="72"/>
      <c r="AG54" s="61">
        <v>70</v>
      </c>
      <c r="AH54" s="52">
        <f t="shared" si="2"/>
        <v>37</v>
      </c>
      <c r="AI54" s="53">
        <f t="shared" si="3"/>
        <v>0</v>
      </c>
      <c r="AK54" s="54"/>
    </row>
    <row r="55" spans="1:41" x14ac:dyDescent="0.25">
      <c r="A55" s="60" t="s">
        <v>59</v>
      </c>
      <c r="B55" s="72">
        <v>44</v>
      </c>
      <c r="C55" s="72">
        <v>32</v>
      </c>
      <c r="D55" s="72">
        <v>32</v>
      </c>
      <c r="E55" s="72">
        <v>32.4</v>
      </c>
      <c r="F55" s="72">
        <v>0</v>
      </c>
      <c r="G55" s="72">
        <v>23</v>
      </c>
      <c r="H55" s="72">
        <v>22.6</v>
      </c>
      <c r="I55" s="72">
        <v>35.200000000000003</v>
      </c>
      <c r="J55" s="72">
        <v>32.299999999999997</v>
      </c>
      <c r="K55" s="72">
        <v>32.6</v>
      </c>
      <c r="L55" s="72">
        <v>32.6</v>
      </c>
      <c r="M55" s="72">
        <v>32.6</v>
      </c>
      <c r="N55" s="72">
        <v>33.299999999999997</v>
      </c>
      <c r="O55" s="72">
        <v>34.1</v>
      </c>
      <c r="P55" s="72">
        <v>47.4</v>
      </c>
      <c r="Q55" s="72">
        <v>45.7</v>
      </c>
      <c r="R55" s="50">
        <v>33.700000000000003</v>
      </c>
      <c r="S55" s="50"/>
      <c r="T55" s="50"/>
      <c r="U55" s="50"/>
      <c r="V55" s="50"/>
      <c r="W55" s="50"/>
      <c r="X55" s="50"/>
      <c r="Y55" s="50"/>
      <c r="Z55" s="50"/>
      <c r="AA55" s="50"/>
      <c r="AB55" s="72"/>
      <c r="AC55" s="72"/>
      <c r="AD55" s="72"/>
      <c r="AE55" s="72"/>
      <c r="AF55" s="72"/>
      <c r="AG55" s="61">
        <v>69</v>
      </c>
      <c r="AH55" s="52">
        <f t="shared" si="2"/>
        <v>47.4</v>
      </c>
      <c r="AI55" s="53">
        <f t="shared" si="3"/>
        <v>0</v>
      </c>
      <c r="AK55" s="54"/>
    </row>
    <row r="56" spans="1:41" x14ac:dyDescent="0.25">
      <c r="A56" s="60" t="s">
        <v>60</v>
      </c>
      <c r="B56" s="72">
        <v>36.299999999999997</v>
      </c>
      <c r="C56" s="72">
        <v>36.299999999999997</v>
      </c>
      <c r="D56" s="72">
        <v>38</v>
      </c>
      <c r="E56" s="72">
        <v>38</v>
      </c>
      <c r="F56" s="63">
        <v>39.799999999999997</v>
      </c>
      <c r="G56" s="63">
        <v>39.799999999999997</v>
      </c>
      <c r="H56" s="63">
        <v>39.799999999999997</v>
      </c>
      <c r="I56" s="63">
        <v>39.799999999999997</v>
      </c>
      <c r="J56" s="63">
        <v>39.799999999999997</v>
      </c>
      <c r="K56" s="63">
        <v>39.799999999999997</v>
      </c>
      <c r="L56" s="63">
        <v>39.799999999999997</v>
      </c>
      <c r="M56" s="63">
        <v>39.799999999999997</v>
      </c>
      <c r="N56" s="72">
        <v>38.799999999999997</v>
      </c>
      <c r="O56" s="72">
        <v>38.799999999999997</v>
      </c>
      <c r="P56" s="72">
        <v>38.799999999999997</v>
      </c>
      <c r="Q56" s="72">
        <v>37</v>
      </c>
      <c r="R56" s="50">
        <v>35</v>
      </c>
      <c r="S56" s="50"/>
      <c r="T56" s="50"/>
      <c r="U56" s="50"/>
      <c r="V56" s="50"/>
      <c r="W56" s="50"/>
      <c r="X56" s="50"/>
      <c r="Y56" s="50"/>
      <c r="Z56" s="50"/>
      <c r="AA56" s="50"/>
      <c r="AB56" s="72"/>
      <c r="AC56" s="72"/>
      <c r="AD56" s="72"/>
      <c r="AE56" s="72"/>
      <c r="AF56" s="72"/>
      <c r="AG56" s="61">
        <v>60</v>
      </c>
      <c r="AH56" s="52">
        <f t="shared" si="2"/>
        <v>39.799999999999997</v>
      </c>
      <c r="AI56" s="53">
        <f t="shared" si="3"/>
        <v>35</v>
      </c>
      <c r="AK56" s="54"/>
    </row>
    <row r="57" spans="1:41" x14ac:dyDescent="0.25">
      <c r="A57" s="60" t="s">
        <v>61</v>
      </c>
      <c r="B57" s="72">
        <v>10</v>
      </c>
      <c r="C57" s="72">
        <v>0</v>
      </c>
      <c r="D57" s="72">
        <v>0</v>
      </c>
      <c r="E57" s="72">
        <v>0</v>
      </c>
      <c r="F57" s="72">
        <v>0</v>
      </c>
      <c r="G57" s="72">
        <v>0</v>
      </c>
      <c r="H57" s="72">
        <v>0</v>
      </c>
      <c r="I57" s="72">
        <v>9.6999999999999993</v>
      </c>
      <c r="J57" s="72">
        <v>10.1</v>
      </c>
      <c r="K57" s="72">
        <v>10.1</v>
      </c>
      <c r="L57" s="72">
        <v>10.1</v>
      </c>
      <c r="M57" s="72">
        <v>10.1</v>
      </c>
      <c r="N57" s="72">
        <v>10.199999999999999</v>
      </c>
      <c r="O57" s="72">
        <v>10.1</v>
      </c>
      <c r="P57" s="72">
        <v>10.199999999999999</v>
      </c>
      <c r="Q57" s="72">
        <v>10.1</v>
      </c>
      <c r="R57" s="50">
        <v>10.7</v>
      </c>
      <c r="S57" s="50"/>
      <c r="T57" s="50"/>
      <c r="U57" s="50"/>
      <c r="V57" s="50"/>
      <c r="W57" s="50"/>
      <c r="X57" s="50"/>
      <c r="Y57" s="50"/>
      <c r="Z57" s="50"/>
      <c r="AA57" s="50"/>
      <c r="AB57" s="72"/>
      <c r="AC57" s="72"/>
      <c r="AD57" s="72"/>
      <c r="AE57" s="72"/>
      <c r="AF57" s="72"/>
      <c r="AG57" s="61">
        <v>30</v>
      </c>
      <c r="AH57" s="52">
        <f t="shared" si="2"/>
        <v>10.7</v>
      </c>
      <c r="AI57" s="53">
        <f t="shared" si="3"/>
        <v>0</v>
      </c>
      <c r="AK57" s="54"/>
    </row>
    <row r="58" spans="1:41" x14ac:dyDescent="0.25">
      <c r="A58" s="60" t="s">
        <v>62</v>
      </c>
      <c r="B58" s="72">
        <v>0</v>
      </c>
      <c r="C58" s="72">
        <v>0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1.1000000000000001</v>
      </c>
      <c r="K58" s="72">
        <v>1.1000000000000001</v>
      </c>
      <c r="L58" s="72">
        <v>1.1000000000000001</v>
      </c>
      <c r="M58" s="72">
        <v>1.1000000000000001</v>
      </c>
      <c r="N58" s="72">
        <v>7.7</v>
      </c>
      <c r="O58" s="72">
        <v>11.5</v>
      </c>
      <c r="P58" s="72">
        <v>12.9</v>
      </c>
      <c r="Q58" s="72">
        <v>11</v>
      </c>
      <c r="R58" s="50">
        <v>8.3000000000000007</v>
      </c>
      <c r="S58" s="50"/>
      <c r="T58" s="50"/>
      <c r="U58" s="50"/>
      <c r="V58" s="50"/>
      <c r="W58" s="50"/>
      <c r="X58" s="50"/>
      <c r="Y58" s="50"/>
      <c r="Z58" s="50"/>
      <c r="AA58" s="50"/>
      <c r="AB58" s="72"/>
      <c r="AC58" s="72"/>
      <c r="AD58" s="72"/>
      <c r="AE58" s="72"/>
      <c r="AF58" s="72"/>
      <c r="AG58" s="61">
        <v>25</v>
      </c>
      <c r="AH58" s="52">
        <f t="shared" si="2"/>
        <v>12.9</v>
      </c>
      <c r="AI58" s="53">
        <f t="shared" si="3"/>
        <v>0</v>
      </c>
      <c r="AK58" s="54"/>
    </row>
    <row r="59" spans="1:41" x14ac:dyDescent="0.25">
      <c r="A59" s="60" t="s">
        <v>63</v>
      </c>
      <c r="B59" s="72">
        <v>15</v>
      </c>
      <c r="C59" s="72">
        <v>15</v>
      </c>
      <c r="D59" s="72">
        <v>12</v>
      </c>
      <c r="E59" s="72">
        <v>12</v>
      </c>
      <c r="F59" s="72">
        <v>12</v>
      </c>
      <c r="G59" s="72">
        <v>12</v>
      </c>
      <c r="H59" s="72">
        <v>12</v>
      </c>
      <c r="I59" s="72">
        <v>12</v>
      </c>
      <c r="J59" s="72">
        <v>12</v>
      </c>
      <c r="K59" s="72">
        <v>12</v>
      </c>
      <c r="L59" s="72">
        <v>12</v>
      </c>
      <c r="M59" s="72">
        <v>15</v>
      </c>
      <c r="N59" s="72">
        <v>15</v>
      </c>
      <c r="O59" s="72">
        <v>15</v>
      </c>
      <c r="P59" s="72">
        <v>15</v>
      </c>
      <c r="Q59" s="72">
        <v>15</v>
      </c>
      <c r="R59" s="72">
        <v>12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61">
        <v>24</v>
      </c>
      <c r="AH59" s="52">
        <f t="shared" si="2"/>
        <v>15</v>
      </c>
      <c r="AI59" s="53">
        <f t="shared" si="3"/>
        <v>12</v>
      </c>
      <c r="AK59" s="54"/>
    </row>
    <row r="60" spans="1:41" x14ac:dyDescent="0.25">
      <c r="A60" s="60" t="s">
        <v>64</v>
      </c>
      <c r="B60" s="72">
        <v>0</v>
      </c>
      <c r="C60" s="72">
        <v>0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>
        <v>7.5</v>
      </c>
      <c r="C61" s="72">
        <v>7.5</v>
      </c>
      <c r="D61" s="72">
        <v>7.8</v>
      </c>
      <c r="E61" s="72">
        <v>7.8</v>
      </c>
      <c r="F61" s="72">
        <v>7.8</v>
      </c>
      <c r="G61" s="72">
        <v>7.8</v>
      </c>
      <c r="H61" s="72">
        <v>7.8</v>
      </c>
      <c r="I61" s="72">
        <v>7.8</v>
      </c>
      <c r="J61" s="72">
        <v>7.8</v>
      </c>
      <c r="K61" s="72">
        <v>7.8</v>
      </c>
      <c r="L61" s="72">
        <v>7.8</v>
      </c>
      <c r="M61" s="72">
        <v>11.4</v>
      </c>
      <c r="N61" s="72">
        <v>11.6</v>
      </c>
      <c r="O61" s="72">
        <v>11.9</v>
      </c>
      <c r="P61" s="72">
        <v>11.9</v>
      </c>
      <c r="Q61" s="72">
        <v>11.7</v>
      </c>
      <c r="R61" s="72">
        <v>7.7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61">
        <v>14.1</v>
      </c>
      <c r="AH61" s="52">
        <f t="shared" si="2"/>
        <v>11.9</v>
      </c>
      <c r="AI61" s="53">
        <f t="shared" si="3"/>
        <v>7.5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>
        <v>4.3</v>
      </c>
      <c r="C62" s="72">
        <v>4.3</v>
      </c>
      <c r="D62" s="72">
        <v>4.3</v>
      </c>
      <c r="E62" s="72">
        <v>4.3</v>
      </c>
      <c r="F62" s="72">
        <v>4.3</v>
      </c>
      <c r="G62" s="72">
        <v>4.3</v>
      </c>
      <c r="H62" s="72">
        <v>4.3</v>
      </c>
      <c r="I62" s="72">
        <v>4.3</v>
      </c>
      <c r="J62" s="72">
        <v>4.3</v>
      </c>
      <c r="K62" s="72">
        <v>4.3</v>
      </c>
      <c r="L62" s="72">
        <v>4.3</v>
      </c>
      <c r="M62" s="72">
        <v>4.3</v>
      </c>
      <c r="N62" s="72">
        <v>4.3</v>
      </c>
      <c r="O62" s="72">
        <v>4.3</v>
      </c>
      <c r="P62" s="72">
        <v>4.5</v>
      </c>
      <c r="Q62" s="72">
        <v>5.8</v>
      </c>
      <c r="R62" s="72">
        <v>4.9000000000000004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61">
        <v>14</v>
      </c>
      <c r="AH62" s="52">
        <f t="shared" si="2"/>
        <v>5.8</v>
      </c>
      <c r="AI62" s="53">
        <f t="shared" si="3"/>
        <v>4.3</v>
      </c>
      <c r="AK62" s="54"/>
    </row>
    <row r="63" spans="1:41" x14ac:dyDescent="0.25">
      <c r="A63" s="60" t="s">
        <v>67</v>
      </c>
      <c r="B63" s="72">
        <v>3.1</v>
      </c>
      <c r="C63" s="72">
        <v>3.1</v>
      </c>
      <c r="D63" s="72">
        <v>3.1</v>
      </c>
      <c r="E63" s="72">
        <v>3.1</v>
      </c>
      <c r="F63" s="72">
        <v>3.1</v>
      </c>
      <c r="G63" s="72">
        <v>3.1</v>
      </c>
      <c r="H63" s="72">
        <v>3.1</v>
      </c>
      <c r="I63" s="72">
        <v>3.1</v>
      </c>
      <c r="J63" s="72">
        <v>3.1</v>
      </c>
      <c r="K63" s="72">
        <v>3.1</v>
      </c>
      <c r="L63" s="72">
        <v>3.1</v>
      </c>
      <c r="M63" s="72">
        <v>3.1</v>
      </c>
      <c r="N63" s="72">
        <v>3.5</v>
      </c>
      <c r="O63" s="72">
        <v>3.5</v>
      </c>
      <c r="P63" s="72">
        <v>3.5</v>
      </c>
      <c r="Q63" s="72">
        <v>3.5</v>
      </c>
      <c r="R63" s="72">
        <v>3.5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61">
        <v>10.050000000000001</v>
      </c>
      <c r="AH63" s="52">
        <f t="shared" si="2"/>
        <v>3.5</v>
      </c>
      <c r="AI63" s="53">
        <f t="shared" si="3"/>
        <v>3.1</v>
      </c>
      <c r="AK63" s="54"/>
    </row>
    <row r="64" spans="1:41" x14ac:dyDescent="0.25">
      <c r="A64" s="60" t="s">
        <v>68</v>
      </c>
      <c r="B64" s="72">
        <v>2.6</v>
      </c>
      <c r="C64" s="72">
        <v>2.6</v>
      </c>
      <c r="D64" s="72">
        <v>2.6</v>
      </c>
      <c r="E64" s="72">
        <v>2.6</v>
      </c>
      <c r="F64" s="72">
        <v>2.6</v>
      </c>
      <c r="G64" s="72">
        <v>2.6</v>
      </c>
      <c r="H64" s="72">
        <v>2.6</v>
      </c>
      <c r="I64" s="72">
        <v>2.6</v>
      </c>
      <c r="J64" s="72">
        <v>2.6</v>
      </c>
      <c r="K64" s="72">
        <v>2.6</v>
      </c>
      <c r="L64" s="72">
        <v>2.6</v>
      </c>
      <c r="M64" s="72">
        <v>2.6</v>
      </c>
      <c r="N64" s="72">
        <v>2.6</v>
      </c>
      <c r="O64" s="72">
        <v>2.6</v>
      </c>
      <c r="P64" s="72">
        <v>2.6</v>
      </c>
      <c r="Q64" s="72">
        <v>2.6</v>
      </c>
      <c r="R64" s="72">
        <v>2.6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61">
        <v>6.2</v>
      </c>
      <c r="AH64" s="52">
        <f t="shared" si="2"/>
        <v>2.6</v>
      </c>
      <c r="AI64" s="53">
        <f t="shared" si="3"/>
        <v>2.6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7">SUM(B53:B65)</f>
        <v>224.34</v>
      </c>
      <c r="C66" s="67">
        <f t="shared" si="7"/>
        <v>184.34</v>
      </c>
      <c r="D66" s="67">
        <f t="shared" si="7"/>
        <v>168.34</v>
      </c>
      <c r="E66" s="67">
        <f t="shared" si="7"/>
        <v>129.13999999999999</v>
      </c>
      <c r="F66" s="67">
        <f t="shared" si="7"/>
        <v>98.639999999999986</v>
      </c>
      <c r="G66" s="67">
        <f t="shared" si="7"/>
        <v>126.13999999999999</v>
      </c>
      <c r="H66" s="67">
        <f t="shared" si="7"/>
        <v>173.04</v>
      </c>
      <c r="I66" s="67">
        <f t="shared" si="7"/>
        <v>178.34</v>
      </c>
      <c r="J66" s="67">
        <f t="shared" si="7"/>
        <v>165.34</v>
      </c>
      <c r="K66" s="67">
        <f t="shared" si="7"/>
        <v>165.64000000000001</v>
      </c>
      <c r="L66" s="67">
        <f t="shared" si="7"/>
        <v>165.64000000000001</v>
      </c>
      <c r="M66" s="67">
        <f t="shared" si="7"/>
        <v>185.33999999999997</v>
      </c>
      <c r="N66" s="67">
        <f t="shared" si="7"/>
        <v>191.73999999999998</v>
      </c>
      <c r="O66" s="67">
        <f t="shared" si="7"/>
        <v>185.04000000000002</v>
      </c>
      <c r="P66" s="67">
        <f t="shared" si="7"/>
        <v>242.44</v>
      </c>
      <c r="Q66" s="67">
        <f t="shared" si="7"/>
        <v>246.64</v>
      </c>
      <c r="R66" s="67">
        <f t="shared" si="7"/>
        <v>222.83999999999997</v>
      </c>
      <c r="S66" s="67">
        <f t="shared" si="7"/>
        <v>3.54</v>
      </c>
      <c r="T66" s="67">
        <f t="shared" si="7"/>
        <v>3.54</v>
      </c>
      <c r="U66" s="67">
        <f t="shared" si="7"/>
        <v>3.54</v>
      </c>
      <c r="V66" s="67">
        <f t="shared" si="7"/>
        <v>3.54</v>
      </c>
      <c r="W66" s="67">
        <f t="shared" si="7"/>
        <v>3.54</v>
      </c>
      <c r="X66" s="67">
        <f t="shared" si="7"/>
        <v>3.54</v>
      </c>
      <c r="Y66" s="67">
        <f t="shared" si="7"/>
        <v>3.54</v>
      </c>
      <c r="Z66" s="67">
        <f t="shared" si="7"/>
        <v>3.54</v>
      </c>
      <c r="AA66" s="67">
        <f t="shared" si="7"/>
        <v>3.54</v>
      </c>
      <c r="AB66" s="67">
        <f t="shared" si="7"/>
        <v>3.54</v>
      </c>
      <c r="AC66" s="67">
        <f t="shared" si="7"/>
        <v>3.54</v>
      </c>
      <c r="AD66" s="67">
        <f t="shared" si="7"/>
        <v>3.54</v>
      </c>
      <c r="AE66" s="67">
        <f t="shared" si="7"/>
        <v>3.54</v>
      </c>
      <c r="AF66" s="67">
        <f t="shared" si="7"/>
        <v>3.54</v>
      </c>
      <c r="AG66" s="68">
        <f t="shared" si="7"/>
        <v>489.91</v>
      </c>
      <c r="AH66" s="52">
        <f t="shared" si="2"/>
        <v>246.64</v>
      </c>
      <c r="AI66" s="53">
        <f t="shared" si="3"/>
        <v>3.54</v>
      </c>
      <c r="AK66" s="54"/>
    </row>
    <row r="67" spans="1:40" x14ac:dyDescent="0.25">
      <c r="A67" s="49" t="s">
        <v>71</v>
      </c>
      <c r="B67" s="50">
        <v>60</v>
      </c>
      <c r="C67" s="50">
        <v>60</v>
      </c>
      <c r="D67" s="50">
        <v>60</v>
      </c>
      <c r="E67" s="50">
        <v>60</v>
      </c>
      <c r="F67" s="50">
        <v>60</v>
      </c>
      <c r="G67" s="50">
        <v>60</v>
      </c>
      <c r="H67" s="50">
        <v>60</v>
      </c>
      <c r="I67" s="50">
        <v>60</v>
      </c>
      <c r="J67" s="50">
        <v>60</v>
      </c>
      <c r="K67" s="50">
        <v>40</v>
      </c>
      <c r="L67" s="50">
        <v>50</v>
      </c>
      <c r="M67" s="50">
        <v>35</v>
      </c>
      <c r="N67" s="50">
        <v>25</v>
      </c>
      <c r="O67" s="50">
        <v>25</v>
      </c>
      <c r="P67" s="50">
        <v>25</v>
      </c>
      <c r="Q67" s="50">
        <v>30</v>
      </c>
      <c r="R67" s="50">
        <v>20</v>
      </c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6">
        <v>60</v>
      </c>
      <c r="AH67" s="52">
        <f t="shared" si="2"/>
        <v>60</v>
      </c>
      <c r="AI67" s="53">
        <f t="shared" si="3"/>
        <v>20</v>
      </c>
      <c r="AK67" s="54"/>
    </row>
    <row r="68" spans="1:40" x14ac:dyDescent="0.25">
      <c r="A68" s="60" t="s">
        <v>72</v>
      </c>
      <c r="B68" s="72">
        <v>28</v>
      </c>
      <c r="C68" s="72">
        <v>28</v>
      </c>
      <c r="D68" s="72">
        <v>28</v>
      </c>
      <c r="E68" s="72">
        <v>27.7</v>
      </c>
      <c r="F68" s="72">
        <v>27.7</v>
      </c>
      <c r="G68" s="72">
        <v>27.7</v>
      </c>
      <c r="H68" s="72">
        <v>27.6</v>
      </c>
      <c r="I68" s="72">
        <v>27.6</v>
      </c>
      <c r="J68" s="72">
        <v>27.6</v>
      </c>
      <c r="K68" s="72">
        <v>27.6</v>
      </c>
      <c r="L68" s="72">
        <v>27.6</v>
      </c>
      <c r="M68" s="72">
        <v>27.6</v>
      </c>
      <c r="N68" s="72">
        <v>11</v>
      </c>
      <c r="O68" s="72">
        <v>12</v>
      </c>
      <c r="P68" s="72">
        <v>13.6</v>
      </c>
      <c r="Q68" s="50">
        <v>14.4</v>
      </c>
      <c r="R68" s="50">
        <v>14.4</v>
      </c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50"/>
      <c r="AG68" s="61">
        <v>32</v>
      </c>
      <c r="AH68" s="52">
        <f t="shared" si="2"/>
        <v>28</v>
      </c>
      <c r="AI68" s="53">
        <f t="shared" si="3"/>
        <v>11</v>
      </c>
      <c r="AK68" s="54"/>
    </row>
    <row r="69" spans="1:40" ht="15.75" thickBot="1" x14ac:dyDescent="0.3">
      <c r="A69" s="78" t="s">
        <v>73</v>
      </c>
      <c r="B69" s="74">
        <v>10</v>
      </c>
      <c r="C69" s="74">
        <v>10</v>
      </c>
      <c r="D69" s="74">
        <v>10</v>
      </c>
      <c r="E69" s="74">
        <v>10.1</v>
      </c>
      <c r="F69" s="74">
        <v>10.1</v>
      </c>
      <c r="G69" s="74">
        <v>10.1</v>
      </c>
      <c r="H69" s="74">
        <v>10.1</v>
      </c>
      <c r="I69" s="74">
        <v>10.1</v>
      </c>
      <c r="J69" s="74">
        <v>10.1</v>
      </c>
      <c r="K69" s="74">
        <v>10.1</v>
      </c>
      <c r="L69" s="74">
        <v>10.1</v>
      </c>
      <c r="M69" s="74">
        <v>10.1</v>
      </c>
      <c r="N69" s="74">
        <v>4</v>
      </c>
      <c r="O69" s="74">
        <v>4.4000000000000004</v>
      </c>
      <c r="P69" s="74">
        <v>5</v>
      </c>
      <c r="Q69" s="50">
        <v>5.2</v>
      </c>
      <c r="R69" s="50">
        <v>5.2</v>
      </c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50"/>
      <c r="AG69" s="75">
        <v>14</v>
      </c>
      <c r="AH69" s="52">
        <f t="shared" si="2"/>
        <v>10.1</v>
      </c>
      <c r="AI69" s="53">
        <f t="shared" si="3"/>
        <v>4</v>
      </c>
      <c r="AK69" s="54"/>
    </row>
    <row r="70" spans="1:40" ht="15.75" thickBot="1" x14ac:dyDescent="0.3">
      <c r="A70" s="81" t="s">
        <v>74</v>
      </c>
      <c r="B70" s="67">
        <f t="shared" ref="B70" si="8">B67+B68+B69</f>
        <v>98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87.699999999999989</v>
      </c>
      <c r="M70" s="67">
        <f t="shared" ref="M70:AF70" si="9">M67+M68+M69</f>
        <v>72.7</v>
      </c>
      <c r="N70" s="67">
        <f t="shared" si="9"/>
        <v>40</v>
      </c>
      <c r="O70" s="67">
        <f t="shared" si="9"/>
        <v>41.4</v>
      </c>
      <c r="P70" s="67">
        <f t="shared" si="9"/>
        <v>43.6</v>
      </c>
      <c r="Q70" s="67">
        <f t="shared" si="9"/>
        <v>49.6</v>
      </c>
      <c r="R70" s="67">
        <f t="shared" si="9"/>
        <v>39.6</v>
      </c>
      <c r="S70" s="67">
        <f t="shared" si="9"/>
        <v>0</v>
      </c>
      <c r="T70" s="67">
        <f t="shared" si="9"/>
        <v>0</v>
      </c>
      <c r="U70" s="67">
        <f t="shared" si="9"/>
        <v>0</v>
      </c>
      <c r="V70" s="67">
        <f t="shared" si="9"/>
        <v>0</v>
      </c>
      <c r="W70" s="67">
        <f t="shared" si="9"/>
        <v>0</v>
      </c>
      <c r="X70" s="67">
        <f t="shared" si="9"/>
        <v>0</v>
      </c>
      <c r="Y70" s="67">
        <f t="shared" si="9"/>
        <v>0</v>
      </c>
      <c r="Z70" s="67">
        <f t="shared" si="9"/>
        <v>0</v>
      </c>
      <c r="AA70" s="67">
        <f t="shared" si="9"/>
        <v>0</v>
      </c>
      <c r="AB70" s="67">
        <f t="shared" si="9"/>
        <v>0</v>
      </c>
      <c r="AC70" s="67">
        <f t="shared" si="9"/>
        <v>0</v>
      </c>
      <c r="AD70" s="67">
        <f t="shared" si="9"/>
        <v>0</v>
      </c>
      <c r="AE70" s="67">
        <f t="shared" si="9"/>
        <v>0</v>
      </c>
      <c r="AF70" s="67">
        <f t="shared" si="9"/>
        <v>0</v>
      </c>
      <c r="AG70" s="68">
        <f>SUM(AG67:AG69)</f>
        <v>106</v>
      </c>
      <c r="AH70" s="52">
        <f t="shared" si="2"/>
        <v>98</v>
      </c>
      <c r="AI70" s="53">
        <f t="shared" si="3"/>
        <v>0</v>
      </c>
      <c r="AK70" s="54"/>
    </row>
    <row r="71" spans="1:40" x14ac:dyDescent="0.25">
      <c r="A71" s="49" t="s">
        <v>75</v>
      </c>
      <c r="B71" s="50">
        <v>64</v>
      </c>
      <c r="C71" s="50">
        <v>63</v>
      </c>
      <c r="D71" s="50">
        <v>68</v>
      </c>
      <c r="E71" s="50">
        <v>69.3</v>
      </c>
      <c r="F71" s="50">
        <v>63.6</v>
      </c>
      <c r="G71" s="50">
        <v>64.3</v>
      </c>
      <c r="H71" s="50">
        <v>78</v>
      </c>
      <c r="I71" s="50">
        <v>72.5</v>
      </c>
      <c r="J71" s="50">
        <v>62.3</v>
      </c>
      <c r="K71" s="50">
        <v>63.1</v>
      </c>
      <c r="L71" s="50">
        <v>66</v>
      </c>
      <c r="M71" s="50">
        <v>58.3</v>
      </c>
      <c r="N71" s="50">
        <v>49.3</v>
      </c>
      <c r="O71" s="50">
        <v>48.8</v>
      </c>
      <c r="P71" s="50">
        <v>60.9</v>
      </c>
      <c r="Q71" s="50">
        <v>58.5</v>
      </c>
      <c r="R71" s="50">
        <v>59.2</v>
      </c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6"/>
      <c r="AH71" s="52">
        <f t="shared" si="2"/>
        <v>78</v>
      </c>
      <c r="AI71" s="53">
        <f t="shared" si="3"/>
        <v>48.8</v>
      </c>
      <c r="AK71" s="54"/>
    </row>
    <row r="72" spans="1:40" x14ac:dyDescent="0.25">
      <c r="A72" s="60" t="s">
        <v>76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>
        <v>293</v>
      </c>
      <c r="C73" s="72">
        <v>316</v>
      </c>
      <c r="D73" s="72">
        <v>359</v>
      </c>
      <c r="E73" s="72">
        <v>366.2</v>
      </c>
      <c r="F73" s="72">
        <v>355.2</v>
      </c>
      <c r="G73" s="72">
        <v>347.5</v>
      </c>
      <c r="H73" s="72">
        <v>336.2</v>
      </c>
      <c r="I73" s="72">
        <v>305.3</v>
      </c>
      <c r="J73" s="72">
        <v>391.2</v>
      </c>
      <c r="K73" s="72">
        <v>345</v>
      </c>
      <c r="L73" s="72">
        <v>380.1</v>
      </c>
      <c r="M73" s="72">
        <v>400</v>
      </c>
      <c r="N73" s="72">
        <v>420</v>
      </c>
      <c r="O73" s="72">
        <v>431.5</v>
      </c>
      <c r="P73" s="72">
        <v>415.8</v>
      </c>
      <c r="Q73" s="72">
        <v>409.15</v>
      </c>
      <c r="R73" s="72">
        <v>418</v>
      </c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82"/>
      <c r="AH73" s="52">
        <f t="shared" si="2"/>
        <v>431.5</v>
      </c>
      <c r="AI73" s="53">
        <f t="shared" si="3"/>
        <v>293</v>
      </c>
      <c r="AK73" s="54"/>
    </row>
    <row r="74" spans="1:40" x14ac:dyDescent="0.25">
      <c r="A74" s="60" t="s">
        <v>78</v>
      </c>
      <c r="B74" s="72">
        <v>66</v>
      </c>
      <c r="C74" s="72">
        <v>67.8</v>
      </c>
      <c r="D74" s="72">
        <v>66</v>
      </c>
      <c r="E74" s="83">
        <v>64.2</v>
      </c>
      <c r="F74" s="83">
        <v>64.099999999999994</v>
      </c>
      <c r="G74" s="83">
        <v>61.7</v>
      </c>
      <c r="H74" s="83">
        <v>62.5</v>
      </c>
      <c r="I74" s="83">
        <v>62.5</v>
      </c>
      <c r="J74" s="83">
        <v>61.5</v>
      </c>
      <c r="K74" s="83">
        <v>60.5</v>
      </c>
      <c r="L74" s="83">
        <v>59.4</v>
      </c>
      <c r="M74" s="83">
        <v>59.2</v>
      </c>
      <c r="N74" s="83">
        <v>60.4</v>
      </c>
      <c r="O74" s="83">
        <v>59</v>
      </c>
      <c r="P74" s="83">
        <v>61.2</v>
      </c>
      <c r="Q74" s="83">
        <v>53.3</v>
      </c>
      <c r="R74" s="83">
        <v>51</v>
      </c>
      <c r="S74" s="83"/>
      <c r="T74" s="83"/>
      <c r="U74" s="83"/>
      <c r="V74" s="83"/>
      <c r="W74" s="83"/>
      <c r="X74" s="83"/>
      <c r="Y74" s="72"/>
      <c r="Z74" s="72"/>
      <c r="AA74" s="72"/>
      <c r="AB74" s="72"/>
      <c r="AC74" s="72"/>
      <c r="AD74" s="72"/>
      <c r="AE74" s="72"/>
      <c r="AF74" s="72"/>
      <c r="AG74" s="82"/>
      <c r="AH74" s="52">
        <f t="shared" si="2"/>
        <v>67.8</v>
      </c>
      <c r="AI74" s="53">
        <f t="shared" si="3"/>
        <v>51</v>
      </c>
      <c r="AK74" s="54"/>
    </row>
    <row r="75" spans="1:40" x14ac:dyDescent="0.25">
      <c r="A75" s="60" t="s">
        <v>79</v>
      </c>
      <c r="B75" s="50">
        <v>32</v>
      </c>
      <c r="C75" s="50">
        <v>32</v>
      </c>
      <c r="D75" s="50">
        <v>32</v>
      </c>
      <c r="E75" s="50">
        <v>28.8</v>
      </c>
      <c r="F75" s="50">
        <v>29.5</v>
      </c>
      <c r="G75" s="50">
        <v>26</v>
      </c>
      <c r="H75" s="50">
        <v>23.3</v>
      </c>
      <c r="I75" s="50">
        <v>21.1</v>
      </c>
      <c r="J75" s="50">
        <v>19.600000000000001</v>
      </c>
      <c r="K75" s="50">
        <v>19.3</v>
      </c>
      <c r="L75" s="50">
        <v>19.399999999999999</v>
      </c>
      <c r="M75" s="50">
        <v>18</v>
      </c>
      <c r="N75" s="50">
        <v>18</v>
      </c>
      <c r="O75" s="50">
        <v>17</v>
      </c>
      <c r="P75" s="50">
        <v>18</v>
      </c>
      <c r="Q75" s="50">
        <v>17.600000000000001</v>
      </c>
      <c r="R75" s="50">
        <v>18.7</v>
      </c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82"/>
      <c r="AH75" s="52">
        <f t="shared" ref="AH75:AH117" si="10">MAX(B75:AF75)</f>
        <v>32</v>
      </c>
      <c r="AI75" s="53">
        <f t="shared" ref="AI75:AI117" si="11">MIN(B75:AF75)</f>
        <v>17</v>
      </c>
      <c r="AK75" s="54"/>
    </row>
    <row r="76" spans="1:40" x14ac:dyDescent="0.25">
      <c r="A76" s="60" t="s">
        <v>80</v>
      </c>
      <c r="B76" s="84">
        <v>5</v>
      </c>
      <c r="C76" s="84">
        <v>5</v>
      </c>
      <c r="D76" s="84">
        <v>5</v>
      </c>
      <c r="E76" s="84">
        <v>5</v>
      </c>
      <c r="F76" s="84">
        <v>5</v>
      </c>
      <c r="G76" s="84">
        <v>5</v>
      </c>
      <c r="H76" s="84">
        <v>5</v>
      </c>
      <c r="I76" s="84">
        <v>5</v>
      </c>
      <c r="J76" s="84">
        <v>5</v>
      </c>
      <c r="K76" s="84">
        <v>5</v>
      </c>
      <c r="L76" s="84">
        <v>5</v>
      </c>
      <c r="M76" s="84">
        <v>0</v>
      </c>
      <c r="N76" s="84">
        <v>0</v>
      </c>
      <c r="O76" s="84">
        <v>0</v>
      </c>
      <c r="P76" s="84">
        <v>0</v>
      </c>
      <c r="Q76" s="84">
        <v>0</v>
      </c>
      <c r="R76" s="84">
        <v>0</v>
      </c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2"/>
      <c r="AH76" s="52">
        <f t="shared" si="10"/>
        <v>5</v>
      </c>
      <c r="AI76" s="53">
        <f t="shared" si="11"/>
        <v>0</v>
      </c>
      <c r="AK76" s="54"/>
    </row>
    <row r="77" spans="1:40" ht="15.75" thickBot="1" x14ac:dyDescent="0.3">
      <c r="A77" s="60" t="s">
        <v>81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2"/>
      <c r="AH77" s="52">
        <f t="shared" si="10"/>
        <v>0</v>
      </c>
      <c r="AI77" s="53">
        <f t="shared" si="11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2"/>
      <c r="AH78" s="52">
        <f t="shared" si="10"/>
        <v>0</v>
      </c>
      <c r="AI78" s="53">
        <f t="shared" si="11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2"/>
      <c r="AH79" s="52">
        <f t="shared" si="10"/>
        <v>0</v>
      </c>
      <c r="AI79" s="53">
        <f t="shared" si="11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92"/>
      <c r="AH80" s="52">
        <f t="shared" si="10"/>
        <v>0</v>
      </c>
      <c r="AI80" s="53">
        <f t="shared" si="11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92"/>
      <c r="AH81" s="52">
        <f t="shared" si="10"/>
        <v>0</v>
      </c>
      <c r="AI81" s="53">
        <f t="shared" si="11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2">SUMIF(B71:B81,"&gt;0")</f>
        <v>460</v>
      </c>
      <c r="C82" s="67">
        <f t="shared" si="12"/>
        <v>483.8</v>
      </c>
      <c r="D82" s="67">
        <f t="shared" si="12"/>
        <v>530</v>
      </c>
      <c r="E82" s="67">
        <f t="shared" si="12"/>
        <v>533.5</v>
      </c>
      <c r="F82" s="67">
        <f t="shared" si="12"/>
        <v>517.4</v>
      </c>
      <c r="G82" s="67">
        <f t="shared" si="12"/>
        <v>504.5</v>
      </c>
      <c r="H82" s="67">
        <f t="shared" si="12"/>
        <v>505</v>
      </c>
      <c r="I82" s="67">
        <f t="shared" si="12"/>
        <v>466.40000000000003</v>
      </c>
      <c r="J82" s="67">
        <f t="shared" si="12"/>
        <v>539.6</v>
      </c>
      <c r="K82" s="67">
        <f t="shared" si="12"/>
        <v>492.90000000000003</v>
      </c>
      <c r="L82" s="67">
        <f t="shared" si="12"/>
        <v>529.9</v>
      </c>
      <c r="M82" s="67">
        <f t="shared" si="12"/>
        <v>535.5</v>
      </c>
      <c r="N82" s="67">
        <f t="shared" si="12"/>
        <v>547.70000000000005</v>
      </c>
      <c r="O82" s="67">
        <f t="shared" si="12"/>
        <v>556.29999999999995</v>
      </c>
      <c r="P82" s="67">
        <f t="shared" si="12"/>
        <v>555.9</v>
      </c>
      <c r="Q82" s="67">
        <f t="shared" si="12"/>
        <v>538.54999999999995</v>
      </c>
      <c r="R82" s="67">
        <f t="shared" si="12"/>
        <v>546.90000000000009</v>
      </c>
      <c r="S82" s="67">
        <f t="shared" si="12"/>
        <v>0</v>
      </c>
      <c r="T82" s="67">
        <f t="shared" si="12"/>
        <v>0</v>
      </c>
      <c r="U82" s="67">
        <f t="shared" si="12"/>
        <v>0</v>
      </c>
      <c r="V82" s="67">
        <f t="shared" si="12"/>
        <v>0</v>
      </c>
      <c r="W82" s="67">
        <f t="shared" si="12"/>
        <v>0</v>
      </c>
      <c r="X82" s="67">
        <f t="shared" si="12"/>
        <v>0</v>
      </c>
      <c r="Y82" s="67">
        <f t="shared" si="12"/>
        <v>0</v>
      </c>
      <c r="Z82" s="67">
        <f t="shared" si="12"/>
        <v>0</v>
      </c>
      <c r="AA82" s="67">
        <f t="shared" si="12"/>
        <v>0</v>
      </c>
      <c r="AB82" s="67">
        <f t="shared" si="12"/>
        <v>0</v>
      </c>
      <c r="AC82" s="67">
        <f t="shared" si="12"/>
        <v>0</v>
      </c>
      <c r="AD82" s="67">
        <f t="shared" si="12"/>
        <v>0</v>
      </c>
      <c r="AE82" s="67">
        <f t="shared" si="12"/>
        <v>0</v>
      </c>
      <c r="AF82" s="67">
        <f t="shared" si="12"/>
        <v>0</v>
      </c>
      <c r="AG82" s="95">
        <f>SUM(AG71:AG81)</f>
        <v>0</v>
      </c>
      <c r="AH82" s="52">
        <f t="shared" si="10"/>
        <v>556.29999999999995</v>
      </c>
      <c r="AI82" s="53">
        <f t="shared" si="11"/>
        <v>0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10"/>
        <v>0</v>
      </c>
      <c r="AI83" s="53">
        <f t="shared" si="11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10"/>
        <v>0</v>
      </c>
      <c r="AI84" s="53">
        <f t="shared" si="11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10"/>
        <v>0</v>
      </c>
      <c r="AI85" s="53">
        <f t="shared" si="11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10"/>
        <v>0</v>
      </c>
      <c r="AI86" s="53">
        <f t="shared" si="11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3">B48+B52+B70+B66+B82+B86</f>
        <v>1324.3400000000001</v>
      </c>
      <c r="C87" s="102">
        <f t="shared" si="13"/>
        <v>1210.1400000000001</v>
      </c>
      <c r="D87" s="102">
        <f t="shared" si="13"/>
        <v>1225.3400000000001</v>
      </c>
      <c r="E87" s="102">
        <f t="shared" si="13"/>
        <v>1189.6399999999999</v>
      </c>
      <c r="F87" s="102">
        <f t="shared" si="13"/>
        <v>1143.04</v>
      </c>
      <c r="G87" s="102">
        <f t="shared" si="13"/>
        <v>1157.6399999999999</v>
      </c>
      <c r="H87" s="102">
        <f t="shared" si="13"/>
        <v>1205.04</v>
      </c>
      <c r="I87" s="102">
        <f t="shared" si="13"/>
        <v>1141.74</v>
      </c>
      <c r="J87" s="102">
        <f t="shared" si="13"/>
        <v>1141.94</v>
      </c>
      <c r="K87" s="102">
        <f t="shared" si="13"/>
        <v>1055.54</v>
      </c>
      <c r="L87" s="102">
        <f t="shared" si="13"/>
        <v>1180.24</v>
      </c>
      <c r="M87" s="102">
        <f t="shared" si="13"/>
        <v>1210.3399999999999</v>
      </c>
      <c r="N87" s="102">
        <f t="shared" si="13"/>
        <v>1225.8399999999999</v>
      </c>
      <c r="O87" s="102">
        <f t="shared" si="13"/>
        <v>1206.9399999999998</v>
      </c>
      <c r="P87" s="102">
        <f t="shared" si="13"/>
        <v>1257.3400000000001</v>
      </c>
      <c r="Q87" s="102">
        <f t="shared" si="13"/>
        <v>1242.29</v>
      </c>
      <c r="R87" s="102">
        <f t="shared" si="13"/>
        <v>1194.74</v>
      </c>
      <c r="S87" s="102">
        <f t="shared" si="13"/>
        <v>3.54</v>
      </c>
      <c r="T87" s="102">
        <f t="shared" si="13"/>
        <v>3.54</v>
      </c>
      <c r="U87" s="102">
        <f t="shared" si="13"/>
        <v>3.54</v>
      </c>
      <c r="V87" s="102">
        <f t="shared" si="13"/>
        <v>3.54</v>
      </c>
      <c r="W87" s="102">
        <f t="shared" si="13"/>
        <v>3.54</v>
      </c>
      <c r="X87" s="102">
        <f t="shared" si="13"/>
        <v>3.54</v>
      </c>
      <c r="Y87" s="102">
        <f t="shared" si="13"/>
        <v>3.54</v>
      </c>
      <c r="Z87" s="102">
        <f t="shared" si="13"/>
        <v>3.54</v>
      </c>
      <c r="AA87" s="102">
        <f t="shared" si="13"/>
        <v>3.54</v>
      </c>
      <c r="AB87" s="102">
        <f t="shared" si="13"/>
        <v>3.54</v>
      </c>
      <c r="AC87" s="102">
        <f t="shared" si="13"/>
        <v>3.54</v>
      </c>
      <c r="AD87" s="102">
        <f t="shared" si="13"/>
        <v>3.54</v>
      </c>
      <c r="AE87" s="102">
        <f t="shared" si="13"/>
        <v>3.54</v>
      </c>
      <c r="AF87" s="102">
        <f t="shared" si="13"/>
        <v>3.54</v>
      </c>
      <c r="AG87" s="68">
        <f t="shared" si="13"/>
        <v>2065.09</v>
      </c>
      <c r="AH87" s="52">
        <f>MAX(B87:AF87)</f>
        <v>1324.3400000000001</v>
      </c>
      <c r="AI87" s="53">
        <f>MIN(B87:AF87)</f>
        <v>3.54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>
        <v>90</v>
      </c>
      <c r="N88" s="104">
        <v>90</v>
      </c>
      <c r="O88" s="104">
        <v>80</v>
      </c>
      <c r="P88" s="104">
        <v>0</v>
      </c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95"/>
      <c r="AH88" s="52">
        <f t="shared" si="10"/>
        <v>90</v>
      </c>
      <c r="AI88" s="53">
        <f t="shared" si="11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4">B87+B88</f>
        <v>1324.3400000000001</v>
      </c>
      <c r="C89" s="102">
        <f t="shared" si="14"/>
        <v>1210.1400000000001</v>
      </c>
      <c r="D89" s="102">
        <f t="shared" si="14"/>
        <v>1225.3400000000001</v>
      </c>
      <c r="E89" s="102">
        <f t="shared" si="14"/>
        <v>1189.6399999999999</v>
      </c>
      <c r="F89" s="102">
        <f t="shared" si="14"/>
        <v>1143.04</v>
      </c>
      <c r="G89" s="102">
        <f t="shared" si="14"/>
        <v>1157.6399999999999</v>
      </c>
      <c r="H89" s="102">
        <f t="shared" si="14"/>
        <v>1205.04</v>
      </c>
      <c r="I89" s="102">
        <f t="shared" si="14"/>
        <v>1141.74</v>
      </c>
      <c r="J89" s="102">
        <f t="shared" si="14"/>
        <v>1141.94</v>
      </c>
      <c r="K89" s="102">
        <f t="shared" si="14"/>
        <v>1055.54</v>
      </c>
      <c r="L89" s="102">
        <f t="shared" si="14"/>
        <v>1180.24</v>
      </c>
      <c r="M89" s="102">
        <f t="shared" si="14"/>
        <v>1300.3399999999999</v>
      </c>
      <c r="N89" s="102">
        <f t="shared" si="14"/>
        <v>1315.84</v>
      </c>
      <c r="O89" s="102">
        <f t="shared" si="14"/>
        <v>1286.9399999999998</v>
      </c>
      <c r="P89" s="102">
        <f t="shared" si="14"/>
        <v>1257.3400000000001</v>
      </c>
      <c r="Q89" s="102">
        <f t="shared" si="14"/>
        <v>1242.29</v>
      </c>
      <c r="R89" s="102">
        <f t="shared" si="14"/>
        <v>1194.74</v>
      </c>
      <c r="S89" s="102">
        <f t="shared" si="14"/>
        <v>3.54</v>
      </c>
      <c r="T89" s="102">
        <f t="shared" si="14"/>
        <v>3.54</v>
      </c>
      <c r="U89" s="102">
        <f t="shared" si="14"/>
        <v>3.54</v>
      </c>
      <c r="V89" s="102">
        <f t="shared" si="14"/>
        <v>3.54</v>
      </c>
      <c r="W89" s="102">
        <f t="shared" si="14"/>
        <v>3.54</v>
      </c>
      <c r="X89" s="102">
        <f t="shared" si="14"/>
        <v>3.54</v>
      </c>
      <c r="Y89" s="102">
        <f t="shared" si="14"/>
        <v>3.54</v>
      </c>
      <c r="Z89" s="102">
        <f t="shared" si="14"/>
        <v>3.54</v>
      </c>
      <c r="AA89" s="102">
        <f t="shared" si="14"/>
        <v>3.54</v>
      </c>
      <c r="AB89" s="102">
        <f t="shared" si="14"/>
        <v>3.54</v>
      </c>
      <c r="AC89" s="102">
        <f t="shared" si="14"/>
        <v>3.54</v>
      </c>
      <c r="AD89" s="102">
        <f t="shared" si="14"/>
        <v>3.54</v>
      </c>
      <c r="AE89" s="102">
        <f t="shared" si="14"/>
        <v>3.54</v>
      </c>
      <c r="AF89" s="102">
        <f t="shared" si="14"/>
        <v>3.54</v>
      </c>
      <c r="AG89" s="95">
        <f>AG86+AG82+AG70+AG66+AG48+AG88</f>
        <v>1526.99</v>
      </c>
      <c r="AH89" s="52">
        <f t="shared" si="10"/>
        <v>1324.3400000000001</v>
      </c>
      <c r="AI89" s="53">
        <f t="shared" si="11"/>
        <v>3.54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15">B89-B97</f>
        <v>1324.3400000000001</v>
      </c>
      <c r="C90" s="102">
        <f t="shared" si="15"/>
        <v>1210.1400000000001</v>
      </c>
      <c r="D90" s="102">
        <f t="shared" si="15"/>
        <v>1225.3400000000001</v>
      </c>
      <c r="E90" s="102">
        <f t="shared" si="15"/>
        <v>1189.6399999999999</v>
      </c>
      <c r="F90" s="102">
        <f t="shared" si="15"/>
        <v>1143.04</v>
      </c>
      <c r="G90" s="102">
        <f t="shared" si="15"/>
        <v>1157.6399999999999</v>
      </c>
      <c r="H90" s="102">
        <f t="shared" si="15"/>
        <v>1205.04</v>
      </c>
      <c r="I90" s="102">
        <f t="shared" si="15"/>
        <v>1141.74</v>
      </c>
      <c r="J90" s="102">
        <f t="shared" si="15"/>
        <v>1141.94</v>
      </c>
      <c r="K90" s="102">
        <f t="shared" si="15"/>
        <v>1055.54</v>
      </c>
      <c r="L90" s="102">
        <f t="shared" si="15"/>
        <v>1180.24</v>
      </c>
      <c r="M90" s="102">
        <f t="shared" si="15"/>
        <v>1300.3399999999999</v>
      </c>
      <c r="N90" s="102">
        <f t="shared" si="15"/>
        <v>1315.84</v>
      </c>
      <c r="O90" s="102">
        <f t="shared" si="15"/>
        <v>1286.9399999999998</v>
      </c>
      <c r="P90" s="102">
        <f t="shared" si="15"/>
        <v>1257.3400000000001</v>
      </c>
      <c r="Q90" s="102">
        <f t="shared" si="15"/>
        <v>1242.29</v>
      </c>
      <c r="R90" s="102">
        <f t="shared" si="15"/>
        <v>1194.74</v>
      </c>
      <c r="S90" s="102">
        <f t="shared" si="15"/>
        <v>3.54</v>
      </c>
      <c r="T90" s="102">
        <f t="shared" si="15"/>
        <v>3.54</v>
      </c>
      <c r="U90" s="102">
        <f t="shared" si="15"/>
        <v>3.54</v>
      </c>
      <c r="V90" s="102">
        <f t="shared" si="15"/>
        <v>3.54</v>
      </c>
      <c r="W90" s="102">
        <f t="shared" si="15"/>
        <v>3.54</v>
      </c>
      <c r="X90" s="102">
        <f t="shared" si="15"/>
        <v>3.54</v>
      </c>
      <c r="Y90" s="102">
        <f t="shared" si="15"/>
        <v>3.54</v>
      </c>
      <c r="Z90" s="102">
        <f t="shared" si="15"/>
        <v>3.54</v>
      </c>
      <c r="AA90" s="102">
        <f t="shared" si="15"/>
        <v>3.54</v>
      </c>
      <c r="AB90" s="102">
        <f t="shared" si="15"/>
        <v>3.54</v>
      </c>
      <c r="AC90" s="102">
        <f t="shared" si="15"/>
        <v>3.54</v>
      </c>
      <c r="AD90" s="102">
        <f t="shared" si="15"/>
        <v>3.54</v>
      </c>
      <c r="AE90" s="102">
        <f t="shared" si="15"/>
        <v>3.54</v>
      </c>
      <c r="AF90" s="102">
        <f t="shared" si="15"/>
        <v>3.54</v>
      </c>
      <c r="AG90" s="95"/>
      <c r="AH90" s="52">
        <f t="shared" si="10"/>
        <v>1324.3400000000001</v>
      </c>
      <c r="AI90" s="53">
        <f t="shared" si="11"/>
        <v>3.54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10"/>
        <v>0</v>
      </c>
      <c r="AI91" s="53">
        <f t="shared" si="11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10"/>
        <v>0</v>
      </c>
      <c r="AI92" s="53">
        <f t="shared" si="11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10"/>
        <v>0</v>
      </c>
      <c r="AI93" s="53">
        <f t="shared" si="11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10"/>
        <v>0</v>
      </c>
      <c r="AI94" s="53">
        <f t="shared" si="11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10"/>
        <v>0</v>
      </c>
      <c r="AI95" s="53">
        <f t="shared" si="11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10"/>
        <v>0</v>
      </c>
      <c r="AI96" s="53">
        <f t="shared" si="11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10"/>
        <v>0</v>
      </c>
      <c r="AI97" s="53">
        <f t="shared" si="11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16">B82-B97</f>
        <v>460</v>
      </c>
      <c r="C98" s="67">
        <f t="shared" si="16"/>
        <v>483.8</v>
      </c>
      <c r="D98" s="67">
        <f t="shared" si="16"/>
        <v>530</v>
      </c>
      <c r="E98" s="67">
        <f t="shared" si="16"/>
        <v>533.5</v>
      </c>
      <c r="F98" s="67">
        <f t="shared" si="16"/>
        <v>517.4</v>
      </c>
      <c r="G98" s="67">
        <f t="shared" si="16"/>
        <v>504.5</v>
      </c>
      <c r="H98" s="67">
        <f t="shared" si="16"/>
        <v>505</v>
      </c>
      <c r="I98" s="67">
        <f t="shared" si="16"/>
        <v>466.40000000000003</v>
      </c>
      <c r="J98" s="67">
        <f t="shared" si="16"/>
        <v>539.6</v>
      </c>
      <c r="K98" s="67">
        <f t="shared" si="16"/>
        <v>492.90000000000003</v>
      </c>
      <c r="L98" s="67">
        <f t="shared" si="16"/>
        <v>529.9</v>
      </c>
      <c r="M98" s="67">
        <f t="shared" si="16"/>
        <v>535.5</v>
      </c>
      <c r="N98" s="67">
        <f t="shared" si="16"/>
        <v>547.70000000000005</v>
      </c>
      <c r="O98" s="67">
        <f t="shared" si="16"/>
        <v>556.29999999999995</v>
      </c>
      <c r="P98" s="67">
        <f t="shared" si="16"/>
        <v>555.9</v>
      </c>
      <c r="Q98" s="67">
        <f t="shared" si="16"/>
        <v>538.54999999999995</v>
      </c>
      <c r="R98" s="67">
        <f t="shared" si="16"/>
        <v>546.90000000000009</v>
      </c>
      <c r="S98" s="67">
        <f t="shared" si="16"/>
        <v>0</v>
      </c>
      <c r="T98" s="67">
        <f t="shared" si="16"/>
        <v>0</v>
      </c>
      <c r="U98" s="67">
        <f t="shared" si="16"/>
        <v>0</v>
      </c>
      <c r="V98" s="67">
        <f t="shared" si="16"/>
        <v>0</v>
      </c>
      <c r="W98" s="67">
        <f t="shared" si="16"/>
        <v>0</v>
      </c>
      <c r="X98" s="67">
        <f t="shared" si="16"/>
        <v>0</v>
      </c>
      <c r="Y98" s="67">
        <f t="shared" si="16"/>
        <v>0</v>
      </c>
      <c r="Z98" s="67">
        <f t="shared" si="16"/>
        <v>0</v>
      </c>
      <c r="AA98" s="67">
        <f t="shared" si="16"/>
        <v>0</v>
      </c>
      <c r="AB98" s="67">
        <f t="shared" si="16"/>
        <v>0</v>
      </c>
      <c r="AC98" s="67">
        <f t="shared" si="16"/>
        <v>0</v>
      </c>
      <c r="AD98" s="67">
        <f t="shared" si="16"/>
        <v>0</v>
      </c>
      <c r="AE98" s="67">
        <f t="shared" si="16"/>
        <v>0</v>
      </c>
      <c r="AF98" s="67">
        <f t="shared" si="16"/>
        <v>0</v>
      </c>
      <c r="AG98" s="95"/>
      <c r="AH98" s="52">
        <f t="shared" si="10"/>
        <v>556.29999999999995</v>
      </c>
      <c r="AI98" s="53">
        <f t="shared" si="11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>
        <v>49.93</v>
      </c>
      <c r="C99" s="108">
        <v>49.95</v>
      </c>
      <c r="D99" s="108">
        <v>50</v>
      </c>
      <c r="E99" s="108">
        <v>50.107999999999997</v>
      </c>
      <c r="F99" s="108">
        <v>50.033000000000001</v>
      </c>
      <c r="G99" s="108">
        <v>49.932000000000002</v>
      </c>
      <c r="H99" s="108">
        <v>50.006999999999998</v>
      </c>
      <c r="I99" s="108">
        <v>50.042000000000002</v>
      </c>
      <c r="J99" s="108">
        <v>50.02</v>
      </c>
      <c r="K99" s="108">
        <v>50.02</v>
      </c>
      <c r="L99" s="108">
        <v>50.015999999999998</v>
      </c>
      <c r="M99" s="108">
        <v>49.999000000000002</v>
      </c>
      <c r="N99" s="108">
        <v>50.05</v>
      </c>
      <c r="O99" s="108">
        <v>49.997999999999998</v>
      </c>
      <c r="P99" s="108">
        <v>50.06</v>
      </c>
      <c r="Q99" s="108">
        <v>50.09</v>
      </c>
      <c r="R99" s="108">
        <v>50.06</v>
      </c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9"/>
      <c r="AH99" s="52">
        <f t="shared" si="10"/>
        <v>50.107999999999997</v>
      </c>
      <c r="AI99" s="53">
        <f t="shared" si="11"/>
        <v>49.93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>
        <v>129</v>
      </c>
      <c r="C100" s="72">
        <v>129</v>
      </c>
      <c r="D100" s="72">
        <v>127</v>
      </c>
      <c r="E100" s="72">
        <v>126.7</v>
      </c>
      <c r="F100" s="72">
        <v>128.1</v>
      </c>
      <c r="G100" s="72">
        <v>127.8</v>
      </c>
      <c r="H100" s="72">
        <v>128.1</v>
      </c>
      <c r="I100" s="72">
        <v>129.9</v>
      </c>
      <c r="J100" s="72">
        <v>127.6</v>
      </c>
      <c r="K100" s="72">
        <v>130.80000000000001</v>
      </c>
      <c r="L100" s="72">
        <v>129.69999999999999</v>
      </c>
      <c r="M100" s="72">
        <v>129.69999999999999</v>
      </c>
      <c r="N100" s="72">
        <v>126.4</v>
      </c>
      <c r="O100" s="72">
        <v>127.4</v>
      </c>
      <c r="P100" s="72">
        <v>126.7</v>
      </c>
      <c r="Q100" s="72">
        <v>128.69999999999999</v>
      </c>
      <c r="R100" s="72">
        <v>128</v>
      </c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111"/>
      <c r="AH100" s="52">
        <f t="shared" si="10"/>
        <v>130.80000000000001</v>
      </c>
      <c r="AI100" s="53">
        <f t="shared" si="11"/>
        <v>126.4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>
        <v>132</v>
      </c>
      <c r="C101" s="72">
        <v>132</v>
      </c>
      <c r="D101" s="72">
        <v>131</v>
      </c>
      <c r="E101" s="72">
        <v>131</v>
      </c>
      <c r="F101" s="72">
        <v>131.80000000000001</v>
      </c>
      <c r="G101" s="72">
        <v>131.4</v>
      </c>
      <c r="H101" s="72">
        <v>131.80000000000001</v>
      </c>
      <c r="I101" s="72">
        <v>131.9</v>
      </c>
      <c r="J101" s="72">
        <v>130.19999999999999</v>
      </c>
      <c r="K101" s="72">
        <v>132.1</v>
      </c>
      <c r="L101" s="72">
        <v>131.1</v>
      </c>
      <c r="M101" s="72">
        <v>131.1</v>
      </c>
      <c r="N101" s="72">
        <v>128.5</v>
      </c>
      <c r="O101" s="72">
        <v>129.4</v>
      </c>
      <c r="P101" s="72">
        <v>130</v>
      </c>
      <c r="Q101" s="72">
        <v>131.5</v>
      </c>
      <c r="R101" s="72">
        <v>131.5</v>
      </c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111"/>
      <c r="AH101" s="52">
        <f t="shared" si="10"/>
        <v>132.1</v>
      </c>
      <c r="AI101" s="53">
        <f t="shared" si="11"/>
        <v>128.5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>
        <v>130</v>
      </c>
      <c r="C102" s="72">
        <v>130</v>
      </c>
      <c r="D102" s="72">
        <v>128</v>
      </c>
      <c r="E102" s="72">
        <v>130.4</v>
      </c>
      <c r="F102" s="72">
        <v>130.6</v>
      </c>
      <c r="G102" s="72">
        <v>131.5</v>
      </c>
      <c r="H102" s="72">
        <v>130.6</v>
      </c>
      <c r="I102" s="72">
        <v>133.5</v>
      </c>
      <c r="J102" s="72">
        <v>133.30000000000001</v>
      </c>
      <c r="K102" s="72">
        <v>130.30000000000001</v>
      </c>
      <c r="L102" s="72">
        <v>129.9</v>
      </c>
      <c r="M102" s="72">
        <v>129.9</v>
      </c>
      <c r="N102" s="72">
        <v>129.5</v>
      </c>
      <c r="O102" s="72">
        <v>129.5</v>
      </c>
      <c r="P102" s="72">
        <v>129.4</v>
      </c>
      <c r="Q102" s="72">
        <v>131.5</v>
      </c>
      <c r="R102" s="72">
        <v>131.4</v>
      </c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111"/>
      <c r="AH102" s="52">
        <f t="shared" si="10"/>
        <v>133.5</v>
      </c>
      <c r="AI102" s="53">
        <f t="shared" si="11"/>
        <v>128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10"/>
        <v>0</v>
      </c>
      <c r="AI103" s="53">
        <f t="shared" si="11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>
        <v>131</v>
      </c>
      <c r="C104" s="113">
        <v>131</v>
      </c>
      <c r="D104" s="113">
        <v>131</v>
      </c>
      <c r="E104" s="113">
        <v>130.5</v>
      </c>
      <c r="F104" s="113">
        <v>136.1</v>
      </c>
      <c r="G104" s="113">
        <v>133</v>
      </c>
      <c r="H104" s="113">
        <v>136.1</v>
      </c>
      <c r="I104" s="113">
        <v>136.9</v>
      </c>
      <c r="J104" s="113">
        <v>132.1</v>
      </c>
      <c r="K104" s="113">
        <v>135.80000000000001</v>
      </c>
      <c r="L104" s="113">
        <v>134.19999999999999</v>
      </c>
      <c r="M104" s="113">
        <v>134.19999999999999</v>
      </c>
      <c r="N104" s="113">
        <v>130</v>
      </c>
      <c r="O104" s="113">
        <v>131.69999999999999</v>
      </c>
      <c r="P104" s="113">
        <v>133.19999999999999</v>
      </c>
      <c r="Q104" s="113">
        <v>135.5</v>
      </c>
      <c r="R104" s="113">
        <v>135.80000000000001</v>
      </c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4"/>
      <c r="AH104" s="52">
        <f t="shared" si="10"/>
        <v>136.9</v>
      </c>
      <c r="AI104" s="53">
        <f t="shared" si="11"/>
        <v>130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>
        <v>131</v>
      </c>
      <c r="C105" s="72">
        <v>131</v>
      </c>
      <c r="D105" s="72">
        <v>131</v>
      </c>
      <c r="E105" s="72">
        <v>132.80000000000001</v>
      </c>
      <c r="F105" s="72">
        <v>132.80000000000001</v>
      </c>
      <c r="G105" s="72">
        <v>133.19999999999999</v>
      </c>
      <c r="H105" s="72">
        <v>132.80000000000001</v>
      </c>
      <c r="I105" s="72">
        <v>130.4</v>
      </c>
      <c r="J105" s="72">
        <v>133</v>
      </c>
      <c r="K105" s="72">
        <v>125.7</v>
      </c>
      <c r="L105" s="72">
        <v>128</v>
      </c>
      <c r="M105" s="72">
        <v>128</v>
      </c>
      <c r="N105" s="72">
        <v>133.9</v>
      </c>
      <c r="O105" s="72">
        <v>132</v>
      </c>
      <c r="P105" s="72">
        <v>130.80000000000001</v>
      </c>
      <c r="Q105" s="72">
        <v>129.69999999999999</v>
      </c>
      <c r="R105" s="72">
        <v>127.5</v>
      </c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111"/>
      <c r="AH105" s="52">
        <f t="shared" si="10"/>
        <v>133.9</v>
      </c>
      <c r="AI105" s="53">
        <f t="shared" si="11"/>
        <v>125.7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>
        <v>66.2</v>
      </c>
      <c r="C106" s="99">
        <v>66.2</v>
      </c>
      <c r="D106" s="99">
        <v>65.900000000000006</v>
      </c>
      <c r="E106" s="99">
        <v>66</v>
      </c>
      <c r="F106" s="99">
        <v>66.2</v>
      </c>
      <c r="G106" s="99">
        <v>65.900000000000006</v>
      </c>
      <c r="H106" s="99">
        <v>66.2</v>
      </c>
      <c r="I106" s="99">
        <v>65.900000000000006</v>
      </c>
      <c r="J106" s="99">
        <v>65.400000000000006</v>
      </c>
      <c r="K106" s="99">
        <v>65.900000000000006</v>
      </c>
      <c r="L106" s="99">
        <v>65.599999999999994</v>
      </c>
      <c r="M106" s="99">
        <v>65.599999999999994</v>
      </c>
      <c r="N106" s="99">
        <v>64.8</v>
      </c>
      <c r="O106" s="99">
        <v>65.2</v>
      </c>
      <c r="P106" s="99">
        <v>65.5</v>
      </c>
      <c r="Q106" s="99">
        <v>66</v>
      </c>
      <c r="R106" s="99">
        <v>65.900000000000006</v>
      </c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115"/>
      <c r="AH106" s="52">
        <f t="shared" si="10"/>
        <v>66.2</v>
      </c>
      <c r="AI106" s="53">
        <f t="shared" si="11"/>
        <v>64.8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10"/>
        <v>0</v>
      </c>
      <c r="AI107" s="53">
        <f t="shared" si="11"/>
        <v>0</v>
      </c>
    </row>
    <row r="108" spans="1:88" ht="15.75" thickBot="1" x14ac:dyDescent="0.3">
      <c r="A108" s="117" t="s">
        <v>112</v>
      </c>
      <c r="B108" s="118">
        <f t="shared" ref="B108:AF108" si="17">SUM(B18,B24,B27:B28,B56,B58:B59,B61,B63,B109:B113,B135,B141,B147,B156,B158,B170,B177,B180:B181,B188,B190,B192,B196:B198,B200:B202,B207,B213:B214,B216:B218,B226,B231)</f>
        <v>124.3</v>
      </c>
      <c r="C108" s="118">
        <f t="shared" si="17"/>
        <v>121.74</v>
      </c>
      <c r="D108" s="118">
        <f t="shared" si="17"/>
        <v>107.74</v>
      </c>
      <c r="E108" s="118">
        <f t="shared" si="17"/>
        <v>110.94</v>
      </c>
      <c r="F108" s="118">
        <f t="shared" si="17"/>
        <v>125.13999999999999</v>
      </c>
      <c r="G108" s="118">
        <f t="shared" si="17"/>
        <v>141.54</v>
      </c>
      <c r="H108" s="118">
        <f t="shared" si="17"/>
        <v>171.44</v>
      </c>
      <c r="I108" s="118">
        <f t="shared" si="17"/>
        <v>202.44</v>
      </c>
      <c r="J108" s="118">
        <f t="shared" si="17"/>
        <v>214.04000000000002</v>
      </c>
      <c r="K108" s="118">
        <f t="shared" si="17"/>
        <v>224.73999999999998</v>
      </c>
      <c r="L108" s="118">
        <f t="shared" si="17"/>
        <v>248.83999999999997</v>
      </c>
      <c r="M108" s="118">
        <f t="shared" si="17"/>
        <v>246.94</v>
      </c>
      <c r="N108" s="118">
        <f t="shared" si="17"/>
        <v>258.04000000000002</v>
      </c>
      <c r="O108" s="118">
        <f t="shared" si="17"/>
        <v>246.34</v>
      </c>
      <c r="P108" s="118">
        <v>42</v>
      </c>
      <c r="Q108" s="118">
        <f t="shared" si="17"/>
        <v>204.60000000000002</v>
      </c>
      <c r="R108" s="118">
        <f t="shared" si="17"/>
        <v>176.8</v>
      </c>
      <c r="S108" s="118">
        <f t="shared" si="17"/>
        <v>0</v>
      </c>
      <c r="T108" s="118">
        <f t="shared" si="17"/>
        <v>0</v>
      </c>
      <c r="U108" s="118">
        <f t="shared" si="17"/>
        <v>0</v>
      </c>
      <c r="V108" s="118">
        <f t="shared" si="17"/>
        <v>0</v>
      </c>
      <c r="W108" s="118">
        <f t="shared" si="17"/>
        <v>0</v>
      </c>
      <c r="X108" s="118">
        <f t="shared" si="17"/>
        <v>0</v>
      </c>
      <c r="Y108" s="118">
        <f t="shared" si="17"/>
        <v>0</v>
      </c>
      <c r="Z108" s="118">
        <f t="shared" si="17"/>
        <v>0</v>
      </c>
      <c r="AA108" s="118">
        <f t="shared" si="17"/>
        <v>0</v>
      </c>
      <c r="AB108" s="118">
        <f t="shared" si="17"/>
        <v>0</v>
      </c>
      <c r="AC108" s="118">
        <f t="shared" si="17"/>
        <v>0</v>
      </c>
      <c r="AD108" s="118">
        <f t="shared" si="17"/>
        <v>0</v>
      </c>
      <c r="AE108" s="118">
        <f t="shared" si="17"/>
        <v>0</v>
      </c>
      <c r="AF108" s="118">
        <f t="shared" si="17"/>
        <v>0</v>
      </c>
      <c r="AG108" s="119"/>
      <c r="AH108" s="52">
        <f t="shared" si="10"/>
        <v>258.04000000000002</v>
      </c>
      <c r="AI108" s="53">
        <f t="shared" si="11"/>
        <v>0</v>
      </c>
    </row>
    <row r="109" spans="1:88" x14ac:dyDescent="0.25">
      <c r="A109" s="107" t="s">
        <v>113</v>
      </c>
      <c r="B109" s="120">
        <v>-2</v>
      </c>
      <c r="C109" s="120">
        <v>-5</v>
      </c>
      <c r="D109" s="120">
        <v>-17</v>
      </c>
      <c r="E109" s="120">
        <v>-25.5</v>
      </c>
      <c r="F109" s="120">
        <v>-27.3</v>
      </c>
      <c r="G109" s="120">
        <v>-26.4</v>
      </c>
      <c r="H109" s="120">
        <v>-16.899999999999999</v>
      </c>
      <c r="I109" s="120">
        <v>-8.5</v>
      </c>
      <c r="J109" s="120">
        <v>-9.1</v>
      </c>
      <c r="K109" s="120">
        <v>2</v>
      </c>
      <c r="L109" s="120">
        <v>1</v>
      </c>
      <c r="M109" s="120">
        <v>-2.2000000000000002</v>
      </c>
      <c r="N109" s="120">
        <v>-1.9</v>
      </c>
      <c r="O109" s="120">
        <v>-6.6</v>
      </c>
      <c r="P109" s="120">
        <v>1.8</v>
      </c>
      <c r="Q109" s="120">
        <v>1.9</v>
      </c>
      <c r="R109" s="120">
        <v>2.1</v>
      </c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1">
        <v>75</v>
      </c>
      <c r="AH109" s="52">
        <f t="shared" si="10"/>
        <v>2.1</v>
      </c>
      <c r="AI109" s="53">
        <f t="shared" si="11"/>
        <v>-27.3</v>
      </c>
    </row>
    <row r="110" spans="1:88" x14ac:dyDescent="0.25">
      <c r="A110" s="110" t="s">
        <v>114</v>
      </c>
      <c r="B110" s="188">
        <v>-5</v>
      </c>
      <c r="C110" s="188">
        <v>-6</v>
      </c>
      <c r="D110" s="188">
        <v>-15</v>
      </c>
      <c r="E110" s="188">
        <v>-33.4</v>
      </c>
      <c r="F110" s="188">
        <v>-33</v>
      </c>
      <c r="G110" s="188">
        <v>-34.1</v>
      </c>
      <c r="H110" s="188">
        <v>-18.2</v>
      </c>
      <c r="I110" s="188">
        <v>-11.5</v>
      </c>
      <c r="J110" s="188">
        <v>-12.8</v>
      </c>
      <c r="K110" s="188">
        <v>-1.7</v>
      </c>
      <c r="L110" s="188">
        <v>6.6</v>
      </c>
      <c r="M110" s="188">
        <v>-8.1</v>
      </c>
      <c r="N110" s="188">
        <v>-7.1</v>
      </c>
      <c r="O110" s="188">
        <v>-13.4</v>
      </c>
      <c r="P110" s="188">
        <v>2.2999999999999998</v>
      </c>
      <c r="Q110" s="188">
        <v>4.4000000000000004</v>
      </c>
      <c r="R110" s="188">
        <v>6.1</v>
      </c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21">
        <v>240</v>
      </c>
      <c r="AH110" s="52">
        <f t="shared" si="10"/>
        <v>6.6</v>
      </c>
      <c r="AI110" s="53">
        <f t="shared" si="11"/>
        <v>-34.1</v>
      </c>
    </row>
    <row r="111" spans="1:88" x14ac:dyDescent="0.25">
      <c r="A111" s="110" t="s">
        <v>115</v>
      </c>
      <c r="B111" s="188">
        <v>-50</v>
      </c>
      <c r="C111" s="188">
        <v>-50</v>
      </c>
      <c r="D111" s="188">
        <v>-50</v>
      </c>
      <c r="E111" s="188">
        <v>-35.799999999999997</v>
      </c>
      <c r="F111" s="188">
        <v>-24</v>
      </c>
      <c r="G111" s="188">
        <v>-16.600000000000001</v>
      </c>
      <c r="H111" s="188">
        <v>-11.4</v>
      </c>
      <c r="I111" s="188">
        <v>3.1</v>
      </c>
      <c r="J111" s="188">
        <v>9.6</v>
      </c>
      <c r="K111" s="188">
        <v>23.8</v>
      </c>
      <c r="L111" s="188">
        <v>24.8</v>
      </c>
      <c r="M111" s="188">
        <v>25.3</v>
      </c>
      <c r="N111" s="188">
        <f>13.1+11.3</f>
        <v>24.4</v>
      </c>
      <c r="O111" s="188">
        <v>21</v>
      </c>
      <c r="P111" s="188">
        <f>-2.4-7.3</f>
        <v>-9.6999999999999993</v>
      </c>
      <c r="Q111" s="188">
        <f>-5.5-11.2</f>
        <v>-16.7</v>
      </c>
      <c r="R111" s="188">
        <f>-9-14.8</f>
        <v>-23.8</v>
      </c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21">
        <v>240</v>
      </c>
      <c r="AH111" s="52">
        <f t="shared" si="10"/>
        <v>25.3</v>
      </c>
      <c r="AI111" s="53">
        <f t="shared" si="11"/>
        <v>-50</v>
      </c>
    </row>
    <row r="112" spans="1:88" x14ac:dyDescent="0.25">
      <c r="A112" s="110" t="s">
        <v>116</v>
      </c>
      <c r="B112" s="188">
        <v>31</v>
      </c>
      <c r="C112" s="188">
        <v>26</v>
      </c>
      <c r="D112" s="188">
        <v>28</v>
      </c>
      <c r="E112" s="188">
        <v>31.4</v>
      </c>
      <c r="F112" s="188">
        <v>28.8</v>
      </c>
      <c r="G112" s="188">
        <v>31.5</v>
      </c>
      <c r="H112" s="188">
        <v>33.700000000000003</v>
      </c>
      <c r="I112" s="188">
        <v>36.799999999999997</v>
      </c>
      <c r="J112" s="188">
        <v>38.200000000000003</v>
      </c>
      <c r="K112" s="188">
        <v>32.9</v>
      </c>
      <c r="L112" s="188">
        <v>39.799999999999997</v>
      </c>
      <c r="M112" s="188">
        <v>33</v>
      </c>
      <c r="N112" s="188">
        <v>28.3</v>
      </c>
      <c r="O112" s="188">
        <v>28.3</v>
      </c>
      <c r="P112" s="188">
        <v>24.9</v>
      </c>
      <c r="Q112" s="188">
        <v>21.7</v>
      </c>
      <c r="R112" s="188">
        <v>22</v>
      </c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21">
        <v>60</v>
      </c>
      <c r="AH112" s="52">
        <f t="shared" si="10"/>
        <v>39.799999999999997</v>
      </c>
      <c r="AI112" s="53">
        <f t="shared" si="11"/>
        <v>21.7</v>
      </c>
    </row>
    <row r="113" spans="1:37" x14ac:dyDescent="0.25">
      <c r="A113" s="123" t="s">
        <v>117</v>
      </c>
      <c r="B113" s="124">
        <v>67.5</v>
      </c>
      <c r="C113" s="124">
        <v>73</v>
      </c>
      <c r="D113" s="124">
        <v>79</v>
      </c>
      <c r="E113" s="124">
        <v>91.5</v>
      </c>
      <c r="F113" s="124">
        <v>96.1</v>
      </c>
      <c r="G113" s="124">
        <v>102.6</v>
      </c>
      <c r="H113" s="124">
        <v>99.7</v>
      </c>
      <c r="I113" s="124">
        <v>98</v>
      </c>
      <c r="J113" s="124">
        <v>102.5</v>
      </c>
      <c r="K113" s="124">
        <v>82.1</v>
      </c>
      <c r="L113" s="124">
        <v>91</v>
      </c>
      <c r="M113" s="124">
        <v>106.7</v>
      </c>
      <c r="N113" s="124">
        <v>115.3</v>
      </c>
      <c r="O113" s="124">
        <v>113.9</v>
      </c>
      <c r="P113" s="124">
        <v>100.9</v>
      </c>
      <c r="Q113" s="124">
        <v>94.1</v>
      </c>
      <c r="R113" s="124">
        <v>83</v>
      </c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5">
        <v>120</v>
      </c>
      <c r="AH113" s="52">
        <f t="shared" si="10"/>
        <v>115.3</v>
      </c>
      <c r="AI113" s="53">
        <f t="shared" si="11"/>
        <v>67.5</v>
      </c>
    </row>
    <row r="114" spans="1:37" x14ac:dyDescent="0.25">
      <c r="A114" s="123" t="s">
        <v>118</v>
      </c>
      <c r="B114" s="124">
        <v>75</v>
      </c>
      <c r="C114" s="124">
        <v>81</v>
      </c>
      <c r="D114" s="124">
        <v>90</v>
      </c>
      <c r="E114" s="124">
        <v>101.1</v>
      </c>
      <c r="F114" s="124">
        <v>99.9</v>
      </c>
      <c r="G114" s="124">
        <v>107.4</v>
      </c>
      <c r="H114" s="124">
        <v>98.8</v>
      </c>
      <c r="I114" s="124">
        <v>90.9</v>
      </c>
      <c r="J114" s="124">
        <v>98.4</v>
      </c>
      <c r="K114" s="124">
        <v>72.2</v>
      </c>
      <c r="L114" s="124">
        <v>82.3</v>
      </c>
      <c r="M114" s="124">
        <v>99.7</v>
      </c>
      <c r="N114" s="124">
        <v>108.1</v>
      </c>
      <c r="O114" s="124">
        <v>105.4</v>
      </c>
      <c r="P114" s="124">
        <v>105.9</v>
      </c>
      <c r="Q114" s="124">
        <v>101.5</v>
      </c>
      <c r="R114" s="124">
        <v>95.5</v>
      </c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5"/>
      <c r="AH114" s="52">
        <f t="shared" si="10"/>
        <v>108.1</v>
      </c>
      <c r="AI114" s="53">
        <f t="shared" si="11"/>
        <v>72.2</v>
      </c>
    </row>
    <row r="115" spans="1:37" x14ac:dyDescent="0.25">
      <c r="A115" s="123" t="s">
        <v>119</v>
      </c>
      <c r="B115" s="124">
        <v>82</v>
      </c>
      <c r="C115" s="124">
        <v>80</v>
      </c>
      <c r="D115" s="124">
        <v>91</v>
      </c>
      <c r="E115" s="124">
        <v>56</v>
      </c>
      <c r="F115" s="124">
        <v>52.8</v>
      </c>
      <c r="G115" s="124">
        <v>58.8</v>
      </c>
      <c r="H115" s="124">
        <v>56.3</v>
      </c>
      <c r="I115" s="124">
        <v>49.2</v>
      </c>
      <c r="J115" s="124">
        <v>44.3</v>
      </c>
      <c r="K115" s="124">
        <v>35.9</v>
      </c>
      <c r="L115" s="124">
        <v>38.700000000000003</v>
      </c>
      <c r="M115" s="124">
        <v>43.5</v>
      </c>
      <c r="N115" s="124">
        <v>44.6</v>
      </c>
      <c r="O115" s="124">
        <v>50.5</v>
      </c>
      <c r="P115" s="124">
        <v>46.4</v>
      </c>
      <c r="Q115" s="124">
        <v>44.6</v>
      </c>
      <c r="R115" s="124">
        <v>38</v>
      </c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10"/>
        <v>91</v>
      </c>
      <c r="AI115" s="53">
        <f t="shared" si="11"/>
        <v>35.9</v>
      </c>
    </row>
    <row r="116" spans="1:37" x14ac:dyDescent="0.25">
      <c r="A116" s="127" t="s">
        <v>120</v>
      </c>
      <c r="B116" s="113">
        <v>-14</v>
      </c>
      <c r="C116" s="113">
        <v>-10</v>
      </c>
      <c r="D116" s="113">
        <v>-10</v>
      </c>
      <c r="E116" s="113">
        <v>-19.7</v>
      </c>
      <c r="F116" s="113">
        <v>-18.7</v>
      </c>
      <c r="G116" s="113">
        <v>-17.399999999999999</v>
      </c>
      <c r="H116" s="113">
        <v>-18.5</v>
      </c>
      <c r="I116" s="113">
        <v>-22.8</v>
      </c>
      <c r="J116" s="113">
        <v>-26.5</v>
      </c>
      <c r="K116" s="113">
        <v>-28.3</v>
      </c>
      <c r="L116" s="113">
        <v>-32.799999999999997</v>
      </c>
      <c r="M116" s="113">
        <v>-32.4</v>
      </c>
      <c r="N116" s="113">
        <v>-16.5</v>
      </c>
      <c r="O116" s="113">
        <v>-31</v>
      </c>
      <c r="P116" s="113">
        <v>-15</v>
      </c>
      <c r="Q116" s="113">
        <v>-15</v>
      </c>
      <c r="R116" s="113">
        <v>-14.2</v>
      </c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26"/>
      <c r="AH116" s="52">
        <f t="shared" si="10"/>
        <v>-10</v>
      </c>
      <c r="AI116" s="53">
        <f t="shared" si="11"/>
        <v>-32.799999999999997</v>
      </c>
    </row>
    <row r="117" spans="1:37" ht="15.75" thickBot="1" x14ac:dyDescent="0.3">
      <c r="A117" s="127" t="s">
        <v>121</v>
      </c>
      <c r="B117" s="113">
        <v>111</v>
      </c>
      <c r="C117" s="113">
        <v>111</v>
      </c>
      <c r="D117" s="113">
        <v>113</v>
      </c>
      <c r="E117" s="113">
        <v>99.5</v>
      </c>
      <c r="F117" s="113">
        <v>99</v>
      </c>
      <c r="G117" s="113">
        <v>93.2</v>
      </c>
      <c r="H117" s="113">
        <v>88</v>
      </c>
      <c r="I117" s="113">
        <v>79.3</v>
      </c>
      <c r="J117" s="113">
        <v>76.900000000000006</v>
      </c>
      <c r="K117" s="113">
        <v>70.400000000000006</v>
      </c>
      <c r="L117" s="113">
        <v>72.599999999999994</v>
      </c>
      <c r="M117" s="113">
        <v>77</v>
      </c>
      <c r="N117" s="113">
        <v>84</v>
      </c>
      <c r="O117" s="113">
        <v>85</v>
      </c>
      <c r="P117" s="113">
        <v>84.7</v>
      </c>
      <c r="Q117" s="113">
        <v>84.9</v>
      </c>
      <c r="R117" s="113">
        <v>84.3</v>
      </c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26"/>
      <c r="AH117" s="52">
        <f t="shared" si="10"/>
        <v>113</v>
      </c>
      <c r="AI117" s="53">
        <f t="shared" si="11"/>
        <v>70.400000000000006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18">SUM(B119:B223)</f>
        <v>0</v>
      </c>
      <c r="C224" s="144">
        <f t="shared" si="18"/>
        <v>0</v>
      </c>
      <c r="D224" s="144">
        <f t="shared" si="18"/>
        <v>0</v>
      </c>
      <c r="E224" s="144">
        <f t="shared" si="18"/>
        <v>0</v>
      </c>
      <c r="F224" s="144">
        <f t="shared" si="18"/>
        <v>0</v>
      </c>
      <c r="G224" s="144">
        <f t="shared" si="18"/>
        <v>0</v>
      </c>
      <c r="H224" s="144">
        <f t="shared" si="18"/>
        <v>0</v>
      </c>
      <c r="I224" s="144">
        <f t="shared" si="18"/>
        <v>0</v>
      </c>
      <c r="J224" s="144">
        <f t="shared" si="18"/>
        <v>0</v>
      </c>
      <c r="K224" s="144">
        <f t="shared" si="18"/>
        <v>0</v>
      </c>
      <c r="L224" s="144">
        <f t="shared" si="18"/>
        <v>0</v>
      </c>
      <c r="M224" s="144">
        <f t="shared" si="18"/>
        <v>0</v>
      </c>
      <c r="N224" s="144">
        <f t="shared" si="18"/>
        <v>0</v>
      </c>
      <c r="O224" s="144">
        <f t="shared" si="18"/>
        <v>0</v>
      </c>
      <c r="P224" s="144">
        <f t="shared" si="18"/>
        <v>0</v>
      </c>
      <c r="Q224" s="144">
        <f t="shared" si="18"/>
        <v>0</v>
      </c>
      <c r="R224" s="144">
        <f t="shared" si="18"/>
        <v>0</v>
      </c>
      <c r="S224" s="144">
        <f t="shared" si="18"/>
        <v>0</v>
      </c>
      <c r="T224" s="144">
        <f t="shared" si="18"/>
        <v>0</v>
      </c>
      <c r="U224" s="144">
        <f t="shared" si="18"/>
        <v>0</v>
      </c>
      <c r="V224" s="144">
        <f t="shared" si="18"/>
        <v>0</v>
      </c>
      <c r="W224" s="144">
        <f t="shared" si="18"/>
        <v>0</v>
      </c>
      <c r="X224" s="144">
        <f t="shared" si="18"/>
        <v>0</v>
      </c>
      <c r="Y224" s="144">
        <f t="shared" si="18"/>
        <v>0</v>
      </c>
      <c r="Z224" s="144">
        <f t="shared" si="18"/>
        <v>0</v>
      </c>
      <c r="AA224" s="144">
        <f t="shared" si="18"/>
        <v>0</v>
      </c>
      <c r="AB224" s="144">
        <f t="shared" si="18"/>
        <v>0</v>
      </c>
      <c r="AC224" s="144">
        <f t="shared" si="18"/>
        <v>0</v>
      </c>
      <c r="AD224" s="144">
        <f t="shared" si="18"/>
        <v>0</v>
      </c>
      <c r="AE224" s="144">
        <f t="shared" si="18"/>
        <v>0</v>
      </c>
      <c r="AF224" s="145">
        <f t="shared" si="18"/>
        <v>0</v>
      </c>
      <c r="AG224" s="146">
        <f t="shared" si="18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19">AF226</f>
        <v>0</v>
      </c>
      <c r="C226" s="149">
        <v>0.3</v>
      </c>
      <c r="D226" s="149">
        <f t="shared" ref="D226:P231" si="20">C226</f>
        <v>0.3</v>
      </c>
      <c r="E226" s="149">
        <f t="shared" si="20"/>
        <v>0.3</v>
      </c>
      <c r="F226" s="149">
        <f t="shared" si="20"/>
        <v>0.3</v>
      </c>
      <c r="G226" s="149">
        <f t="shared" si="20"/>
        <v>0.3</v>
      </c>
      <c r="H226" s="149">
        <f t="shared" si="20"/>
        <v>0.3</v>
      </c>
      <c r="I226" s="149">
        <f t="shared" si="20"/>
        <v>0.3</v>
      </c>
      <c r="J226" s="149">
        <f t="shared" si="20"/>
        <v>0.3</v>
      </c>
      <c r="K226" s="149">
        <f t="shared" si="20"/>
        <v>0.3</v>
      </c>
      <c r="L226" s="149">
        <f t="shared" si="20"/>
        <v>0.3</v>
      </c>
      <c r="M226" s="149">
        <f t="shared" si="20"/>
        <v>0.3</v>
      </c>
      <c r="N226" s="149">
        <f t="shared" si="20"/>
        <v>0.3</v>
      </c>
      <c r="O226" s="149">
        <f t="shared" si="20"/>
        <v>0.3</v>
      </c>
      <c r="P226" s="149">
        <f t="shared" si="20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19"/>
        <v>0</v>
      </c>
      <c r="C227" s="136">
        <v>0.4</v>
      </c>
      <c r="D227" s="136">
        <f t="shared" si="20"/>
        <v>0.4</v>
      </c>
      <c r="E227" s="136">
        <f t="shared" si="20"/>
        <v>0.4</v>
      </c>
      <c r="F227" s="136">
        <f t="shared" si="20"/>
        <v>0.4</v>
      </c>
      <c r="G227" s="136">
        <f t="shared" si="20"/>
        <v>0.4</v>
      </c>
      <c r="H227" s="136">
        <f t="shared" si="20"/>
        <v>0.4</v>
      </c>
      <c r="I227" s="136">
        <f t="shared" si="20"/>
        <v>0.4</v>
      </c>
      <c r="J227" s="136">
        <f t="shared" si="20"/>
        <v>0.4</v>
      </c>
      <c r="K227" s="136">
        <f t="shared" si="20"/>
        <v>0.4</v>
      </c>
      <c r="L227" s="136">
        <f t="shared" si="20"/>
        <v>0.4</v>
      </c>
      <c r="M227" s="136">
        <f t="shared" si="20"/>
        <v>0.4</v>
      </c>
      <c r="N227" s="136">
        <f t="shared" si="20"/>
        <v>0.4</v>
      </c>
      <c r="O227" s="136">
        <f t="shared" si="20"/>
        <v>0.4</v>
      </c>
      <c r="P227" s="136">
        <f t="shared" si="20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19"/>
        <v>0</v>
      </c>
      <c r="C228" s="136">
        <v>1.5</v>
      </c>
      <c r="D228" s="136">
        <f t="shared" si="20"/>
        <v>1.5</v>
      </c>
      <c r="E228" s="136">
        <f t="shared" si="20"/>
        <v>1.5</v>
      </c>
      <c r="F228" s="136">
        <f t="shared" si="20"/>
        <v>1.5</v>
      </c>
      <c r="G228" s="136">
        <f t="shared" si="20"/>
        <v>1.5</v>
      </c>
      <c r="H228" s="136">
        <f t="shared" si="20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20"/>
        <v>1.5</v>
      </c>
      <c r="K228" s="136">
        <f t="shared" ca="1" si="20"/>
        <v>1.5</v>
      </c>
      <c r="L228" s="136">
        <f t="shared" ca="1" si="20"/>
        <v>1.5</v>
      </c>
      <c r="M228" s="136">
        <f t="shared" ca="1" si="20"/>
        <v>1.5</v>
      </c>
      <c r="N228" s="136">
        <f t="shared" ca="1" si="20"/>
        <v>1.5</v>
      </c>
      <c r="O228" s="136">
        <f t="shared" ca="1" si="20"/>
        <v>1.5</v>
      </c>
      <c r="P228" s="136">
        <f t="shared" ca="1" si="20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19"/>
        <v>0</v>
      </c>
      <c r="C229" s="136">
        <v>0.3</v>
      </c>
      <c r="D229" s="136">
        <f t="shared" si="20"/>
        <v>0.3</v>
      </c>
      <c r="E229" s="136">
        <f t="shared" si="20"/>
        <v>0.3</v>
      </c>
      <c r="F229" s="136">
        <f t="shared" si="20"/>
        <v>0.3</v>
      </c>
      <c r="G229" s="136">
        <f t="shared" si="20"/>
        <v>0.3</v>
      </c>
      <c r="H229" s="136">
        <f t="shared" si="20"/>
        <v>0.3</v>
      </c>
      <c r="I229" s="136">
        <f t="shared" si="20"/>
        <v>0.3</v>
      </c>
      <c r="J229" s="136">
        <f t="shared" si="20"/>
        <v>0.3</v>
      </c>
      <c r="K229" s="136">
        <f t="shared" si="20"/>
        <v>0.3</v>
      </c>
      <c r="L229" s="136">
        <f t="shared" si="20"/>
        <v>0.3</v>
      </c>
      <c r="M229" s="136">
        <f t="shared" si="20"/>
        <v>0.3</v>
      </c>
      <c r="N229" s="136">
        <f t="shared" si="20"/>
        <v>0.3</v>
      </c>
      <c r="O229" s="136">
        <f t="shared" si="20"/>
        <v>0.3</v>
      </c>
      <c r="P229" s="136">
        <f t="shared" si="20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19"/>
        <v>0</v>
      </c>
      <c r="C230" s="136">
        <v>0.4</v>
      </c>
      <c r="D230" s="136">
        <f t="shared" si="20"/>
        <v>0.4</v>
      </c>
      <c r="E230" s="136">
        <f t="shared" si="20"/>
        <v>0.4</v>
      </c>
      <c r="F230" s="136">
        <f t="shared" si="20"/>
        <v>0.4</v>
      </c>
      <c r="G230" s="136">
        <f t="shared" si="20"/>
        <v>0.4</v>
      </c>
      <c r="H230" s="136">
        <f t="shared" si="20"/>
        <v>0.4</v>
      </c>
      <c r="I230" s="136">
        <f t="shared" si="20"/>
        <v>0.4</v>
      </c>
      <c r="J230" s="136">
        <f t="shared" si="20"/>
        <v>0.4</v>
      </c>
      <c r="K230" s="136">
        <f t="shared" si="20"/>
        <v>0.4</v>
      </c>
      <c r="L230" s="136">
        <f t="shared" si="20"/>
        <v>0.4</v>
      </c>
      <c r="M230" s="136">
        <f t="shared" si="20"/>
        <v>0.4</v>
      </c>
      <c r="N230" s="136">
        <f t="shared" si="20"/>
        <v>0.4</v>
      </c>
      <c r="O230" s="136">
        <f t="shared" si="20"/>
        <v>0.4</v>
      </c>
      <c r="P230" s="136">
        <f t="shared" si="20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19"/>
        <v>0</v>
      </c>
      <c r="C231" s="140">
        <v>0.64</v>
      </c>
      <c r="D231" s="140">
        <f t="shared" si="20"/>
        <v>0.64</v>
      </c>
      <c r="E231" s="140">
        <f t="shared" si="20"/>
        <v>0.64</v>
      </c>
      <c r="F231" s="140">
        <f t="shared" si="20"/>
        <v>0.64</v>
      </c>
      <c r="G231" s="140">
        <f t="shared" si="20"/>
        <v>0.64</v>
      </c>
      <c r="H231" s="140">
        <f t="shared" si="20"/>
        <v>0.64</v>
      </c>
      <c r="I231" s="140">
        <f t="shared" si="20"/>
        <v>0.64</v>
      </c>
      <c r="J231" s="140">
        <f t="shared" si="20"/>
        <v>0.64</v>
      </c>
      <c r="K231" s="140">
        <f t="shared" si="20"/>
        <v>0.64</v>
      </c>
      <c r="L231" s="140">
        <f t="shared" si="20"/>
        <v>0.64</v>
      </c>
      <c r="M231" s="140">
        <f t="shared" si="20"/>
        <v>0.64</v>
      </c>
      <c r="N231" s="140">
        <f t="shared" si="20"/>
        <v>0.64</v>
      </c>
      <c r="O231" s="140">
        <f t="shared" si="20"/>
        <v>0.64</v>
      </c>
      <c r="P231" s="140">
        <f t="shared" si="20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1">SUM(B226:B231)</f>
        <v>0</v>
      </c>
      <c r="C232" s="144">
        <f t="shared" si="21"/>
        <v>3.54</v>
      </c>
      <c r="D232" s="144">
        <f t="shared" si="21"/>
        <v>3.54</v>
      </c>
      <c r="E232" s="144">
        <f t="shared" si="21"/>
        <v>3.54</v>
      </c>
      <c r="F232" s="144">
        <f t="shared" si="21"/>
        <v>3.54</v>
      </c>
      <c r="G232" s="144">
        <f t="shared" si="21"/>
        <v>3.54</v>
      </c>
      <c r="H232" s="144">
        <f t="shared" si="21"/>
        <v>3.54</v>
      </c>
      <c r="I232" s="144">
        <f t="shared" ca="1" si="21"/>
        <v>3.54</v>
      </c>
      <c r="J232" s="144">
        <f t="shared" ca="1" si="21"/>
        <v>3.54</v>
      </c>
      <c r="K232" s="144">
        <f t="shared" ca="1" si="21"/>
        <v>3.54</v>
      </c>
      <c r="L232" s="144">
        <f t="shared" ca="1" si="21"/>
        <v>3.54</v>
      </c>
      <c r="M232" s="144">
        <f t="shared" ca="1" si="21"/>
        <v>3.54</v>
      </c>
      <c r="N232" s="144">
        <f t="shared" ca="1" si="21"/>
        <v>3.54</v>
      </c>
      <c r="O232" s="144">
        <f t="shared" ca="1" si="21"/>
        <v>3.54</v>
      </c>
      <c r="P232" s="144">
        <f t="shared" ca="1" si="21"/>
        <v>3.54</v>
      </c>
      <c r="Q232" s="144">
        <f t="shared" si="21"/>
        <v>0</v>
      </c>
      <c r="R232" s="144">
        <f t="shared" si="21"/>
        <v>0</v>
      </c>
      <c r="S232" s="144">
        <f t="shared" si="21"/>
        <v>0</v>
      </c>
      <c r="T232" s="144">
        <f t="shared" si="21"/>
        <v>0</v>
      </c>
      <c r="U232" s="144">
        <f t="shared" si="21"/>
        <v>0</v>
      </c>
      <c r="V232" s="144">
        <f t="shared" si="21"/>
        <v>0</v>
      </c>
      <c r="W232" s="144">
        <f t="shared" si="21"/>
        <v>0</v>
      </c>
      <c r="X232" s="144">
        <f t="shared" si="21"/>
        <v>0</v>
      </c>
      <c r="Y232" s="144">
        <f t="shared" si="21"/>
        <v>0</v>
      </c>
      <c r="Z232" s="144">
        <f t="shared" si="21"/>
        <v>0</v>
      </c>
      <c r="AA232" s="144">
        <f t="shared" si="21"/>
        <v>0</v>
      </c>
      <c r="AB232" s="144">
        <f t="shared" si="21"/>
        <v>0</v>
      </c>
      <c r="AC232" s="144">
        <f t="shared" si="21"/>
        <v>0</v>
      </c>
      <c r="AD232" s="144">
        <f t="shared" si="21"/>
        <v>0</v>
      </c>
      <c r="AE232" s="144">
        <f t="shared" si="21"/>
        <v>0</v>
      </c>
      <c r="AF232" s="144">
        <f t="shared" si="21"/>
        <v>0</v>
      </c>
      <c r="AG232" s="154">
        <f t="shared" si="21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1315.84</v>
      </c>
      <c r="C241" s="170">
        <f>INDEX(G9:N9,1,MATCH(MAX(G89:N89),G89:N89,0))</f>
        <v>0.375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00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str">
        <f ca="1">"Pie Chart of Daily Peak Demand(Inclusive of Export) of Nepal ("&amp;A4&amp;" "&amp;B4&amp;")"</f>
        <v>Pie Chart of Daily Peak Demand(Inclusive of Export) of Nepal (Nepali Date: 2079/12/0)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str">
        <f ca="1">"Daily Load Curve(Excluding of Export) of Nepal ("&amp;A4&amp;" "&amp;B4&amp;")"</f>
        <v>Daily Load Curve(Excluding of Export) of Nepal (Nepali Date: 2079/12/0)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2">B89</f>
        <v>1324.3400000000001</v>
      </c>
      <c r="U246" s="180">
        <f t="shared" si="22"/>
        <v>1210.1400000000001</v>
      </c>
      <c r="V246" s="180">
        <f t="shared" si="22"/>
        <v>1225.3400000000001</v>
      </c>
      <c r="W246" s="180">
        <f t="shared" si="22"/>
        <v>1189.6399999999999</v>
      </c>
      <c r="X246" s="180">
        <f t="shared" si="22"/>
        <v>1143.04</v>
      </c>
      <c r="Y246" s="180">
        <f t="shared" si="22"/>
        <v>1157.6399999999999</v>
      </c>
      <c r="Z246" s="180">
        <f t="shared" si="22"/>
        <v>1205.04</v>
      </c>
      <c r="AA246" s="180">
        <f t="shared" si="22"/>
        <v>1141.74</v>
      </c>
      <c r="AB246" s="180">
        <f t="shared" si="22"/>
        <v>1141.94</v>
      </c>
      <c r="AC246" s="180">
        <f t="shared" si="22"/>
        <v>1055.54</v>
      </c>
      <c r="AD246" s="180">
        <f t="shared" si="22"/>
        <v>1180.24</v>
      </c>
      <c r="AE246" s="180">
        <f t="shared" si="22"/>
        <v>1300.3399999999999</v>
      </c>
      <c r="AF246" s="180">
        <f t="shared" si="22"/>
        <v>1315.84</v>
      </c>
      <c r="AG246" s="180">
        <f t="shared" si="22"/>
        <v>1286.9399999999998</v>
      </c>
      <c r="AH246" s="180">
        <f t="shared" si="22"/>
        <v>1257.3400000000001</v>
      </c>
      <c r="AI246" s="180">
        <f t="shared" si="22"/>
        <v>1242.29</v>
      </c>
      <c r="AJ246" s="180">
        <f t="shared" si="22"/>
        <v>1194.74</v>
      </c>
      <c r="AK246" s="180">
        <f t="shared" si="22"/>
        <v>3.54</v>
      </c>
      <c r="AL246" s="180">
        <f t="shared" si="22"/>
        <v>3.54</v>
      </c>
      <c r="AM246" s="180">
        <f t="shared" si="22"/>
        <v>3.54</v>
      </c>
      <c r="AN246" s="180">
        <f t="shared" si="22"/>
        <v>3.54</v>
      </c>
      <c r="AO246" s="180">
        <f t="shared" si="22"/>
        <v>3.54</v>
      </c>
      <c r="AP246" s="180">
        <f t="shared" si="22"/>
        <v>3.54</v>
      </c>
      <c r="AQ246" s="180">
        <f t="shared" si="22"/>
        <v>3.54</v>
      </c>
      <c r="AR246" s="180">
        <f t="shared" si="22"/>
        <v>3.54</v>
      </c>
      <c r="AS246" s="180">
        <f t="shared" si="22"/>
        <v>3.54</v>
      </c>
      <c r="AT246" s="180">
        <f t="shared" si="22"/>
        <v>3.54</v>
      </c>
      <c r="AU246" s="180">
        <f t="shared" si="22"/>
        <v>3.54</v>
      </c>
      <c r="AV246" s="180">
        <f t="shared" si="22"/>
        <v>3.54</v>
      </c>
      <c r="AW246" s="180">
        <f t="shared" si="22"/>
        <v>3.54</v>
      </c>
      <c r="AX246" s="180">
        <f t="shared" si="22"/>
        <v>3.54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3">C231</f>
        <v>0.64</v>
      </c>
      <c r="C267" s="183">
        <f t="shared" si="23"/>
        <v>0.64</v>
      </c>
      <c r="D267" s="183">
        <f t="shared" si="23"/>
        <v>0.64</v>
      </c>
      <c r="E267" s="183">
        <f t="shared" si="23"/>
        <v>0.64</v>
      </c>
      <c r="F267" s="183">
        <f t="shared" si="23"/>
        <v>0.64</v>
      </c>
      <c r="G267" s="183">
        <f t="shared" si="23"/>
        <v>0.64</v>
      </c>
      <c r="H267" s="183">
        <f t="shared" si="23"/>
        <v>0.64</v>
      </c>
      <c r="I267" s="183">
        <f t="shared" si="23"/>
        <v>0.64</v>
      </c>
      <c r="J267" s="183">
        <f t="shared" si="23"/>
        <v>0.64</v>
      </c>
      <c r="K267" s="183">
        <f t="shared" si="23"/>
        <v>0.64</v>
      </c>
      <c r="L267" s="183">
        <f t="shared" si="23"/>
        <v>0.64</v>
      </c>
      <c r="M267" s="183">
        <f t="shared" si="23"/>
        <v>0.64</v>
      </c>
      <c r="N267" s="183">
        <f t="shared" si="23"/>
        <v>0.64</v>
      </c>
      <c r="O267" s="183">
        <f t="shared" si="23"/>
        <v>0.64</v>
      </c>
      <c r="P267" s="183">
        <f t="shared" si="23"/>
        <v>0</v>
      </c>
      <c r="Q267" s="183">
        <f t="shared" si="23"/>
        <v>0</v>
      </c>
      <c r="R267" s="183">
        <f t="shared" si="23"/>
        <v>0</v>
      </c>
      <c r="S267" s="183">
        <f t="shared" si="23"/>
        <v>0</v>
      </c>
      <c r="T267" s="183">
        <f t="shared" si="23"/>
        <v>0</v>
      </c>
      <c r="U267" s="183">
        <f t="shared" si="23"/>
        <v>0</v>
      </c>
      <c r="V267" s="183">
        <f t="shared" si="23"/>
        <v>0</v>
      </c>
      <c r="W267" s="183">
        <f t="shared" si="23"/>
        <v>0</v>
      </c>
      <c r="X267" s="183">
        <f t="shared" si="23"/>
        <v>0</v>
      </c>
      <c r="Y267" s="183">
        <f t="shared" si="23"/>
        <v>0</v>
      </c>
      <c r="Z267" s="183">
        <f t="shared" si="23"/>
        <v>0</v>
      </c>
      <c r="AA267" s="183">
        <f t="shared" si="23"/>
        <v>0</v>
      </c>
      <c r="AB267" s="183">
        <f t="shared" si="23"/>
        <v>0</v>
      </c>
      <c r="AC267" s="183">
        <f t="shared" si="23"/>
        <v>0</v>
      </c>
      <c r="AD267" s="183">
        <f t="shared" si="23"/>
        <v>0</v>
      </c>
      <c r="AE267" s="183">
        <f t="shared" si="23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4">IF(B235&lt;100,"",B235-520)</f>
        <v/>
      </c>
      <c r="C268" s="184" t="str">
        <f t="shared" si="24"/>
        <v/>
      </c>
      <c r="D268" s="184" t="str">
        <f t="shared" si="24"/>
        <v/>
      </c>
      <c r="E268" s="184" t="str">
        <f t="shared" si="24"/>
        <v/>
      </c>
      <c r="F268" s="184" t="str">
        <f t="shared" si="24"/>
        <v/>
      </c>
      <c r="G268" s="184" t="str">
        <f t="shared" si="24"/>
        <v/>
      </c>
      <c r="H268" s="184" t="str">
        <f t="shared" si="24"/>
        <v/>
      </c>
      <c r="I268" s="184" t="str">
        <f t="shared" si="24"/>
        <v/>
      </c>
      <c r="J268" s="184" t="str">
        <f t="shared" si="24"/>
        <v/>
      </c>
      <c r="K268" s="184" t="str">
        <f t="shared" si="24"/>
        <v/>
      </c>
      <c r="L268" s="184" t="str">
        <f t="shared" si="24"/>
        <v/>
      </c>
      <c r="M268" s="184" t="str">
        <f t="shared" si="24"/>
        <v/>
      </c>
      <c r="N268" s="184" t="str">
        <f t="shared" si="24"/>
        <v/>
      </c>
      <c r="O268" s="184" t="str">
        <f t="shared" si="24"/>
        <v/>
      </c>
      <c r="P268" s="184" t="str">
        <f t="shared" si="24"/>
        <v/>
      </c>
      <c r="Q268" s="184" t="str">
        <f t="shared" si="24"/>
        <v/>
      </c>
      <c r="R268" s="184" t="str">
        <f t="shared" si="24"/>
        <v/>
      </c>
      <c r="S268" s="184" t="str">
        <f t="shared" si="24"/>
        <v/>
      </c>
      <c r="T268" s="184" t="str">
        <f t="shared" si="24"/>
        <v/>
      </c>
      <c r="U268" s="184" t="str">
        <f t="shared" si="24"/>
        <v/>
      </c>
      <c r="V268" s="184" t="str">
        <f t="shared" si="24"/>
        <v/>
      </c>
      <c r="W268" s="184" t="str">
        <f t="shared" si="24"/>
        <v/>
      </c>
      <c r="X268" s="184" t="str">
        <f t="shared" si="24"/>
        <v/>
      </c>
      <c r="Y268" s="184" t="str">
        <f t="shared" si="24"/>
        <v/>
      </c>
      <c r="Z268" s="184" t="str">
        <f t="shared" si="24"/>
        <v/>
      </c>
      <c r="AA268" s="184" t="str">
        <f t="shared" si="24"/>
        <v/>
      </c>
      <c r="AB268" s="184" t="str">
        <f t="shared" si="24"/>
        <v/>
      </c>
      <c r="AC268" s="184" t="str">
        <f t="shared" si="24"/>
        <v/>
      </c>
      <c r="AD268" s="184" t="str">
        <f t="shared" si="24"/>
        <v/>
      </c>
      <c r="AE268" s="184" t="str">
        <f t="shared" si="24"/>
        <v/>
      </c>
      <c r="AF268" s="184" t="str">
        <f t="shared" si="24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5">IF(B236&lt;100,"",B236-620)</f>
        <v/>
      </c>
      <c r="C269" s="184" t="str">
        <f t="shared" si="25"/>
        <v/>
      </c>
      <c r="D269" s="184" t="str">
        <f t="shared" si="25"/>
        <v/>
      </c>
      <c r="E269" s="184" t="str">
        <f t="shared" si="25"/>
        <v/>
      </c>
      <c r="F269" s="184" t="str">
        <f t="shared" si="25"/>
        <v/>
      </c>
      <c r="G269" s="184" t="str">
        <f t="shared" si="25"/>
        <v/>
      </c>
      <c r="H269" s="184" t="str">
        <f t="shared" si="25"/>
        <v/>
      </c>
      <c r="I269" s="184" t="str">
        <f t="shared" si="25"/>
        <v/>
      </c>
      <c r="J269" s="184" t="str">
        <f t="shared" si="25"/>
        <v/>
      </c>
      <c r="K269" s="184" t="str">
        <f t="shared" si="25"/>
        <v/>
      </c>
      <c r="L269" s="184" t="str">
        <f t="shared" si="25"/>
        <v/>
      </c>
      <c r="M269" s="184" t="str">
        <f t="shared" si="25"/>
        <v/>
      </c>
      <c r="N269" s="184" t="str">
        <f t="shared" si="25"/>
        <v/>
      </c>
      <c r="O269" s="184" t="str">
        <f t="shared" si="25"/>
        <v/>
      </c>
      <c r="P269" s="184" t="str">
        <f t="shared" si="25"/>
        <v/>
      </c>
      <c r="Q269" s="184" t="str">
        <f t="shared" si="25"/>
        <v/>
      </c>
      <c r="R269" s="184" t="str">
        <f t="shared" si="25"/>
        <v/>
      </c>
      <c r="S269" s="184" t="str">
        <f t="shared" si="25"/>
        <v/>
      </c>
      <c r="T269" s="184" t="str">
        <f t="shared" si="25"/>
        <v/>
      </c>
      <c r="U269" s="184" t="str">
        <f t="shared" si="25"/>
        <v/>
      </c>
      <c r="V269" s="184" t="str">
        <f t="shared" si="25"/>
        <v/>
      </c>
      <c r="W269" s="184" t="str">
        <f t="shared" si="25"/>
        <v/>
      </c>
      <c r="X269" s="184" t="str">
        <f t="shared" si="25"/>
        <v/>
      </c>
      <c r="Y269" s="184" t="str">
        <f t="shared" si="25"/>
        <v/>
      </c>
      <c r="Z269" s="184" t="str">
        <f t="shared" si="25"/>
        <v/>
      </c>
      <c r="AA269" s="184" t="str">
        <f t="shared" si="25"/>
        <v/>
      </c>
      <c r="AB269" s="184" t="str">
        <f t="shared" si="25"/>
        <v/>
      </c>
      <c r="AC269" s="184" t="str">
        <f t="shared" si="25"/>
        <v/>
      </c>
      <c r="AD269" s="184" t="str">
        <f t="shared" si="25"/>
        <v/>
      </c>
      <c r="AE269" s="184" t="str">
        <f t="shared" si="25"/>
        <v/>
      </c>
      <c r="AF269" s="184" t="str">
        <f t="shared" si="25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6">IF(B237&lt;100,"",B237-330)</f>
        <v/>
      </c>
      <c r="C270" s="184" t="str">
        <f t="shared" si="26"/>
        <v/>
      </c>
      <c r="D270" s="184" t="str">
        <f t="shared" si="26"/>
        <v/>
      </c>
      <c r="E270" s="184" t="str">
        <f t="shared" si="26"/>
        <v/>
      </c>
      <c r="F270" s="184" t="str">
        <f t="shared" si="26"/>
        <v/>
      </c>
      <c r="G270" s="184" t="str">
        <f t="shared" si="26"/>
        <v/>
      </c>
      <c r="H270" s="184" t="str">
        <f t="shared" si="26"/>
        <v/>
      </c>
      <c r="I270" s="184" t="str">
        <f t="shared" si="26"/>
        <v/>
      </c>
      <c r="J270" s="184" t="str">
        <f t="shared" si="26"/>
        <v/>
      </c>
      <c r="K270" s="184" t="str">
        <f t="shared" si="26"/>
        <v/>
      </c>
      <c r="L270" s="184" t="str">
        <f t="shared" si="26"/>
        <v/>
      </c>
      <c r="M270" s="184" t="str">
        <f t="shared" si="26"/>
        <v/>
      </c>
      <c r="N270" s="184" t="str">
        <f t="shared" si="26"/>
        <v/>
      </c>
      <c r="O270" s="184" t="str">
        <f t="shared" si="26"/>
        <v/>
      </c>
      <c r="P270" s="184" t="str">
        <f t="shared" si="26"/>
        <v/>
      </c>
      <c r="Q270" s="184" t="str">
        <f t="shared" si="26"/>
        <v/>
      </c>
      <c r="R270" s="184" t="str">
        <f t="shared" si="26"/>
        <v/>
      </c>
      <c r="S270" s="184" t="str">
        <f t="shared" si="26"/>
        <v/>
      </c>
      <c r="T270" s="184" t="str">
        <f t="shared" si="26"/>
        <v/>
      </c>
      <c r="U270" s="184" t="str">
        <f t="shared" si="26"/>
        <v/>
      </c>
      <c r="V270" s="184" t="str">
        <f t="shared" si="26"/>
        <v/>
      </c>
      <c r="W270" s="184" t="str">
        <f t="shared" si="26"/>
        <v/>
      </c>
      <c r="X270" s="184" t="str">
        <f t="shared" si="26"/>
        <v/>
      </c>
      <c r="Y270" s="184" t="str">
        <f t="shared" si="26"/>
        <v/>
      </c>
      <c r="Z270" s="184" t="str">
        <f t="shared" si="26"/>
        <v/>
      </c>
      <c r="AA270" s="184" t="str">
        <f t="shared" si="26"/>
        <v/>
      </c>
      <c r="AB270" s="184" t="str">
        <f t="shared" si="26"/>
        <v/>
      </c>
      <c r="AC270" s="184" t="str">
        <f t="shared" si="26"/>
        <v/>
      </c>
      <c r="AD270" s="184" t="str">
        <f t="shared" si="26"/>
        <v/>
      </c>
      <c r="AE270" s="184" t="str">
        <f t="shared" si="26"/>
        <v/>
      </c>
      <c r="AF270" s="184" t="str">
        <f t="shared" si="26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7">IF(B238&lt;100,"",B238-1500)</f>
        <v/>
      </c>
      <c r="C271" s="184" t="str">
        <f t="shared" si="27"/>
        <v/>
      </c>
      <c r="D271" s="184" t="str">
        <f t="shared" si="27"/>
        <v/>
      </c>
      <c r="E271" s="184" t="str">
        <f t="shared" si="27"/>
        <v/>
      </c>
      <c r="F271" s="184" t="str">
        <f t="shared" si="27"/>
        <v/>
      </c>
      <c r="G271" s="184" t="str">
        <f t="shared" si="27"/>
        <v/>
      </c>
      <c r="H271" s="184" t="str">
        <f t="shared" si="27"/>
        <v/>
      </c>
      <c r="I271" s="184" t="str">
        <f t="shared" si="27"/>
        <v/>
      </c>
      <c r="J271" s="184" t="str">
        <f t="shared" si="27"/>
        <v/>
      </c>
      <c r="K271" s="184" t="str">
        <f t="shared" si="27"/>
        <v/>
      </c>
      <c r="L271" s="184" t="str">
        <f t="shared" si="27"/>
        <v/>
      </c>
      <c r="M271" s="184" t="str">
        <f t="shared" si="27"/>
        <v/>
      </c>
      <c r="N271" s="184" t="str">
        <f t="shared" si="27"/>
        <v/>
      </c>
      <c r="O271" s="184" t="str">
        <f t="shared" si="27"/>
        <v/>
      </c>
      <c r="P271" s="184" t="str">
        <f t="shared" si="27"/>
        <v/>
      </c>
      <c r="Q271" s="184" t="str">
        <f t="shared" si="27"/>
        <v/>
      </c>
      <c r="R271" s="184" t="str">
        <f t="shared" si="27"/>
        <v/>
      </c>
      <c r="S271" s="184" t="str">
        <f t="shared" si="27"/>
        <v/>
      </c>
      <c r="T271" s="184" t="str">
        <f t="shared" si="27"/>
        <v/>
      </c>
      <c r="U271" s="184" t="str">
        <f t="shared" si="27"/>
        <v/>
      </c>
      <c r="V271" s="184" t="str">
        <f t="shared" si="27"/>
        <v/>
      </c>
      <c r="W271" s="184" t="str">
        <f t="shared" si="27"/>
        <v/>
      </c>
      <c r="X271" s="184" t="str">
        <f t="shared" si="27"/>
        <v/>
      </c>
      <c r="Y271" s="184" t="str">
        <f t="shared" si="27"/>
        <v/>
      </c>
      <c r="Z271" s="184" t="str">
        <f t="shared" si="27"/>
        <v/>
      </c>
      <c r="AA271" s="184" t="str">
        <f t="shared" si="27"/>
        <v/>
      </c>
      <c r="AB271" s="184" t="str">
        <f t="shared" si="27"/>
        <v/>
      </c>
      <c r="AC271" s="184" t="str">
        <f t="shared" si="27"/>
        <v/>
      </c>
      <c r="AD271" s="184" t="str">
        <f t="shared" si="27"/>
        <v/>
      </c>
      <c r="AE271" s="184" t="str">
        <f t="shared" si="27"/>
        <v/>
      </c>
      <c r="AF271" s="184" t="str">
        <f t="shared" si="27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702" priority="339">
      <formula>B$9&gt;=20/24</formula>
    </cfRule>
    <cfRule type="expression" dxfId="701" priority="340">
      <formula>AND(B$9&gt;=14/24,B$9&lt;20/24)</formula>
    </cfRule>
    <cfRule type="expression" dxfId="700" priority="341">
      <formula>AND(B$9&gt;=8/24,B$9&lt;14/24)</formula>
    </cfRule>
    <cfRule type="expression" dxfId="699" priority="342">
      <formula>B$9&lt;8/24</formula>
    </cfRule>
  </conditionalFormatting>
  <conditionalFormatting sqref="AL4:AL6">
    <cfRule type="iconSet" priority="338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698" priority="337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697" priority="336">
      <formula>$AH12=0</formula>
    </cfRule>
  </conditionalFormatting>
  <conditionalFormatting sqref="A114">
    <cfRule type="expression" dxfId="696" priority="335">
      <formula>$AH114=0</formula>
    </cfRule>
  </conditionalFormatting>
  <conditionalFormatting sqref="AL42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695" priority="333">
      <formula>$AH45=0</formula>
    </cfRule>
  </conditionalFormatting>
  <conditionalFormatting sqref="A98">
    <cfRule type="expression" dxfId="694" priority="332">
      <formula>$AH98=0</formula>
    </cfRule>
  </conditionalFormatting>
  <conditionalFormatting sqref="A18">
    <cfRule type="expression" dxfId="693" priority="331">
      <formula>$AH18=0</formula>
    </cfRule>
  </conditionalFormatting>
  <conditionalFormatting sqref="A196:A201">
    <cfRule type="expression" dxfId="692" priority="330">
      <formula>$AH196=0</formula>
    </cfRule>
  </conditionalFormatting>
  <conditionalFormatting sqref="A190:A195">
    <cfRule type="expression" dxfId="691" priority="329">
      <formula>$AH190=0</formula>
    </cfRule>
  </conditionalFormatting>
  <conditionalFormatting sqref="A58">
    <cfRule type="expression" dxfId="690" priority="328">
      <formula>$AH58=0</formula>
    </cfRule>
  </conditionalFormatting>
  <conditionalFormatting sqref="A94">
    <cfRule type="expression" dxfId="689" priority="327">
      <formula>$AH94=0</formula>
    </cfRule>
  </conditionalFormatting>
  <conditionalFormatting sqref="E99:X99 AD99:AF99">
    <cfRule type="expression" dxfId="688" priority="323">
      <formula>E$9&gt;=20/24</formula>
    </cfRule>
    <cfRule type="expression" dxfId="687" priority="324">
      <formula>AND(E$9&gt;=14/24,E$9&lt;20/24)</formula>
    </cfRule>
    <cfRule type="expression" dxfId="686" priority="325">
      <formula>AND(E$9&gt;=8/24,E$9&lt;14/24)</formula>
    </cfRule>
    <cfRule type="expression" dxfId="685" priority="326">
      <formula>E$9&lt;8/24</formula>
    </cfRule>
  </conditionalFormatting>
  <conditionalFormatting sqref="AL4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84" priority="345">
      <formula>C$9&gt;=20/24</formula>
    </cfRule>
    <cfRule type="expression" dxfId="683" priority="346">
      <formula>AND(C$9&gt;=14/24,C$9&lt;20/24)</formula>
    </cfRule>
    <cfRule type="expression" dxfId="682" priority="347">
      <formula>AND(C$9&gt;=8/24,C$9&lt;14/24)</formula>
    </cfRule>
    <cfRule type="expression" dxfId="681" priority="348">
      <formula>C$9&lt;8/24</formula>
    </cfRule>
  </conditionalFormatting>
  <conditionalFormatting sqref="A233">
    <cfRule type="expression" dxfId="680" priority="349">
      <formula>$AH233=0</formula>
    </cfRule>
  </conditionalFormatting>
  <conditionalFormatting sqref="AG245">
    <cfRule type="expression" dxfId="679" priority="350">
      <formula>B$9&gt;=20/24</formula>
    </cfRule>
    <cfRule type="expression" dxfId="678" priority="351">
      <formula>AND(B$9&gt;=14/24,B$9&lt;20/24)</formula>
    </cfRule>
    <cfRule type="expression" dxfId="677" priority="352">
      <formula>AND(B$9&gt;=8/24,B$9&lt;14/24)</formula>
    </cfRule>
    <cfRule type="expression" dxfId="676" priority="353">
      <formula>B$9&lt;8/24</formula>
    </cfRule>
  </conditionalFormatting>
  <conditionalFormatting sqref="S8">
    <cfRule type="expression" dxfId="675" priority="318">
      <formula>U$9&gt;=20/24</formula>
    </cfRule>
    <cfRule type="expression" dxfId="674" priority="319">
      <formula>AND(U$9&gt;=14/24,U$9&lt;20/24)</formula>
    </cfRule>
    <cfRule type="expression" dxfId="673" priority="320">
      <formula>AND(U$9&gt;=8/24,U$9&lt;14/24)</formula>
    </cfRule>
    <cfRule type="expression" dxfId="672" priority="321">
      <formula>U$9&lt;8/24</formula>
    </cfRule>
  </conditionalFormatting>
  <conditionalFormatting sqref="AB8">
    <cfRule type="expression" dxfId="671" priority="314">
      <formula>AD$9&gt;=20/24</formula>
    </cfRule>
    <cfRule type="expression" dxfId="670" priority="315">
      <formula>AND(AD$9&gt;=14/24,AD$9&lt;20/24)</formula>
    </cfRule>
    <cfRule type="expression" dxfId="669" priority="316">
      <formula>AND(AD$9&gt;=8/24,AD$9&lt;14/24)</formula>
    </cfRule>
    <cfRule type="expression" dxfId="668" priority="317">
      <formula>AD$9&lt;8/24</formula>
    </cfRule>
  </conditionalFormatting>
  <conditionalFormatting sqref="AH245:AX245">
    <cfRule type="expression" dxfId="667" priority="354">
      <formula>AG$9&gt;=20/24</formula>
    </cfRule>
    <cfRule type="expression" dxfId="666" priority="355">
      <formula>AND(AG$9&gt;=14/24,AG$9&lt;20/24)</formula>
    </cfRule>
    <cfRule type="expression" dxfId="665" priority="356">
      <formula>AND(AG$9&gt;=8/24,AG$9&lt;14/24)</formula>
    </cfRule>
    <cfRule type="expression" dxfId="664" priority="357">
      <formula>AG$9&lt;8/24</formula>
    </cfRule>
  </conditionalFormatting>
  <conditionalFormatting sqref="T245">
    <cfRule type="expression" dxfId="663" priority="358">
      <formula>AX$9&gt;=20/24</formula>
    </cfRule>
    <cfRule type="expression" dxfId="662" priority="359">
      <formula>AND(AX$9&gt;=14/24,AX$9&lt;20/24)</formula>
    </cfRule>
    <cfRule type="expression" dxfId="661" priority="360">
      <formula>AND(AX$9&gt;=8/24,AX$9&lt;14/24)</formula>
    </cfRule>
    <cfRule type="expression" dxfId="660" priority="361">
      <formula>AX$9&lt;8/24</formula>
    </cfRule>
  </conditionalFormatting>
  <conditionalFormatting sqref="A115:A116">
    <cfRule type="expression" dxfId="659" priority="313">
      <formula>$AH115=0</formula>
    </cfRule>
  </conditionalFormatting>
  <conditionalFormatting sqref="E71:AF71 AB54:AF57 N54:Q58">
    <cfRule type="expression" dxfId="658" priority="309">
      <formula>E$9&gt;=20/24</formula>
    </cfRule>
    <cfRule type="expression" dxfId="657" priority="310">
      <formula>AND(E$9&gt;=14/24,E$9&lt;20/24)</formula>
    </cfRule>
    <cfRule type="expression" dxfId="656" priority="311">
      <formula>AND(E$9&gt;=8/24,E$9&lt;14/24)</formula>
    </cfRule>
    <cfRule type="expression" dxfId="655" priority="312">
      <formula>E$9&lt;8/24</formula>
    </cfRule>
  </conditionalFormatting>
  <conditionalFormatting sqref="N53:Q53 AB53:AF53">
    <cfRule type="expression" dxfId="654" priority="305">
      <formula>N$9&gt;=20/24</formula>
    </cfRule>
    <cfRule type="expression" dxfId="653" priority="306">
      <formula>AND(N$9&gt;=14/24,N$9&lt;20/24)</formula>
    </cfRule>
    <cfRule type="expression" dxfId="652" priority="307">
      <formula>AND(N$9&gt;=8/24,N$9&lt;14/24)</formula>
    </cfRule>
    <cfRule type="expression" dxfId="651" priority="308">
      <formula>N$9&lt;8/24</formula>
    </cfRule>
  </conditionalFormatting>
  <conditionalFormatting sqref="AB53:AF57 N53:Q58">
    <cfRule type="expression" dxfId="650" priority="304">
      <formula>N53&gt;$AG53</formula>
    </cfRule>
  </conditionalFormatting>
  <conditionalFormatting sqref="D86:AF86 N100:X106 X96:AF96 AD100:AF106 E73:X73 Y72:AF74 X47:AF47 X67:AF69 F72:X72">
    <cfRule type="expression" dxfId="649" priority="300">
      <formula>D$9&gt;=20/24</formula>
    </cfRule>
    <cfRule type="expression" dxfId="648" priority="301">
      <formula>AND(D$9&gt;=14/24,D$9&lt;20/24)</formula>
    </cfRule>
    <cfRule type="expression" dxfId="647" priority="302">
      <formula>AND(D$9&gt;=8/24,D$9&lt;14/24)</formula>
    </cfRule>
    <cfRule type="expression" dxfId="646" priority="303">
      <formula>D$9&lt;8/24</formula>
    </cfRule>
  </conditionalFormatting>
  <conditionalFormatting sqref="X47:AF47 X67:AF69">
    <cfRule type="expression" dxfId="645" priority="299">
      <formula>X47&gt;$AG47</formula>
    </cfRule>
  </conditionalFormatting>
  <conditionalFormatting sqref="R53:AA58">
    <cfRule type="expression" dxfId="644" priority="295">
      <formula>R$9&gt;=20/24</formula>
    </cfRule>
    <cfRule type="expression" dxfId="643" priority="296">
      <formula>AND(R$9&gt;=14/24,R$9&lt;20/24)</formula>
    </cfRule>
    <cfRule type="expression" dxfId="642" priority="297">
      <formula>AND(R$9&gt;=8/24,R$9&lt;14/24)</formula>
    </cfRule>
    <cfRule type="expression" dxfId="641" priority="298">
      <formula>R$9&lt;8/24</formula>
    </cfRule>
  </conditionalFormatting>
  <conditionalFormatting sqref="R53:AA58">
    <cfRule type="expression" dxfId="640" priority="294">
      <formula>R53&gt;$AG53</formula>
    </cfRule>
  </conditionalFormatting>
  <conditionalFormatting sqref="C97:AF97 D88:AF88">
    <cfRule type="expression" dxfId="639" priority="290">
      <formula>C$9&gt;=20/24</formula>
    </cfRule>
    <cfRule type="expression" dxfId="638" priority="291">
      <formula>AND(C$9&gt;=14/24,C$9&lt;20/24)</formula>
    </cfRule>
    <cfRule type="expression" dxfId="637" priority="292">
      <formula>AND(C$9&gt;=8/24,C$9&lt;14/24)</formula>
    </cfRule>
    <cfRule type="expression" dxfId="636" priority="293">
      <formula>C$9&lt;8/24</formula>
    </cfRule>
  </conditionalFormatting>
  <conditionalFormatting sqref="T47:W47">
    <cfRule type="expression" dxfId="635" priority="286">
      <formula>T$9&gt;=20/24</formula>
    </cfRule>
    <cfRule type="expression" dxfId="634" priority="287">
      <formula>AND(T$9&gt;=14/24,T$9&lt;20/24)</formula>
    </cfRule>
    <cfRule type="expression" dxfId="633" priority="288">
      <formula>AND(T$9&gt;=8/24,T$9&lt;14/24)</formula>
    </cfRule>
    <cfRule type="expression" dxfId="632" priority="289">
      <formula>T$9&lt;8/24</formula>
    </cfRule>
  </conditionalFormatting>
  <conditionalFormatting sqref="T47:W47">
    <cfRule type="expression" dxfId="631" priority="285">
      <formula>T47&gt;$AG47</formula>
    </cfRule>
  </conditionalFormatting>
  <conditionalFormatting sqref="E54:M55">
    <cfRule type="expression" dxfId="630" priority="281">
      <formula>E$9&gt;=20/24</formula>
    </cfRule>
    <cfRule type="expression" dxfId="629" priority="282">
      <formula>AND(E$9&gt;=14/24,E$9&lt;20/24)</formula>
    </cfRule>
    <cfRule type="expression" dxfId="628" priority="283">
      <formula>AND(E$9&gt;=8/24,E$9&lt;14/24)</formula>
    </cfRule>
    <cfRule type="expression" dxfId="627" priority="284">
      <formula>E$9&lt;8/24</formula>
    </cfRule>
  </conditionalFormatting>
  <conditionalFormatting sqref="E53:M53">
    <cfRule type="expression" dxfId="626" priority="277">
      <formula>E$9&gt;=20/24</formula>
    </cfRule>
    <cfRule type="expression" dxfId="625" priority="278">
      <formula>AND(E$9&gt;=14/24,E$9&lt;20/24)</formula>
    </cfRule>
    <cfRule type="expression" dxfId="624" priority="279">
      <formula>AND(E$9&gt;=8/24,E$9&lt;14/24)</formula>
    </cfRule>
    <cfRule type="expression" dxfId="623" priority="280">
      <formula>E$9&lt;8/24</formula>
    </cfRule>
  </conditionalFormatting>
  <conditionalFormatting sqref="E53:M55">
    <cfRule type="expression" dxfId="622" priority="276">
      <formula>E53&gt;$AG53</formula>
    </cfRule>
  </conditionalFormatting>
  <conditionalFormatting sqref="AG70 AG87 Q67:W69 E100:M106">
    <cfRule type="expression" dxfId="621" priority="272">
      <formula>E$9&gt;=20/24</formula>
    </cfRule>
    <cfRule type="expression" dxfId="620" priority="273">
      <formula>AND(E$9&gt;=14/24,E$9&lt;20/24)</formula>
    </cfRule>
    <cfRule type="expression" dxfId="619" priority="274">
      <formula>AND(E$9&gt;=8/24,E$9&lt;14/24)</formula>
    </cfRule>
    <cfRule type="expression" dxfId="618" priority="275">
      <formula>E$9&lt;8/24</formula>
    </cfRule>
  </conditionalFormatting>
  <conditionalFormatting sqref="AG48 AG66 AG70 Q67:W69">
    <cfRule type="expression" dxfId="617" priority="271">
      <formula>Q48&gt;$AG48</formula>
    </cfRule>
  </conditionalFormatting>
  <conditionalFormatting sqref="AB58:AF58">
    <cfRule type="expression" dxfId="616" priority="267">
      <formula>AB$9&gt;=20/24</formula>
    </cfRule>
    <cfRule type="expression" dxfId="615" priority="268">
      <formula>AND(AB$9&gt;=14/24,AB$9&lt;20/24)</formula>
    </cfRule>
    <cfRule type="expression" dxfId="614" priority="269">
      <formula>AND(AB$9&gt;=8/24,AB$9&lt;14/24)</formula>
    </cfRule>
    <cfRule type="expression" dxfId="613" priority="270">
      <formula>AB$9&lt;8/24</formula>
    </cfRule>
  </conditionalFormatting>
  <conditionalFormatting sqref="AB58:AF58">
    <cfRule type="expression" dxfId="612" priority="266">
      <formula>AB58&gt;$AG58</formula>
    </cfRule>
  </conditionalFormatting>
  <conditionalFormatting sqref="A43">
    <cfRule type="expression" dxfId="611" priority="265">
      <formula>$AH43=0</formula>
    </cfRule>
  </conditionalFormatting>
  <conditionalFormatting sqref="X91:AF95">
    <cfRule type="expression" dxfId="610" priority="261">
      <formula>X$9&gt;=20/24</formula>
    </cfRule>
    <cfRule type="expression" dxfId="609" priority="262">
      <formula>AND(X$9&gt;=14/24,X$9&lt;20/24)</formula>
    </cfRule>
    <cfRule type="expression" dxfId="608" priority="263">
      <formula>AND(X$9&gt;=8/24,X$9&lt;14/24)</formula>
    </cfRule>
    <cfRule type="expression" dxfId="607" priority="264">
      <formula>X$9&lt;8/24</formula>
    </cfRule>
  </conditionalFormatting>
  <conditionalFormatting sqref="AL45 AL41 AL22:AL32 AL38:AL39 AL7:AL15 AL17:AL20 AL34:AL36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J49:Q49 N50:Q51 R49:AF51">
    <cfRule type="expression" dxfId="606" priority="257">
      <formula>J$9&gt;=20/24</formula>
    </cfRule>
    <cfRule type="expression" dxfId="605" priority="258">
      <formula>AND(J$9&gt;=14/24,J$9&lt;20/24)</formula>
    </cfRule>
    <cfRule type="expression" dxfId="604" priority="259">
      <formula>AND(J$9&gt;=8/24,J$9&lt;14/24)</formula>
    </cfRule>
    <cfRule type="expression" dxfId="603" priority="260">
      <formula>J$9&lt;8/24</formula>
    </cfRule>
  </conditionalFormatting>
  <conditionalFormatting sqref="J49:Q49 N50:Q51 R49:AF51">
    <cfRule type="expression" dxfId="602" priority="256">
      <formula>J49&gt;$AG49</formula>
    </cfRule>
  </conditionalFormatting>
  <conditionalFormatting sqref="AG52">
    <cfRule type="expression" dxfId="601" priority="252">
      <formula>AG$9&gt;=20/24</formula>
    </cfRule>
    <cfRule type="expression" dxfId="600" priority="253">
      <formula>AND(AG$9&gt;=14/24,AG$9&lt;20/24)</formula>
    </cfRule>
    <cfRule type="expression" dxfId="599" priority="254">
      <formula>AND(AG$9&gt;=8/24,AG$9&lt;14/24)</formula>
    </cfRule>
    <cfRule type="expression" dxfId="598" priority="255">
      <formula>AG$9&lt;8/24</formula>
    </cfRule>
  </conditionalFormatting>
  <conditionalFormatting sqref="AG52">
    <cfRule type="expression" dxfId="597" priority="251">
      <formula>AG52&gt;$AG52</formula>
    </cfRule>
  </conditionalFormatting>
  <conditionalFormatting sqref="C107:AF107">
    <cfRule type="expression" dxfId="596" priority="247">
      <formula>C$9&gt;=20/24</formula>
    </cfRule>
    <cfRule type="expression" dxfId="595" priority="248">
      <formula>AND(C$9&gt;=14/24,C$9&lt;20/24)</formula>
    </cfRule>
    <cfRule type="expression" dxfId="594" priority="249">
      <formula>AND(C$9&gt;=8/24,C$9&lt;14/24)</formula>
    </cfRule>
    <cfRule type="expression" dxfId="593" priority="250">
      <formula>C$9&lt;8/24</formula>
    </cfRule>
  </conditionalFormatting>
  <conditionalFormatting sqref="AL40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92" priority="245">
      <formula>$AH40=0</formula>
    </cfRule>
  </conditionalFormatting>
  <conditionalFormatting sqref="A90">
    <cfRule type="expression" dxfId="591" priority="243">
      <formula>$AH90=0</formula>
    </cfRule>
  </conditionalFormatting>
  <conditionalFormatting sqref="A87">
    <cfRule type="expression" dxfId="590" priority="244">
      <formula>$AH87=0</formula>
    </cfRule>
  </conditionalFormatting>
  <conditionalFormatting sqref="D110:AF110">
    <cfRule type="expression" dxfId="589" priority="239">
      <formula>D$9&gt;=20/24</formula>
    </cfRule>
    <cfRule type="expression" dxfId="588" priority="240">
      <formula>AND(D$9&gt;=14/24,D$9&lt;20/24)</formula>
    </cfRule>
    <cfRule type="expression" dxfId="587" priority="241">
      <formula>AND(D$9&gt;=8/24,D$9&lt;14/24)</formula>
    </cfRule>
    <cfRule type="expression" dxfId="586" priority="242">
      <formula>D$9&lt;8/24</formula>
    </cfRule>
  </conditionalFormatting>
  <conditionalFormatting sqref="A110">
    <cfRule type="expression" dxfId="585" priority="238">
      <formula>$AH110=0</formula>
    </cfRule>
  </conditionalFormatting>
  <conditionalFormatting sqref="A21">
    <cfRule type="expression" dxfId="584" priority="236">
      <formula>$AH21=0</formula>
    </cfRule>
  </conditionalFormatting>
  <conditionalFormatting sqref="AL21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83" priority="234">
      <formula>$AH37=0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582" priority="230">
      <formula>Y$9&gt;=20/24</formula>
    </cfRule>
    <cfRule type="expression" dxfId="581" priority="231">
      <formula>AND(Y$9&gt;=14/24,Y$9&lt;20/24)</formula>
    </cfRule>
    <cfRule type="expression" dxfId="580" priority="232">
      <formula>AND(Y$9&gt;=8/24,Y$9&lt;14/24)</formula>
    </cfRule>
    <cfRule type="expression" dxfId="579" priority="233">
      <formula>Y$9&lt;8/24</formula>
    </cfRule>
  </conditionalFormatting>
  <conditionalFormatting sqref="Y100:AC106">
    <cfRule type="expression" dxfId="578" priority="226">
      <formula>Y$9&gt;=20/24</formula>
    </cfRule>
    <cfRule type="expression" dxfId="577" priority="227">
      <formula>AND(Y$9&gt;=14/24,Y$9&lt;20/24)</formula>
    </cfRule>
    <cfRule type="expression" dxfId="576" priority="228">
      <formula>AND(Y$9&gt;=8/24,Y$9&lt;14/24)</formula>
    </cfRule>
    <cfRule type="expression" dxfId="575" priority="229">
      <formula>Y$9&lt;8/24</formula>
    </cfRule>
  </conditionalFormatting>
  <conditionalFormatting sqref="C109 C111:C116 S34:AF43 S17:AF32 N17:R18">
    <cfRule type="expression" dxfId="574" priority="222">
      <formula>C$9&gt;=20/24</formula>
    </cfRule>
    <cfRule type="expression" dxfId="573" priority="223">
      <formula>AND(C$9&gt;=14/24,C$9&lt;20/24)</formula>
    </cfRule>
    <cfRule type="expression" dxfId="572" priority="224">
      <formula>AND(C$9&gt;=8/24,C$9&lt;14/24)</formula>
    </cfRule>
    <cfRule type="expression" dxfId="571" priority="225">
      <formula>C$9&lt;8/24</formula>
    </cfRule>
  </conditionalFormatting>
  <conditionalFormatting sqref="C47:S47">
    <cfRule type="expression" dxfId="570" priority="218">
      <formula>C$9&gt;=20/24</formula>
    </cfRule>
    <cfRule type="expression" dxfId="569" priority="219">
      <formula>AND(C$9&gt;=14/24,C$9&lt;20/24)</formula>
    </cfRule>
    <cfRule type="expression" dxfId="568" priority="220">
      <formula>AND(C$9&gt;=8/24,C$9&lt;14/24)</formula>
    </cfRule>
    <cfRule type="expression" dxfId="567" priority="221">
      <formula>C$9&lt;8/24</formula>
    </cfRule>
  </conditionalFormatting>
  <conditionalFormatting sqref="S34:AF43 S17:AF32 C47:S47 N17:R18">
    <cfRule type="expression" dxfId="566" priority="217">
      <formula>C17&gt;$AG17</formula>
    </cfRule>
  </conditionalFormatting>
  <conditionalFormatting sqref="C99:D99">
    <cfRule type="expression" dxfId="565" priority="213">
      <formula>C$9&gt;=20/24</formula>
    </cfRule>
    <cfRule type="expression" dxfId="564" priority="214">
      <formula>AND(C$9&gt;=14/24,C$9&lt;20/24)</formula>
    </cfRule>
    <cfRule type="expression" dxfId="563" priority="215">
      <formula>AND(C$9&gt;=8/24,C$9&lt;14/24)</formula>
    </cfRule>
    <cfRule type="expression" dxfId="562" priority="216">
      <formula>C$9&lt;8/24</formula>
    </cfRule>
  </conditionalFormatting>
  <conditionalFormatting sqref="C86 C96:W96 C83:AF85 D100:D106 K67:P67 Y75:AF76 P76:X76 E74:X75 N68:P69">
    <cfRule type="expression" dxfId="561" priority="209">
      <formula>C$9&gt;=20/24</formula>
    </cfRule>
    <cfRule type="expression" dxfId="560" priority="210">
      <formula>AND(C$9&gt;=14/24,C$9&lt;20/24)</formula>
    </cfRule>
    <cfRule type="expression" dxfId="559" priority="211">
      <formula>AND(C$9&gt;=8/24,C$9&lt;14/24)</formula>
    </cfRule>
    <cfRule type="expression" dxfId="558" priority="212">
      <formula>C$9&lt;8/24</formula>
    </cfRule>
  </conditionalFormatting>
  <conditionalFormatting sqref="K67:P67 N68:P69 F56:M56">
    <cfRule type="expression" dxfId="557" priority="208">
      <formula>F56&gt;$AG56</formula>
    </cfRule>
  </conditionalFormatting>
  <conditionalFormatting sqref="B71:D71 B54:D57 E56:E57 F57:M57">
    <cfRule type="expression" dxfId="556" priority="132">
      <formula>B$9&gt;=20/24</formula>
    </cfRule>
    <cfRule type="expression" dxfId="555" priority="133">
      <formula>AND(B$9&gt;=14/24,B$9&lt;20/24)</formula>
    </cfRule>
    <cfRule type="expression" dxfId="554" priority="134">
      <formula>AND(B$9&gt;=8/24,B$9&lt;14/24)</formula>
    </cfRule>
    <cfRule type="expression" dxfId="553" priority="135">
      <formula>B$9&lt;8/24</formula>
    </cfRule>
  </conditionalFormatting>
  <conditionalFormatting sqref="C87:AF87 C89:AF89 C98:AF98 C70:AF70">
    <cfRule type="expression" dxfId="552" priority="199">
      <formula>C$9&gt;=20/24</formula>
    </cfRule>
    <cfRule type="expression" dxfId="551" priority="200">
      <formula>AND(C$9&gt;=14/24,C$9&lt;20/24)</formula>
    </cfRule>
    <cfRule type="expression" dxfId="550" priority="201">
      <formula>AND(C$9&gt;=8/24,C$9&lt;14/24)</formula>
    </cfRule>
    <cfRule type="expression" dxfId="549" priority="202">
      <formula>C$9&lt;8/24</formula>
    </cfRule>
  </conditionalFormatting>
  <conditionalFormatting sqref="C70:AF70 C65:AF66 C48:AF48">
    <cfRule type="expression" dxfId="548" priority="198">
      <formula>C48&gt;$AG48</formula>
    </cfRule>
  </conditionalFormatting>
  <conditionalFormatting sqref="C82:AF82">
    <cfRule type="expression" dxfId="547" priority="194">
      <formula>C$9&gt;=20/24</formula>
    </cfRule>
    <cfRule type="expression" dxfId="546" priority="195">
      <formula>AND(C$9&gt;=14/24,C$9&lt;20/24)</formula>
    </cfRule>
    <cfRule type="expression" dxfId="545" priority="196">
      <formula>AND(C$9&gt;=8/24,C$9&lt;14/24)</formula>
    </cfRule>
    <cfRule type="expression" dxfId="544" priority="197">
      <formula>C$9&lt;8/24</formula>
    </cfRule>
  </conditionalFormatting>
  <conditionalFormatting sqref="C91:W95">
    <cfRule type="expression" dxfId="543" priority="190">
      <formula>C$9&gt;=20/24</formula>
    </cfRule>
    <cfRule type="expression" dxfId="542" priority="191">
      <formula>AND(C$9&gt;=14/24,C$9&lt;20/24)</formula>
    </cfRule>
    <cfRule type="expression" dxfId="541" priority="192">
      <formula>AND(C$9&gt;=8/24,C$9&lt;14/24)</formula>
    </cfRule>
    <cfRule type="expression" dxfId="540" priority="193">
      <formula>C$9&lt;8/24</formula>
    </cfRule>
  </conditionalFormatting>
  <conditionalFormatting sqref="C52:AF52">
    <cfRule type="expression" dxfId="539" priority="186">
      <formula>C$9&gt;=20/24</formula>
    </cfRule>
    <cfRule type="expression" dxfId="538" priority="187">
      <formula>AND(C$9&gt;=14/24,C$9&lt;20/24)</formula>
    </cfRule>
    <cfRule type="expression" dxfId="537" priority="188">
      <formula>AND(C$9&gt;=8/24,C$9&lt;14/24)</formula>
    </cfRule>
    <cfRule type="expression" dxfId="536" priority="189">
      <formula>C$9&lt;8/24</formula>
    </cfRule>
  </conditionalFormatting>
  <conditionalFormatting sqref="C52:AF52">
    <cfRule type="expression" dxfId="535" priority="185">
      <formula>C52&gt;$AG52</formula>
    </cfRule>
  </conditionalFormatting>
  <conditionalFormatting sqref="B49:I51 J50:M51">
    <cfRule type="expression" dxfId="534" priority="100">
      <formula>B$9&gt;=20/24</formula>
    </cfRule>
    <cfRule type="expression" dxfId="533" priority="101">
      <formula>AND(B$9&gt;=14/24,B$9&lt;20/24)</formula>
    </cfRule>
    <cfRule type="expression" dxfId="532" priority="102">
      <formula>AND(B$9&gt;=8/24,B$9&lt;14/24)</formula>
    </cfRule>
    <cfRule type="expression" dxfId="531" priority="103">
      <formula>B$9&lt;8/24</formula>
    </cfRule>
  </conditionalFormatting>
  <conditionalFormatting sqref="C110">
    <cfRule type="expression" dxfId="530" priority="177">
      <formula>C$9&gt;=20/24</formula>
    </cfRule>
    <cfRule type="expression" dxfId="529" priority="178">
      <formula>AND(C$9&gt;=14/24,C$9&lt;20/24)</formula>
    </cfRule>
    <cfRule type="expression" dxfId="528" priority="179">
      <formula>AND(C$9&gt;=8/24,C$9&lt;14/24)</formula>
    </cfRule>
    <cfRule type="expression" dxfId="527" priority="180">
      <formula>C$9&lt;8/24</formula>
    </cfRule>
  </conditionalFormatting>
  <conditionalFormatting sqref="N59:AF64">
    <cfRule type="expression" dxfId="526" priority="173">
      <formula>N$9&gt;=20/24</formula>
    </cfRule>
    <cfRule type="expression" dxfId="525" priority="174">
      <formula>AND(N$9&gt;=14/24,N$9&lt;20/24)</formula>
    </cfRule>
    <cfRule type="expression" dxfId="524" priority="175">
      <formula>AND(N$9&gt;=8/24,N$9&lt;14/24)</formula>
    </cfRule>
    <cfRule type="expression" dxfId="523" priority="176">
      <formula>N$9&lt;8/24</formula>
    </cfRule>
  </conditionalFormatting>
  <conditionalFormatting sqref="N59:AF64">
    <cfRule type="expression" dxfId="522" priority="172">
      <formula>N59&gt;$AG59</formula>
    </cfRule>
  </conditionalFormatting>
  <conditionalFormatting sqref="S45:AF45 N13:AF15">
    <cfRule type="expression" dxfId="521" priority="171">
      <formula>N13&gt;$AG13</formula>
    </cfRule>
  </conditionalFormatting>
  <conditionalFormatting sqref="N12:AF12">
    <cfRule type="expression" dxfId="520" priority="167">
      <formula>N$9&gt;=20/24</formula>
    </cfRule>
    <cfRule type="expression" dxfId="519" priority="168">
      <formula>AND(N$9&gt;=14/24,N$9&lt;20/24)</formula>
    </cfRule>
    <cfRule type="expression" dxfId="518" priority="169">
      <formula>AND(N$9&gt;=8/24,N$9&lt;14/24)</formula>
    </cfRule>
    <cfRule type="expression" dxfId="517" priority="170">
      <formula>N$9&lt;8/24</formula>
    </cfRule>
  </conditionalFormatting>
  <conditionalFormatting sqref="N12:AF12">
    <cfRule type="expression" dxfId="516" priority="166">
      <formula>N12&gt;$AG12</formula>
    </cfRule>
  </conditionalFormatting>
  <conditionalFormatting sqref="N13:AF15">
    <cfRule type="expression" dxfId="515" priority="162">
      <formula>N$9&gt;=20/24</formula>
    </cfRule>
    <cfRule type="expression" dxfId="514" priority="163">
      <formula>AND(N$9&gt;=14/24,N$9&lt;20/24)</formula>
    </cfRule>
    <cfRule type="expression" dxfId="513" priority="164">
      <formula>AND(N$9&gt;=8/24,N$9&lt;14/24)</formula>
    </cfRule>
    <cfRule type="expression" dxfId="512" priority="165">
      <formula>N$9&lt;8/24</formula>
    </cfRule>
  </conditionalFormatting>
  <conditionalFormatting sqref="S45:AF45">
    <cfRule type="expression" dxfId="511" priority="158">
      <formula>S$9&gt;=20/24</formula>
    </cfRule>
    <cfRule type="expression" dxfId="510" priority="159">
      <formula>AND(S$9&gt;=14/24,S$9&lt;20/24)</formula>
    </cfRule>
    <cfRule type="expression" dxfId="509" priority="160">
      <formula>AND(S$9&gt;=8/24,S$9&lt;14/24)</formula>
    </cfRule>
    <cfRule type="expression" dxfId="508" priority="161">
      <formula>S$9&lt;8/24</formula>
    </cfRule>
  </conditionalFormatting>
  <conditionalFormatting sqref="N77:AF81">
    <cfRule type="expression" dxfId="507" priority="154">
      <formula>N$9&gt;=20/24</formula>
    </cfRule>
    <cfRule type="expression" dxfId="506" priority="155">
      <formula>AND(N$9&gt;=14/24,N$9&lt;20/24)</formula>
    </cfRule>
    <cfRule type="expression" dxfId="505" priority="156">
      <formula>AND(N$9&gt;=8/24,N$9&lt;14/24)</formula>
    </cfRule>
    <cfRule type="expression" dxfId="504" priority="157">
      <formula>N$9&lt;8/24</formula>
    </cfRule>
  </conditionalFormatting>
  <conditionalFormatting sqref="AL78:AN78 AL84:AN84 AN79:AN80">
    <cfRule type="expression" dxfId="503" priority="150">
      <formula>AL$9&gt;=20/24</formula>
    </cfRule>
    <cfRule type="expression" dxfId="502" priority="151">
      <formula>AND(AL$9&gt;=14/24,AL$9&lt;20/24)</formula>
    </cfRule>
    <cfRule type="expression" dxfId="501" priority="152">
      <formula>AND(AL$9&gt;=8/24,AL$9&lt;14/24)</formula>
    </cfRule>
    <cfRule type="expression" dxfId="500" priority="153">
      <formula>AL$9&lt;8/24</formula>
    </cfRule>
  </conditionalFormatting>
  <conditionalFormatting sqref="AN81:AN82">
    <cfRule type="expression" dxfId="499" priority="146">
      <formula>AN$9&gt;=20/24</formula>
    </cfRule>
    <cfRule type="expression" dxfId="498" priority="147">
      <formula>AND(AN$9&gt;=14/24,AN$9&lt;20/24)</formula>
    </cfRule>
    <cfRule type="expression" dxfId="497" priority="148">
      <formula>AND(AN$9&gt;=8/24,AN$9&lt;14/24)</formula>
    </cfRule>
    <cfRule type="expression" dxfId="496" priority="149">
      <formula>AN$9&lt;8/24</formula>
    </cfRule>
  </conditionalFormatting>
  <conditionalFormatting sqref="AL79:AM83">
    <cfRule type="expression" dxfId="495" priority="363">
      <formula>AJ$9&gt;=20/24</formula>
    </cfRule>
    <cfRule type="expression" dxfId="494" priority="364">
      <formula>AND(AJ$9&gt;=14/24,AJ$9&lt;20/24)</formula>
    </cfRule>
    <cfRule type="expression" dxfId="493" priority="365">
      <formula>AND(AJ$9&gt;=8/24,AJ$9&lt;14/24)</formula>
    </cfRule>
    <cfRule type="expression" dxfId="492" priority="366">
      <formula>AJ$9&lt;8/24</formula>
    </cfRule>
  </conditionalFormatting>
  <conditionalFormatting sqref="A117">
    <cfRule type="expression" dxfId="491" priority="145">
      <formula>$AH117=0</formula>
    </cfRule>
  </conditionalFormatting>
  <conditionalFormatting sqref="B109 B111:B116 B12:M15 B17:M32 N19:R32 B34:R43 B45:R45">
    <cfRule type="expression" dxfId="490" priority="141">
      <formula>B$9&gt;=20/24</formula>
    </cfRule>
    <cfRule type="expression" dxfId="489" priority="142">
      <formula>AND(B$9&gt;=14/24,B$9&lt;20/24)</formula>
    </cfRule>
    <cfRule type="expression" dxfId="488" priority="143">
      <formula>AND(B$9&gt;=8/24,B$9&lt;14/24)</formula>
    </cfRule>
    <cfRule type="expression" dxfId="487" priority="144">
      <formula>B$9&lt;8/24</formula>
    </cfRule>
  </conditionalFormatting>
  <conditionalFormatting sqref="B12:M15 B17:M32 N19:R32 B34:R43 B45:R45">
    <cfRule type="expression" dxfId="486" priority="140">
      <formula>B12&gt;$AG12</formula>
    </cfRule>
  </conditionalFormatting>
  <conditionalFormatting sqref="B99">
    <cfRule type="expression" dxfId="485" priority="136">
      <formula>B$9&gt;=20/24</formula>
    </cfRule>
    <cfRule type="expression" dxfId="484" priority="137">
      <formula>AND(B$9&gt;=14/24,B$9&lt;20/24)</formula>
    </cfRule>
    <cfRule type="expression" dxfId="483" priority="138">
      <formula>AND(B$9&gt;=8/24,B$9&lt;14/24)</formula>
    </cfRule>
    <cfRule type="expression" dxfId="482" priority="139">
      <formula>B$9&lt;8/24</formula>
    </cfRule>
  </conditionalFormatting>
  <conditionalFormatting sqref="B53:D53">
    <cfRule type="expression" dxfId="481" priority="128">
      <formula>B$9&gt;=20/24</formula>
    </cfRule>
    <cfRule type="expression" dxfId="480" priority="129">
      <formula>AND(B$9&gt;=14/24,B$9&lt;20/24)</formula>
    </cfRule>
    <cfRule type="expression" dxfId="479" priority="130">
      <formula>AND(B$9&gt;=8/24,B$9&lt;14/24)</formula>
    </cfRule>
    <cfRule type="expression" dxfId="478" priority="131">
      <formula>B$9&lt;8/24</formula>
    </cfRule>
  </conditionalFormatting>
  <conditionalFormatting sqref="B53:D57 E56:E57 F57:M57">
    <cfRule type="expression" dxfId="477" priority="127">
      <formula>B53&gt;$AG53</formula>
    </cfRule>
  </conditionalFormatting>
  <conditionalFormatting sqref="B96 B86 B47 B72:D74 B100:C106 E72 B67:J69 K68:M69">
    <cfRule type="expression" dxfId="476" priority="123">
      <formula>B$9&gt;=20/24</formula>
    </cfRule>
    <cfRule type="expression" dxfId="475" priority="124">
      <formula>AND(B$9&gt;=14/24,B$9&lt;20/24)</formula>
    </cfRule>
    <cfRule type="expression" dxfId="474" priority="125">
      <formula>AND(B$9&gt;=8/24,B$9&lt;14/24)</formula>
    </cfRule>
    <cfRule type="expression" dxfId="473" priority="126">
      <formula>B$9&lt;8/24</formula>
    </cfRule>
  </conditionalFormatting>
  <conditionalFormatting sqref="B47 B67:J69 K68:M69">
    <cfRule type="expression" dxfId="472" priority="122">
      <formula>B47&gt;$AG47</formula>
    </cfRule>
  </conditionalFormatting>
  <conditionalFormatting sqref="B97 B88:C88">
    <cfRule type="expression" dxfId="471" priority="118">
      <formula>B$9&gt;=20/24</formula>
    </cfRule>
    <cfRule type="expression" dxfId="470" priority="119">
      <formula>AND(B$9&gt;=14/24,B$9&lt;20/24)</formula>
    </cfRule>
    <cfRule type="expression" dxfId="469" priority="120">
      <formula>AND(B$9&gt;=8/24,B$9&lt;14/24)</formula>
    </cfRule>
    <cfRule type="expression" dxfId="468" priority="121">
      <formula>B$9&lt;8/24</formula>
    </cfRule>
  </conditionalFormatting>
  <conditionalFormatting sqref="B46:AF46">
    <cfRule type="expression" dxfId="467" priority="114">
      <formula>B$9&gt;=20/24</formula>
    </cfRule>
    <cfRule type="expression" dxfId="466" priority="115">
      <formula>AND(B$9&gt;=14/24,B$9&lt;20/24)</formula>
    </cfRule>
    <cfRule type="expression" dxfId="465" priority="116">
      <formula>AND(B$9&gt;=8/24,B$9&lt;14/24)</formula>
    </cfRule>
    <cfRule type="expression" dxfId="464" priority="117">
      <formula>B$9&lt;8/24</formula>
    </cfRule>
  </conditionalFormatting>
  <conditionalFormatting sqref="B46:AF46">
    <cfRule type="expression" dxfId="463" priority="113">
      <formula>B46&gt;$AG46</formula>
    </cfRule>
  </conditionalFormatting>
  <conditionalFormatting sqref="B58:M58">
    <cfRule type="expression" dxfId="462" priority="109">
      <formula>B$9&gt;=20/24</formula>
    </cfRule>
    <cfRule type="expression" dxfId="461" priority="110">
      <formula>AND(B$9&gt;=14/24,B$9&lt;20/24)</formula>
    </cfRule>
    <cfRule type="expression" dxfId="460" priority="111">
      <formula>AND(B$9&gt;=8/24,B$9&lt;14/24)</formula>
    </cfRule>
    <cfRule type="expression" dxfId="459" priority="112">
      <formula>B$9&lt;8/24</formula>
    </cfRule>
  </conditionalFormatting>
  <conditionalFormatting sqref="B58:M58">
    <cfRule type="expression" dxfId="458" priority="108">
      <formula>B58&gt;$AG58</formula>
    </cfRule>
  </conditionalFormatting>
  <conditionalFormatting sqref="B91:B95">
    <cfRule type="expression" dxfId="457" priority="104">
      <formula>B$9&gt;=20/24</formula>
    </cfRule>
    <cfRule type="expression" dxfId="456" priority="105">
      <formula>AND(B$9&gt;=14/24,B$9&lt;20/24)</formula>
    </cfRule>
    <cfRule type="expression" dxfId="455" priority="106">
      <formula>AND(B$9&gt;=8/24,B$9&lt;14/24)</formula>
    </cfRule>
    <cfRule type="expression" dxfId="454" priority="107">
      <formula>B$9&lt;8/24</formula>
    </cfRule>
  </conditionalFormatting>
  <conditionalFormatting sqref="B49:I51 J50:M51">
    <cfRule type="expression" dxfId="453" priority="99">
      <formula>B49&gt;$AG49</formula>
    </cfRule>
  </conditionalFormatting>
  <conditionalFormatting sqref="B107">
    <cfRule type="expression" dxfId="452" priority="95">
      <formula>B$9&gt;=20/24</formula>
    </cfRule>
    <cfRule type="expression" dxfId="451" priority="96">
      <formula>AND(B$9&gt;=14/24,B$9&lt;20/24)</formula>
    </cfRule>
    <cfRule type="expression" dxfId="450" priority="97">
      <formula>AND(B$9&gt;=8/24,B$9&lt;14/24)</formula>
    </cfRule>
    <cfRule type="expression" dxfId="449" priority="98">
      <formula>B$9&lt;8/24</formula>
    </cfRule>
  </conditionalFormatting>
  <conditionalFormatting sqref="B110">
    <cfRule type="expression" dxfId="448" priority="91">
      <formula>B$9&gt;=20/24</formula>
    </cfRule>
    <cfRule type="expression" dxfId="447" priority="92">
      <formula>AND(B$9&gt;=14/24,B$9&lt;20/24)</formula>
    </cfRule>
    <cfRule type="expression" dxfId="446" priority="93">
      <formula>AND(B$9&gt;=8/24,B$9&lt;14/24)</formula>
    </cfRule>
    <cfRule type="expression" dxfId="445" priority="94">
      <formula>B$9&lt;8/24</formula>
    </cfRule>
  </conditionalFormatting>
  <conditionalFormatting sqref="B83:B85 B75:D76 E76:O76">
    <cfRule type="expression" dxfId="444" priority="87">
      <formula>B$9&gt;=20/24</formula>
    </cfRule>
    <cfRule type="expression" dxfId="443" priority="88">
      <formula>AND(B$9&gt;=14/24,B$9&lt;20/24)</formula>
    </cfRule>
    <cfRule type="expression" dxfId="442" priority="89">
      <formula>AND(B$9&gt;=8/24,B$9&lt;14/24)</formula>
    </cfRule>
    <cfRule type="expression" dxfId="441" priority="90">
      <formula>B$9&lt;8/24</formula>
    </cfRule>
  </conditionalFormatting>
  <conditionalFormatting sqref="B89 B98 B70 B87">
    <cfRule type="expression" dxfId="440" priority="83">
      <formula>B$9&gt;=20/24</formula>
    </cfRule>
    <cfRule type="expression" dxfId="439" priority="84">
      <formula>AND(B$9&gt;=14/24,B$9&lt;20/24)</formula>
    </cfRule>
    <cfRule type="expression" dxfId="438" priority="85">
      <formula>AND(B$9&gt;=8/24,B$9&lt;14/24)</formula>
    </cfRule>
    <cfRule type="expression" dxfId="437" priority="86">
      <formula>B$9&lt;8/24</formula>
    </cfRule>
  </conditionalFormatting>
  <conditionalFormatting sqref="B48 B65:B66 B70">
    <cfRule type="expression" dxfId="436" priority="82">
      <formula>B48&gt;$AG48</formula>
    </cfRule>
  </conditionalFormatting>
  <conditionalFormatting sqref="B82">
    <cfRule type="expression" dxfId="435" priority="78">
      <formula>B$9&gt;=20/24</formula>
    </cfRule>
    <cfRule type="expression" dxfId="434" priority="79">
      <formula>AND(B$9&gt;=14/24,B$9&lt;20/24)</formula>
    </cfRule>
    <cfRule type="expression" dxfId="433" priority="80">
      <formula>AND(B$9&gt;=8/24,B$9&lt;14/24)</formula>
    </cfRule>
    <cfRule type="expression" dxfId="432" priority="81">
      <formula>B$9&lt;8/24</formula>
    </cfRule>
  </conditionalFormatting>
  <conditionalFormatting sqref="B52">
    <cfRule type="expression" dxfId="431" priority="74">
      <formula>B$9&gt;=20/24</formula>
    </cfRule>
    <cfRule type="expression" dxfId="430" priority="75">
      <formula>AND(B$9&gt;=14/24,B$9&lt;20/24)</formula>
    </cfRule>
    <cfRule type="expression" dxfId="429" priority="76">
      <formula>AND(B$9&gt;=8/24,B$9&lt;14/24)</formula>
    </cfRule>
    <cfRule type="expression" dxfId="428" priority="77">
      <formula>B$9&lt;8/24</formula>
    </cfRule>
  </conditionalFormatting>
  <conditionalFormatting sqref="B52">
    <cfRule type="expression" dxfId="427" priority="73">
      <formula>B52&gt;$AG52</formula>
    </cfRule>
  </conditionalFormatting>
  <conditionalFormatting sqref="B59:M64">
    <cfRule type="expression" dxfId="426" priority="65">
      <formula>B$9&gt;=20/24</formula>
    </cfRule>
    <cfRule type="expression" dxfId="425" priority="66">
      <formula>AND(B$9&gt;=14/24,B$9&lt;20/24)</formula>
    </cfRule>
    <cfRule type="expression" dxfId="424" priority="67">
      <formula>AND(B$9&gt;=8/24,B$9&lt;14/24)</formula>
    </cfRule>
    <cfRule type="expression" dxfId="423" priority="68">
      <formula>B$9&lt;8/24</formula>
    </cfRule>
  </conditionalFormatting>
  <conditionalFormatting sqref="B59:M64">
    <cfRule type="expression" dxfId="422" priority="64">
      <formula>B59&gt;$AG59</formula>
    </cfRule>
  </conditionalFormatting>
  <conditionalFormatting sqref="B77:M81">
    <cfRule type="expression" dxfId="421" priority="60">
      <formula>B$9&gt;=20/24</formula>
    </cfRule>
    <cfRule type="expression" dxfId="420" priority="61">
      <formula>AND(B$9&gt;=14/24,B$9&lt;20/24)</formula>
    </cfRule>
    <cfRule type="expression" dxfId="419" priority="62">
      <formula>AND(B$9&gt;=8/24,B$9&lt;14/24)</formula>
    </cfRule>
    <cfRule type="expression" dxfId="418" priority="63">
      <formula>B$9&lt;8/24</formula>
    </cfRule>
  </conditionalFormatting>
  <conditionalFormatting sqref="A11">
    <cfRule type="expression" dxfId="417" priority="59">
      <formula>$AH11=0</formula>
    </cfRule>
  </conditionalFormatting>
  <conditionalFormatting sqref="N11:AF11">
    <cfRule type="expression" dxfId="416" priority="55">
      <formula>N$9&gt;=20/24</formula>
    </cfRule>
    <cfRule type="expression" dxfId="415" priority="56">
      <formula>AND(N$9&gt;=14/24,N$9&lt;20/24)</formula>
    </cfRule>
    <cfRule type="expression" dxfId="414" priority="57">
      <formula>AND(N$9&gt;=8/24,N$9&lt;14/24)</formula>
    </cfRule>
    <cfRule type="expression" dxfId="413" priority="58">
      <formula>N$9&lt;8/24</formula>
    </cfRule>
  </conditionalFormatting>
  <conditionalFormatting sqref="N11:AF11">
    <cfRule type="expression" dxfId="412" priority="54">
      <formula>N11&gt;$AG11</formula>
    </cfRule>
  </conditionalFormatting>
  <conditionalFormatting sqref="B11:M11">
    <cfRule type="expression" dxfId="411" priority="50">
      <formula>B$9&gt;=20/24</formula>
    </cfRule>
    <cfRule type="expression" dxfId="410" priority="51">
      <formula>AND(B$9&gt;=14/24,B$9&lt;20/24)</formula>
    </cfRule>
    <cfRule type="expression" dxfId="409" priority="52">
      <formula>AND(B$9&gt;=8/24,B$9&lt;14/24)</formula>
    </cfRule>
    <cfRule type="expression" dxfId="408" priority="53">
      <formula>B$9&lt;8/24</formula>
    </cfRule>
  </conditionalFormatting>
  <conditionalFormatting sqref="B11:M11">
    <cfRule type="expression" dxfId="407" priority="49">
      <formula>B11&gt;$AG11</formula>
    </cfRule>
  </conditionalFormatting>
  <conditionalFormatting sqref="A16">
    <cfRule type="expression" dxfId="406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N16:AF16">
    <cfRule type="expression" dxfId="405" priority="43">
      <formula>N$9&gt;=20/24</formula>
    </cfRule>
    <cfRule type="expression" dxfId="404" priority="44">
      <formula>AND(N$9&gt;=14/24,N$9&lt;20/24)</formula>
    </cfRule>
    <cfRule type="expression" dxfId="403" priority="45">
      <formula>AND(N$9&gt;=8/24,N$9&lt;14/24)</formula>
    </cfRule>
    <cfRule type="expression" dxfId="402" priority="46">
      <formula>N$9&lt;8/24</formula>
    </cfRule>
  </conditionalFormatting>
  <conditionalFormatting sqref="N16:AF16">
    <cfRule type="expression" dxfId="401" priority="42">
      <formula>N16&gt;$AG16</formula>
    </cfRule>
  </conditionalFormatting>
  <conditionalFormatting sqref="B16:M16">
    <cfRule type="expression" dxfId="400" priority="38">
      <formula>B$9&gt;=20/24</formula>
    </cfRule>
    <cfRule type="expression" dxfId="399" priority="39">
      <formula>AND(B$9&gt;=14/24,B$9&lt;20/24)</formula>
    </cfRule>
    <cfRule type="expression" dxfId="398" priority="40">
      <formula>AND(B$9&gt;=8/24,B$9&lt;14/24)</formula>
    </cfRule>
    <cfRule type="expression" dxfId="397" priority="41">
      <formula>B$9&lt;8/24</formula>
    </cfRule>
  </conditionalFormatting>
  <conditionalFormatting sqref="B16:M16">
    <cfRule type="expression" dxfId="396" priority="37">
      <formula>B16&gt;$AG16</formula>
    </cfRule>
  </conditionalFormatting>
  <conditionalFormatting sqref="A33">
    <cfRule type="expression" dxfId="395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S33:AF33">
    <cfRule type="expression" dxfId="394" priority="31">
      <formula>S$9&gt;=20/24</formula>
    </cfRule>
    <cfRule type="expression" dxfId="393" priority="32">
      <formula>AND(S$9&gt;=14/24,S$9&lt;20/24)</formula>
    </cfRule>
    <cfRule type="expression" dxfId="392" priority="33">
      <formula>AND(S$9&gt;=8/24,S$9&lt;14/24)</formula>
    </cfRule>
    <cfRule type="expression" dxfId="391" priority="34">
      <formula>S$9&lt;8/24</formula>
    </cfRule>
  </conditionalFormatting>
  <conditionalFormatting sqref="S33:AF33">
    <cfRule type="expression" dxfId="390" priority="30">
      <formula>S33&gt;$AG33</formula>
    </cfRule>
  </conditionalFormatting>
  <conditionalFormatting sqref="B33:R33">
    <cfRule type="expression" dxfId="389" priority="26">
      <formula>B$9&gt;=20/24</formula>
    </cfRule>
    <cfRule type="expression" dxfId="388" priority="27">
      <formula>AND(B$9&gt;=14/24,B$9&lt;20/24)</formula>
    </cfRule>
    <cfRule type="expression" dxfId="387" priority="28">
      <formula>AND(B$9&gt;=8/24,B$9&lt;14/24)</formula>
    </cfRule>
    <cfRule type="expression" dxfId="386" priority="29">
      <formula>B$9&lt;8/24</formula>
    </cfRule>
  </conditionalFormatting>
  <conditionalFormatting sqref="B33:R33">
    <cfRule type="expression" dxfId="385" priority="25">
      <formula>B33&gt;$AG33</formula>
    </cfRule>
  </conditionalFormatting>
  <conditionalFormatting sqref="A44">
    <cfRule type="expression" dxfId="384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S44:AF44">
    <cfRule type="expression" dxfId="383" priority="22">
      <formula>S44&gt;$AG44</formula>
    </cfRule>
  </conditionalFormatting>
  <conditionalFormatting sqref="S44:AF44">
    <cfRule type="expression" dxfId="382" priority="18">
      <formula>S$9&gt;=20/24</formula>
    </cfRule>
    <cfRule type="expression" dxfId="381" priority="19">
      <formula>AND(S$9&gt;=14/24,S$9&lt;20/24)</formula>
    </cfRule>
    <cfRule type="expression" dxfId="380" priority="20">
      <formula>AND(S$9&gt;=8/24,S$9&lt;14/24)</formula>
    </cfRule>
    <cfRule type="expression" dxfId="379" priority="21">
      <formula>S$9&lt;8/24</formula>
    </cfRule>
  </conditionalFormatting>
  <conditionalFormatting sqref="B44:R44">
    <cfRule type="expression" dxfId="378" priority="14">
      <formula>B$9&gt;=20/24</formula>
    </cfRule>
    <cfRule type="expression" dxfId="377" priority="15">
      <formula>AND(B$9&gt;=14/24,B$9&lt;20/24)</formula>
    </cfRule>
    <cfRule type="expression" dxfId="376" priority="16">
      <formula>AND(B$9&gt;=8/24,B$9&lt;14/24)</formula>
    </cfRule>
    <cfRule type="expression" dxfId="375" priority="17">
      <formula>B$9&lt;8/24</formula>
    </cfRule>
  </conditionalFormatting>
  <conditionalFormatting sqref="B44:R44">
    <cfRule type="expression" dxfId="374" priority="13">
      <formula>B44&gt;$AG44</formula>
    </cfRule>
  </conditionalFormatting>
  <conditionalFormatting sqref="B117">
    <cfRule type="expression" dxfId="373" priority="1">
      <formula>B$9&gt;=20/24</formula>
    </cfRule>
    <cfRule type="expression" dxfId="372" priority="2">
      <formula>AND(B$9&gt;=14/24,B$9&lt;20/24)</formula>
    </cfRule>
    <cfRule type="expression" dxfId="371" priority="3">
      <formula>AND(B$9&gt;=8/24,B$9&lt;14/24)</formula>
    </cfRule>
    <cfRule type="expression" dxfId="370" priority="4">
      <formula>B$9&lt;8/24</formula>
    </cfRule>
  </conditionalFormatting>
  <conditionalFormatting sqref="D117:AF117">
    <cfRule type="expression" dxfId="369" priority="9">
      <formula>D$9&gt;=20/24</formula>
    </cfRule>
    <cfRule type="expression" dxfId="368" priority="10">
      <formula>AND(D$9&gt;=14/24,D$9&lt;20/24)</formula>
    </cfRule>
    <cfRule type="expression" dxfId="367" priority="11">
      <formula>AND(D$9&gt;=8/24,D$9&lt;14/24)</formula>
    </cfRule>
    <cfRule type="expression" dxfId="366" priority="12">
      <formula>D$9&lt;8/24</formula>
    </cfRule>
  </conditionalFormatting>
  <conditionalFormatting sqref="C117">
    <cfRule type="expression" dxfId="365" priority="5">
      <formula>C$9&gt;=20/24</formula>
    </cfRule>
    <cfRule type="expression" dxfId="364" priority="6">
      <formula>AND(C$9&gt;=14/24,C$9&lt;20/24)</formula>
    </cfRule>
    <cfRule type="expression" dxfId="363" priority="7">
      <formula>AND(C$9&gt;=8/24,C$9&lt;14/24)</formula>
    </cfRule>
    <cfRule type="expression" dxfId="362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4FAA0EEA-8777-4CCA-BDEB-A790F34D2B3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7C1DBD93-3115-4823-A209-C24A6661AE8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294AF400-B076-4930-AFB2-9C6B90FE71F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1EF43784-0D46-4695-A462-FD6807FC77B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E6BA9188-E10E-49CF-8016-5DDC814AADF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CAD8EB7E-5D0E-4113-AD80-E2455FF2FF1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3FA41216-3554-448C-9F5D-286D443E9D0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0430725E-891E-48ED-A0C8-5F38C9ABE22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504"/>
  <sheetViews>
    <sheetView workbookViewId="0">
      <pane ySplit="10" topLeftCell="A11" activePane="bottomLeft" state="frozen"/>
      <selection activeCell="Z85" sqref="Z85"/>
      <selection pane="bottomLeft" activeCell="B109" sqref="B109:D117"/>
    </sheetView>
  </sheetViews>
  <sheetFormatPr defaultRowHeight="15" x14ac:dyDescent="0.25"/>
  <cols>
    <col min="1" max="1" width="35.28515625" style="2" bestFit="1" customWidth="1"/>
    <col min="2" max="2" width="6.7109375" style="2" bestFit="1" customWidth="1"/>
    <col min="3" max="3" width="6.140625" style="2" customWidth="1"/>
    <col min="4" max="4" width="7" style="2" customWidth="1"/>
    <col min="5" max="9" width="6.42578125" style="2" bestFit="1" customWidth="1"/>
    <col min="10" max="10" width="6.28515625" style="2" bestFit="1" customWidth="1"/>
    <col min="11" max="13" width="6" style="2" bestFit="1" customWidth="1"/>
    <col min="14" max="15" width="6.28515625" style="2" bestFit="1" customWidth="1"/>
    <col min="16" max="16" width="6.7109375" style="2" customWidth="1"/>
    <col min="17" max="17" width="7.140625" style="2" customWidth="1"/>
    <col min="18" max="18" width="6.28515625" style="2" customWidth="1"/>
    <col min="19" max="19" width="7" style="2" customWidth="1"/>
    <col min="20" max="20" width="6.85546875" style="2" customWidth="1"/>
    <col min="21" max="21" width="6.5703125" style="2" bestFit="1" customWidth="1"/>
    <col min="22" max="26" width="6.85546875" style="2" customWidth="1"/>
    <col min="27" max="27" width="7.140625" style="2" customWidth="1"/>
    <col min="28" max="32" width="6.85546875" style="2" customWidth="1"/>
    <col min="33" max="33" width="14.42578125" style="2" customWidth="1"/>
    <col min="34" max="35" width="8" style="2" customWidth="1"/>
    <col min="36" max="36" width="9.140625" style="1"/>
    <col min="37" max="37" width="9.140625" style="2"/>
    <col min="38" max="41" width="9.140625" style="2" customWidth="1"/>
    <col min="42" max="16384" width="9.140625" style="2"/>
  </cols>
  <sheetData>
    <row r="1" spans="1:88" ht="36" customHeight="1" thickBot="1" x14ac:dyDescent="0.3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90" t="s">
        <v>1</v>
      </c>
      <c r="AH1" s="190"/>
      <c r="AI1" s="190"/>
      <c r="AL1" s="3"/>
      <c r="AM1" s="4"/>
    </row>
    <row r="2" spans="1:88" ht="20.25" x14ac:dyDescent="0.25">
      <c r="A2" s="5"/>
      <c r="B2" s="191" t="s">
        <v>2</v>
      </c>
      <c r="C2" s="6"/>
      <c r="D2" s="193" t="s">
        <v>3</v>
      </c>
      <c r="E2" s="6"/>
      <c r="F2" s="193" t="s">
        <v>4</v>
      </c>
      <c r="G2" s="6"/>
      <c r="H2" s="193" t="s">
        <v>5</v>
      </c>
      <c r="I2" s="7"/>
      <c r="J2" s="195" t="s">
        <v>6</v>
      </c>
      <c r="K2" s="8" t="s">
        <v>2</v>
      </c>
      <c r="L2" s="8" t="s">
        <v>3</v>
      </c>
      <c r="M2" s="8" t="s">
        <v>4</v>
      </c>
      <c r="N2" s="9" t="s">
        <v>5</v>
      </c>
      <c r="O2" s="10"/>
      <c r="P2" s="10"/>
      <c r="Q2" s="11"/>
      <c r="R2" s="11"/>
      <c r="S2" s="11"/>
      <c r="T2" s="11"/>
      <c r="U2" s="11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>
        <f>AG48</f>
        <v>875.68</v>
      </c>
      <c r="AH2" s="14" t="s">
        <v>7</v>
      </c>
      <c r="AI2" s="15"/>
      <c r="AL2" s="4"/>
      <c r="AM2" s="16"/>
      <c r="AN2" s="17"/>
      <c r="AO2" s="17"/>
    </row>
    <row r="3" spans="1:88" ht="19.5" thickBot="1" x14ac:dyDescent="0.3">
      <c r="A3" s="18"/>
      <c r="B3" s="192"/>
      <c r="C3" s="19"/>
      <c r="D3" s="194"/>
      <c r="E3" s="19"/>
      <c r="F3" s="194"/>
      <c r="G3" s="19"/>
      <c r="H3" s="194"/>
      <c r="I3" s="20"/>
      <c r="J3" s="195"/>
      <c r="K3" s="21"/>
      <c r="L3" s="21"/>
      <c r="M3" s="21"/>
      <c r="N3" s="21"/>
      <c r="O3" s="22"/>
      <c r="P3" s="22"/>
      <c r="Q3" s="12"/>
      <c r="R3" s="12"/>
      <c r="S3" s="12"/>
      <c r="T3" s="12"/>
      <c r="U3" s="12"/>
      <c r="V3" s="23" t="s">
        <v>8</v>
      </c>
      <c r="W3" s="23"/>
      <c r="X3" s="23" t="s">
        <v>9</v>
      </c>
      <c r="Y3" s="23"/>
      <c r="Z3" s="23"/>
      <c r="AA3" s="23"/>
      <c r="AB3" s="22"/>
      <c r="AC3" s="24"/>
      <c r="AD3" s="24"/>
      <c r="AE3" s="24"/>
      <c r="AF3" s="24"/>
      <c r="AG3" s="25">
        <f>AG66</f>
        <v>489.91</v>
      </c>
      <c r="AH3" s="14" t="s">
        <v>10</v>
      </c>
      <c r="AI3" s="15"/>
      <c r="AL3" s="26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</row>
    <row r="4" spans="1:88" ht="18.75" x14ac:dyDescent="0.25">
      <c r="A4" s="28" t="s">
        <v>11</v>
      </c>
      <c r="B4" s="196" t="e">
        <f ca="1">"2079/"&amp;"12/"&amp;INT(MID(CELL("filename",D6),FIND("]",CELL("filename",D6))+1,200))</f>
        <v>#VALUE!</v>
      </c>
      <c r="C4" s="196"/>
      <c r="D4" s="196"/>
      <c r="E4" s="197" t="e">
        <f ca="1">"2079/"&amp;"12/"&amp;INT(MID(CELL("filename",G6),FIND("]",CELL("filename",G6))+1,200))</f>
        <v>#VALUE!</v>
      </c>
      <c r="F4" s="197"/>
      <c r="G4" s="197"/>
      <c r="H4" s="197" t="e">
        <f ca="1">TEXT(E4,"dddd")</f>
        <v>#VALUE!</v>
      </c>
      <c r="I4" s="197"/>
      <c r="J4" s="29"/>
      <c r="K4" s="2" t="str">
        <f>"Total Peak Supply(Inclusive of Export) ("&amp;ROUND(B249,0)&amp;" MW)"&amp;"    IPP   = "&amp;ROUND(B244,0)&amp;" MW     NEA RoR = "&amp;ROUND(B245,0)&amp;" MWImport   = "&amp;ROUND(B247,0)&amp;" MW      KL1+KL2+K3 = "&amp;ROUND(B246,0) &amp;" MW    EXPORT = "&amp;ROUND(B248,0)</f>
        <v>Total Peak Supply(Inclusive of Export) (0 MW)    IPP   = 0 MW     NEA RoR = 0 MWImport   = 0 MW      KL1+KL2+K3 = 0 MW    EXPORT = 0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30"/>
      <c r="AE4" s="30"/>
      <c r="AF4" s="30"/>
      <c r="AG4" s="25">
        <f>AG70</f>
        <v>106</v>
      </c>
      <c r="AH4" s="14" t="s">
        <v>12</v>
      </c>
      <c r="AI4" s="15"/>
      <c r="AL4" s="31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</row>
    <row r="5" spans="1:88" ht="15.75" customHeight="1" x14ac:dyDescent="0.25">
      <c r="A5" s="32"/>
      <c r="B5" s="33">
        <f t="shared" ref="B5:AE5" si="0">C82</f>
        <v>0</v>
      </c>
      <c r="C5" s="33">
        <f t="shared" si="0"/>
        <v>0</v>
      </c>
      <c r="D5" s="33">
        <f t="shared" si="0"/>
        <v>0</v>
      </c>
      <c r="E5" s="33">
        <f t="shared" si="0"/>
        <v>0</v>
      </c>
      <c r="F5" s="33">
        <f t="shared" si="0"/>
        <v>0</v>
      </c>
      <c r="G5" s="33">
        <f t="shared" si="0"/>
        <v>0</v>
      </c>
      <c r="H5" s="33">
        <f t="shared" si="0"/>
        <v>0</v>
      </c>
      <c r="I5" s="33">
        <f t="shared" si="0"/>
        <v>0</v>
      </c>
      <c r="J5" s="33">
        <f t="shared" si="0"/>
        <v>0</v>
      </c>
      <c r="K5" s="33">
        <f t="shared" si="0"/>
        <v>0</v>
      </c>
      <c r="L5" s="33">
        <f t="shared" si="0"/>
        <v>0</v>
      </c>
      <c r="M5" s="33">
        <f t="shared" si="0"/>
        <v>0</v>
      </c>
      <c r="N5" s="33">
        <f t="shared" si="0"/>
        <v>0</v>
      </c>
      <c r="O5" s="33">
        <f t="shared" si="0"/>
        <v>0</v>
      </c>
      <c r="P5" s="33">
        <f t="shared" si="0"/>
        <v>0</v>
      </c>
      <c r="Q5" s="33">
        <f t="shared" si="0"/>
        <v>0</v>
      </c>
      <c r="R5" s="33">
        <f t="shared" si="0"/>
        <v>0</v>
      </c>
      <c r="S5" s="33">
        <f t="shared" si="0"/>
        <v>0</v>
      </c>
      <c r="T5" s="33">
        <f t="shared" si="0"/>
        <v>0</v>
      </c>
      <c r="U5" s="33">
        <f t="shared" si="0"/>
        <v>0</v>
      </c>
      <c r="V5" s="33">
        <f t="shared" si="0"/>
        <v>0</v>
      </c>
      <c r="W5" s="33">
        <f t="shared" si="0"/>
        <v>0</v>
      </c>
      <c r="X5" s="33">
        <f t="shared" si="0"/>
        <v>0</v>
      </c>
      <c r="Y5" s="33">
        <f t="shared" si="0"/>
        <v>0</v>
      </c>
      <c r="Z5" s="33">
        <f t="shared" si="0"/>
        <v>0</v>
      </c>
      <c r="AA5" s="33">
        <f t="shared" si="0"/>
        <v>0</v>
      </c>
      <c r="AB5" s="33">
        <f t="shared" si="0"/>
        <v>0</v>
      </c>
      <c r="AC5" s="33">
        <f t="shared" si="0"/>
        <v>0</v>
      </c>
      <c r="AD5" s="33">
        <f t="shared" si="0"/>
        <v>0</v>
      </c>
      <c r="AE5" s="33">
        <f t="shared" si="0"/>
        <v>0</v>
      </c>
      <c r="AF5" s="33">
        <f>B82</f>
        <v>0</v>
      </c>
      <c r="AG5" s="25"/>
      <c r="AH5" s="14"/>
      <c r="AI5" s="15"/>
      <c r="AL5" s="31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</row>
    <row r="6" spans="1:88" ht="18.75" x14ac:dyDescent="0.25">
      <c r="A6" s="32"/>
      <c r="B6" s="34"/>
      <c r="C6" s="32"/>
      <c r="D6" s="35"/>
      <c r="E6" s="35"/>
      <c r="F6" s="35"/>
      <c r="G6" s="35"/>
      <c r="H6" s="35"/>
      <c r="I6" s="35"/>
      <c r="J6" s="29"/>
      <c r="K6" s="2" t="str">
        <f>"Evening Peak "&amp;ROUND(B249,0)&amp;"MW at "&amp;TRUNC(B250*24,0)&amp;":"&amp;ROUND((B250*24-TRUNC(B250*24,0))*60,0)&amp;"hr at "&amp;ROUND(B251,1)&amp;"Hz     "&amp;A241&amp;" "&amp;ROUND(B241,0)&amp;"MW at "&amp;TRUNC(C241*24,0)&amp;":"&amp;ROUND((C241*24-TRUNC(C241*24,0))*6,0)&amp;"0hr"</f>
        <v>Evening Peak 0MW at 0:0hr at 0Hz     Morning Peak 4MW at 4:60hr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0"/>
      <c r="AE6" s="30"/>
      <c r="AF6" s="30"/>
      <c r="AG6" s="25">
        <f>SUM(AG2:AG4)</f>
        <v>1471.59</v>
      </c>
      <c r="AH6" s="36" t="s">
        <v>13</v>
      </c>
      <c r="AI6" s="15"/>
      <c r="AL6" s="31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ht="16.5" thickBot="1" x14ac:dyDescent="0.3">
      <c r="A7" s="37" t="str">
        <f>"Base Load="&amp;ROUND(MIN($B$7:$AF$7),0)</f>
        <v>Base Load=4</v>
      </c>
      <c r="B7" s="38">
        <f t="shared" ref="B7:AF7" si="1">B89</f>
        <v>3.54</v>
      </c>
      <c r="C7" s="38">
        <f t="shared" si="1"/>
        <v>3.54</v>
      </c>
      <c r="D7" s="38">
        <f t="shared" si="1"/>
        <v>3.54</v>
      </c>
      <c r="E7" s="38">
        <f t="shared" si="1"/>
        <v>3.54</v>
      </c>
      <c r="F7" s="38">
        <f t="shared" si="1"/>
        <v>3.54</v>
      </c>
      <c r="G7" s="38">
        <f t="shared" si="1"/>
        <v>3.54</v>
      </c>
      <c r="H7" s="38">
        <f t="shared" si="1"/>
        <v>3.54</v>
      </c>
      <c r="I7" s="38">
        <f t="shared" si="1"/>
        <v>3.54</v>
      </c>
      <c r="J7" s="38">
        <f t="shared" si="1"/>
        <v>3.54</v>
      </c>
      <c r="K7" s="38">
        <f t="shared" si="1"/>
        <v>3.54</v>
      </c>
      <c r="L7" s="38">
        <f t="shared" si="1"/>
        <v>3.54</v>
      </c>
      <c r="M7" s="38">
        <f t="shared" si="1"/>
        <v>3.54</v>
      </c>
      <c r="N7" s="38">
        <f>N89</f>
        <v>3.54</v>
      </c>
      <c r="O7" s="38">
        <f t="shared" si="1"/>
        <v>3.54</v>
      </c>
      <c r="P7" s="38">
        <f t="shared" si="1"/>
        <v>3.54</v>
      </c>
      <c r="Q7" s="38">
        <f t="shared" si="1"/>
        <v>3.54</v>
      </c>
      <c r="R7" s="38">
        <f t="shared" si="1"/>
        <v>3.54</v>
      </c>
      <c r="S7" s="38">
        <f t="shared" si="1"/>
        <v>3.54</v>
      </c>
      <c r="T7" s="38">
        <f t="shared" si="1"/>
        <v>3.54</v>
      </c>
      <c r="U7" s="38">
        <f t="shared" si="1"/>
        <v>3.54</v>
      </c>
      <c r="V7" s="38">
        <f t="shared" si="1"/>
        <v>3.54</v>
      </c>
      <c r="W7" s="38">
        <f t="shared" si="1"/>
        <v>3.54</v>
      </c>
      <c r="X7" s="38">
        <f t="shared" si="1"/>
        <v>3.54</v>
      </c>
      <c r="Y7" s="38">
        <f t="shared" si="1"/>
        <v>3.54</v>
      </c>
      <c r="Z7" s="38">
        <f t="shared" si="1"/>
        <v>3.54</v>
      </c>
      <c r="AA7" s="38">
        <f t="shared" si="1"/>
        <v>3.54</v>
      </c>
      <c r="AB7" s="38">
        <f t="shared" si="1"/>
        <v>3.54</v>
      </c>
      <c r="AC7" s="38">
        <f t="shared" si="1"/>
        <v>3.54</v>
      </c>
      <c r="AD7" s="38">
        <f t="shared" si="1"/>
        <v>3.54</v>
      </c>
      <c r="AE7" s="38">
        <f t="shared" si="1"/>
        <v>3.54</v>
      </c>
      <c r="AF7" s="38">
        <f t="shared" si="1"/>
        <v>3.54</v>
      </c>
      <c r="AG7" s="39"/>
      <c r="AH7" s="40"/>
      <c r="AI7" s="41"/>
      <c r="AL7" s="42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</row>
    <row r="8" spans="1:88" ht="17.25" thickTop="1" thickBot="1" x14ac:dyDescent="0.3">
      <c r="A8" s="43"/>
      <c r="B8" s="198" t="s">
        <v>14</v>
      </c>
      <c r="C8" s="199"/>
      <c r="D8" s="199"/>
      <c r="E8" s="199"/>
      <c r="F8" s="199"/>
      <c r="G8" s="199"/>
      <c r="H8" s="199"/>
      <c r="I8" s="199"/>
      <c r="J8" s="199"/>
      <c r="K8" s="199"/>
      <c r="L8" s="200"/>
      <c r="M8" s="201" t="s">
        <v>15</v>
      </c>
      <c r="N8" s="202"/>
      <c r="O8" s="202"/>
      <c r="P8" s="202"/>
      <c r="Q8" s="202"/>
      <c r="R8" s="203"/>
      <c r="S8" s="201" t="s">
        <v>16</v>
      </c>
      <c r="T8" s="202"/>
      <c r="U8" s="202"/>
      <c r="V8" s="202"/>
      <c r="W8" s="202"/>
      <c r="X8" s="202"/>
      <c r="Y8" s="202"/>
      <c r="Z8" s="202"/>
      <c r="AA8" s="203"/>
      <c r="AB8" s="201" t="s">
        <v>17</v>
      </c>
      <c r="AC8" s="202"/>
      <c r="AD8" s="202"/>
      <c r="AE8" s="202"/>
      <c r="AF8" s="203"/>
      <c r="AG8" s="44"/>
      <c r="AH8" s="45"/>
      <c r="AI8" s="46"/>
      <c r="AL8" s="31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</row>
    <row r="9" spans="1:88" ht="13.5" customHeight="1" thickTop="1" x14ac:dyDescent="0.25">
      <c r="A9" s="204" t="s">
        <v>18</v>
      </c>
      <c r="B9" s="206">
        <v>0</v>
      </c>
      <c r="C9" s="206">
        <v>4.1666666666666664E-2</v>
      </c>
      <c r="D9" s="206">
        <v>8.3333333333333301E-2</v>
      </c>
      <c r="E9" s="206">
        <v>0.125</v>
      </c>
      <c r="F9" s="206">
        <v>0.16666666666666699</v>
      </c>
      <c r="G9" s="206">
        <v>0.20833333333333301</v>
      </c>
      <c r="H9" s="206">
        <v>0.22916666666666666</v>
      </c>
      <c r="I9" s="206">
        <v>0.25</v>
      </c>
      <c r="J9" s="206">
        <v>0.27083333333333331</v>
      </c>
      <c r="K9" s="206">
        <v>0.29166666666666669</v>
      </c>
      <c r="L9" s="206">
        <v>0.3125</v>
      </c>
      <c r="M9" s="208">
        <v>0.33333333333333331</v>
      </c>
      <c r="N9" s="208">
        <v>0.375</v>
      </c>
      <c r="O9" s="208">
        <v>0.41666666666666702</v>
      </c>
      <c r="P9" s="208">
        <v>0.45833333333333298</v>
      </c>
      <c r="Q9" s="208">
        <v>0.5</v>
      </c>
      <c r="R9" s="208">
        <v>0.54166666666666696</v>
      </c>
      <c r="S9" s="210">
        <v>0.58333333333333304</v>
      </c>
      <c r="T9" s="210">
        <v>0.625</v>
      </c>
      <c r="U9" s="210">
        <v>0.66666666666666696</v>
      </c>
      <c r="V9" s="210">
        <v>0.70833333333333304</v>
      </c>
      <c r="W9" s="210">
        <v>0.72916666666666663</v>
      </c>
      <c r="X9" s="210">
        <v>0.75</v>
      </c>
      <c r="Y9" s="210">
        <v>0.77083333333333337</v>
      </c>
      <c r="Z9" s="210">
        <v>0.79166666666666663</v>
      </c>
      <c r="AA9" s="210">
        <v>0.8125</v>
      </c>
      <c r="AB9" s="210">
        <v>0.83333333333333337</v>
      </c>
      <c r="AC9" s="210">
        <v>0.85416666666666663</v>
      </c>
      <c r="AD9" s="210">
        <v>0.875</v>
      </c>
      <c r="AE9" s="210">
        <v>0.91666666666666696</v>
      </c>
      <c r="AF9" s="210">
        <v>0.95833333333333304</v>
      </c>
      <c r="AG9" s="214" t="s">
        <v>1</v>
      </c>
      <c r="AH9" s="47"/>
      <c r="AI9" s="46"/>
      <c r="AL9" s="31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</row>
    <row r="10" spans="1:88" ht="15.75" thickBot="1" x14ac:dyDescent="0.3">
      <c r="A10" s="205"/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9"/>
      <c r="N10" s="209"/>
      <c r="O10" s="209"/>
      <c r="P10" s="209"/>
      <c r="Q10" s="209"/>
      <c r="R10" s="209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15"/>
      <c r="AH10" s="48"/>
      <c r="AL10" s="31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</row>
    <row r="11" spans="1:88" ht="15.75" thickTop="1" x14ac:dyDescent="0.25">
      <c r="A11" s="49" t="s">
        <v>251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1">
        <v>86</v>
      </c>
      <c r="AH11" s="52">
        <f t="shared" ref="AH11:AH74" si="2">MAX(B11:AF11)</f>
        <v>0</v>
      </c>
      <c r="AI11" s="53">
        <f t="shared" ref="AI11:AI74" si="3">MIN(B11:AF11)</f>
        <v>0</v>
      </c>
      <c r="AL11" s="3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</row>
    <row r="12" spans="1:88" x14ac:dyDescent="0.25">
      <c r="A12" s="49" t="s">
        <v>19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1">
        <v>52.4</v>
      </c>
      <c r="AH12" s="52">
        <f t="shared" si="2"/>
        <v>0</v>
      </c>
      <c r="AI12" s="53">
        <f t="shared" si="3"/>
        <v>0</v>
      </c>
      <c r="AK12" s="54"/>
      <c r="AL12" s="31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</row>
    <row r="13" spans="1:88" x14ac:dyDescent="0.25">
      <c r="A13" s="49" t="s">
        <v>20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5">
        <v>50</v>
      </c>
      <c r="AH13" s="52">
        <f t="shared" si="2"/>
        <v>0</v>
      </c>
      <c r="AI13" s="53">
        <f t="shared" si="3"/>
        <v>0</v>
      </c>
      <c r="AK13" s="54"/>
      <c r="AL13" s="31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</row>
    <row r="14" spans="1:88" x14ac:dyDescent="0.25">
      <c r="A14" s="49" t="s">
        <v>21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5">
        <v>45</v>
      </c>
      <c r="AH14" s="52">
        <f t="shared" si="2"/>
        <v>0</v>
      </c>
      <c r="AI14" s="53">
        <f t="shared" si="3"/>
        <v>0</v>
      </c>
      <c r="AK14" s="54"/>
      <c r="AL14" s="31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</row>
    <row r="15" spans="1:88" x14ac:dyDescent="0.25">
      <c r="A15" s="49" t="s">
        <v>22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5">
        <v>42</v>
      </c>
      <c r="AH15" s="52">
        <f t="shared" si="2"/>
        <v>0</v>
      </c>
      <c r="AI15" s="53">
        <f t="shared" si="3"/>
        <v>0</v>
      </c>
      <c r="AK15" s="54"/>
      <c r="AL15" s="31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</row>
    <row r="16" spans="1:88" x14ac:dyDescent="0.25">
      <c r="A16" s="49" t="s">
        <v>252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5">
        <v>36</v>
      </c>
      <c r="AH16" s="52">
        <f t="shared" si="2"/>
        <v>0</v>
      </c>
      <c r="AI16" s="53">
        <f t="shared" si="3"/>
        <v>0</v>
      </c>
      <c r="AK16" s="54"/>
      <c r="AL16" s="31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</row>
    <row r="17" spans="1:88" x14ac:dyDescent="0.25">
      <c r="A17" s="49" t="s">
        <v>23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5">
        <v>36</v>
      </c>
      <c r="AH17" s="52">
        <f t="shared" si="2"/>
        <v>0</v>
      </c>
      <c r="AI17" s="53">
        <f t="shared" si="3"/>
        <v>0</v>
      </c>
      <c r="AK17" s="54"/>
      <c r="AL17" s="31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</row>
    <row r="18" spans="1:88" x14ac:dyDescent="0.25">
      <c r="A18" s="49" t="s">
        <v>24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6">
        <v>30</v>
      </c>
      <c r="AH18" s="52">
        <f t="shared" si="2"/>
        <v>0</v>
      </c>
      <c r="AI18" s="53">
        <f t="shared" si="3"/>
        <v>0</v>
      </c>
      <c r="AK18" s="54"/>
      <c r="AL18" s="31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</row>
    <row r="19" spans="1:88" x14ac:dyDescent="0.25">
      <c r="A19" s="49" t="s">
        <v>25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5">
        <v>24.2</v>
      </c>
      <c r="AH19" s="52">
        <f t="shared" si="2"/>
        <v>0</v>
      </c>
      <c r="AI19" s="53">
        <f t="shared" si="3"/>
        <v>0</v>
      </c>
      <c r="AK19" s="54"/>
      <c r="AL19" s="31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</row>
    <row r="20" spans="1:88" x14ac:dyDescent="0.25">
      <c r="A20" s="49" t="s">
        <v>26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5">
        <v>28</v>
      </c>
      <c r="AH20" s="52">
        <f t="shared" si="2"/>
        <v>0</v>
      </c>
      <c r="AI20" s="53">
        <f t="shared" si="3"/>
        <v>0</v>
      </c>
      <c r="AK20" s="54"/>
      <c r="AL20" s="31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</row>
    <row r="21" spans="1:88" x14ac:dyDescent="0.25">
      <c r="A21" s="49" t="s">
        <v>27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6">
        <v>30</v>
      </c>
      <c r="AH21" s="52">
        <f t="shared" si="2"/>
        <v>0</v>
      </c>
      <c r="AI21" s="53">
        <f t="shared" si="3"/>
        <v>0</v>
      </c>
      <c r="AK21" s="54"/>
      <c r="AL21" s="31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</row>
    <row r="22" spans="1:88" x14ac:dyDescent="0.25">
      <c r="A22" s="49" t="s">
        <v>28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5">
        <v>25</v>
      </c>
      <c r="AH22" s="52">
        <f t="shared" si="2"/>
        <v>0</v>
      </c>
      <c r="AI22" s="53">
        <f t="shared" si="3"/>
        <v>0</v>
      </c>
      <c r="AK22" s="54"/>
      <c r="AL22" s="31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</row>
    <row r="23" spans="1:88" x14ac:dyDescent="0.25">
      <c r="A23" s="49" t="s">
        <v>29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5">
        <v>25</v>
      </c>
      <c r="AH23" s="52">
        <f t="shared" si="2"/>
        <v>0</v>
      </c>
      <c r="AI23" s="53">
        <f t="shared" si="3"/>
        <v>0</v>
      </c>
      <c r="AK23" s="54"/>
      <c r="AL23" s="31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</row>
    <row r="24" spans="1:88" x14ac:dyDescent="0.25">
      <c r="A24" s="49" t="s">
        <v>30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5">
        <v>25</v>
      </c>
      <c r="AH24" s="52">
        <f t="shared" si="2"/>
        <v>0</v>
      </c>
      <c r="AI24" s="53">
        <f t="shared" si="3"/>
        <v>0</v>
      </c>
      <c r="AK24" s="54"/>
      <c r="AL24" s="31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</row>
    <row r="25" spans="1:88" x14ac:dyDescent="0.25">
      <c r="A25" s="49" t="s">
        <v>31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5">
        <v>25</v>
      </c>
      <c r="AH25" s="52">
        <f t="shared" si="2"/>
        <v>0</v>
      </c>
      <c r="AI25" s="53">
        <f t="shared" si="3"/>
        <v>0</v>
      </c>
      <c r="AK25" s="54"/>
      <c r="AL25" s="31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</row>
    <row r="26" spans="1:88" x14ac:dyDescent="0.25">
      <c r="A26" s="49" t="s">
        <v>32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5">
        <v>23.5</v>
      </c>
      <c r="AH26" s="52">
        <f t="shared" si="2"/>
        <v>0</v>
      </c>
      <c r="AI26" s="53">
        <f t="shared" si="3"/>
        <v>0</v>
      </c>
      <c r="AK26" s="54"/>
      <c r="AL26" s="31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</row>
    <row r="27" spans="1:88" x14ac:dyDescent="0.25">
      <c r="A27" s="49" t="s">
        <v>33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5">
        <v>22.2</v>
      </c>
      <c r="AH27" s="52">
        <f t="shared" si="2"/>
        <v>0</v>
      </c>
      <c r="AI27" s="53">
        <f t="shared" si="3"/>
        <v>0</v>
      </c>
      <c r="AK27" s="54"/>
      <c r="AL27" s="31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</row>
    <row r="28" spans="1:88" x14ac:dyDescent="0.25">
      <c r="A28" s="49" t="s">
        <v>34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5">
        <v>22.1</v>
      </c>
      <c r="AH28" s="52">
        <f t="shared" si="2"/>
        <v>0</v>
      </c>
      <c r="AI28" s="53">
        <f t="shared" si="3"/>
        <v>0</v>
      </c>
      <c r="AK28" s="54"/>
      <c r="AL28" s="31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</row>
    <row r="29" spans="1:88" x14ac:dyDescent="0.25">
      <c r="A29" s="49" t="s">
        <v>35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5">
        <v>22</v>
      </c>
      <c r="AH29" s="52">
        <f t="shared" si="2"/>
        <v>0</v>
      </c>
      <c r="AI29" s="53">
        <f t="shared" si="3"/>
        <v>0</v>
      </c>
      <c r="AK29" s="54"/>
      <c r="AL29" s="31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</row>
    <row r="30" spans="1:88" x14ac:dyDescent="0.25">
      <c r="A30" s="49" t="s">
        <v>36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5">
        <v>22</v>
      </c>
      <c r="AH30" s="52">
        <f t="shared" si="2"/>
        <v>0</v>
      </c>
      <c r="AI30" s="53">
        <f t="shared" si="3"/>
        <v>0</v>
      </c>
      <c r="AK30" s="54"/>
      <c r="AL30" s="31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</row>
    <row r="31" spans="1:88" x14ac:dyDescent="0.25">
      <c r="A31" s="49" t="s">
        <v>37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5">
        <v>20</v>
      </c>
      <c r="AH31" s="52">
        <f t="shared" si="2"/>
        <v>0</v>
      </c>
      <c r="AI31" s="53">
        <f t="shared" si="3"/>
        <v>0</v>
      </c>
      <c r="AK31" s="54"/>
      <c r="AL31" s="31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</row>
    <row r="32" spans="1:88" x14ac:dyDescent="0.25">
      <c r="A32" s="49" t="s">
        <v>38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5">
        <v>18</v>
      </c>
      <c r="AH32" s="52">
        <f t="shared" si="2"/>
        <v>0</v>
      </c>
      <c r="AI32" s="53">
        <f t="shared" si="3"/>
        <v>0</v>
      </c>
      <c r="AK32" s="54"/>
      <c r="AL32" s="31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</row>
    <row r="33" spans="1:88" x14ac:dyDescent="0.25">
      <c r="A33" s="49" t="s">
        <v>253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5">
        <v>14.9</v>
      </c>
      <c r="AH33" s="52">
        <f t="shared" si="2"/>
        <v>0</v>
      </c>
      <c r="AI33" s="53">
        <f t="shared" si="3"/>
        <v>0</v>
      </c>
      <c r="AK33" s="54"/>
      <c r="AL33" s="31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</row>
    <row r="34" spans="1:88" x14ac:dyDescent="0.25">
      <c r="A34" s="49" t="s">
        <v>39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5">
        <v>14.9</v>
      </c>
      <c r="AH34" s="52">
        <f t="shared" si="2"/>
        <v>0</v>
      </c>
      <c r="AI34" s="53">
        <f t="shared" si="3"/>
        <v>0</v>
      </c>
      <c r="AK34" s="54"/>
      <c r="AL34" s="31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</row>
    <row r="35" spans="1:88" x14ac:dyDescent="0.25">
      <c r="A35" s="49" t="s">
        <v>40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5">
        <v>13.6</v>
      </c>
      <c r="AH35" s="52">
        <f t="shared" si="2"/>
        <v>0</v>
      </c>
      <c r="AI35" s="53">
        <f t="shared" si="3"/>
        <v>0</v>
      </c>
      <c r="AK35" s="54"/>
      <c r="AL35" s="31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</row>
    <row r="36" spans="1:88" x14ac:dyDescent="0.25">
      <c r="A36" s="49" t="s">
        <v>41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5">
        <v>13</v>
      </c>
      <c r="AH36" s="52">
        <f t="shared" si="2"/>
        <v>0</v>
      </c>
      <c r="AI36" s="53">
        <f t="shared" si="3"/>
        <v>0</v>
      </c>
      <c r="AK36" s="54"/>
      <c r="AL36" s="31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</row>
    <row r="37" spans="1:88" x14ac:dyDescent="0.25">
      <c r="A37" s="49" t="s">
        <v>42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5">
        <v>12</v>
      </c>
      <c r="AH37" s="52">
        <f t="shared" si="2"/>
        <v>0</v>
      </c>
      <c r="AI37" s="53">
        <f t="shared" si="3"/>
        <v>0</v>
      </c>
      <c r="AK37" s="54"/>
      <c r="AL37" s="31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</row>
    <row r="38" spans="1:88" x14ac:dyDescent="0.25">
      <c r="A38" s="49" t="s">
        <v>43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5">
        <v>12</v>
      </c>
      <c r="AH38" s="52">
        <f t="shared" si="2"/>
        <v>0</v>
      </c>
      <c r="AI38" s="53">
        <f t="shared" si="3"/>
        <v>0</v>
      </c>
      <c r="AK38" s="54"/>
      <c r="AL38" s="31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</row>
    <row r="39" spans="1:88" x14ac:dyDescent="0.25">
      <c r="A39" s="49" t="s">
        <v>44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5">
        <v>12</v>
      </c>
      <c r="AH39" s="52">
        <f t="shared" si="2"/>
        <v>0</v>
      </c>
      <c r="AI39" s="53">
        <f t="shared" si="3"/>
        <v>0</v>
      </c>
      <c r="AK39" s="54"/>
      <c r="AL39" s="31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</row>
    <row r="40" spans="1:88" ht="14.25" customHeight="1" x14ac:dyDescent="0.25">
      <c r="A40" s="49" t="s">
        <v>45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7">
        <v>22</v>
      </c>
      <c r="AH40" s="52">
        <f t="shared" si="2"/>
        <v>0</v>
      </c>
      <c r="AI40" s="53">
        <f t="shared" si="3"/>
        <v>0</v>
      </c>
      <c r="AK40" s="54"/>
      <c r="AL40" s="31"/>
      <c r="AM40" s="27"/>
      <c r="AN40" s="27"/>
      <c r="AO40" s="27"/>
      <c r="AP40" s="27"/>
      <c r="AQ40" s="58"/>
      <c r="AR40" s="59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4.25" customHeight="1" x14ac:dyDescent="0.25">
      <c r="A41" s="49" t="s">
        <v>46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6">
        <v>11.88</v>
      </c>
      <c r="AH41" s="52">
        <f t="shared" si="2"/>
        <v>0</v>
      </c>
      <c r="AI41" s="53">
        <f t="shared" si="3"/>
        <v>0</v>
      </c>
      <c r="AK41" s="54"/>
      <c r="AL41" s="31"/>
      <c r="AM41" s="27"/>
      <c r="AN41" s="27"/>
      <c r="AO41" s="27"/>
      <c r="AP41" s="27"/>
      <c r="AQ41" s="58"/>
      <c r="AR41" s="59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</row>
    <row r="42" spans="1:88" ht="14.25" customHeight="1" x14ac:dyDescent="0.25">
      <c r="A42" s="60" t="s">
        <v>47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61">
        <v>11</v>
      </c>
      <c r="AH42" s="52">
        <f t="shared" si="2"/>
        <v>0</v>
      </c>
      <c r="AI42" s="53">
        <f t="shared" si="3"/>
        <v>0</v>
      </c>
      <c r="AK42" s="54"/>
      <c r="AL42" s="31"/>
      <c r="AM42" s="27"/>
      <c r="AN42" s="27"/>
      <c r="AO42" s="27"/>
      <c r="AP42" s="27"/>
      <c r="AQ42" s="58"/>
      <c r="AR42" s="59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</row>
    <row r="43" spans="1:88" ht="14.25" customHeight="1" x14ac:dyDescent="0.25">
      <c r="A43" s="60" t="s">
        <v>48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61">
        <v>10</v>
      </c>
      <c r="AH43" s="52">
        <f t="shared" si="2"/>
        <v>0</v>
      </c>
      <c r="AI43" s="53">
        <f t="shared" si="3"/>
        <v>0</v>
      </c>
      <c r="AK43" s="54"/>
      <c r="AL43" s="31"/>
      <c r="AM43" s="27"/>
      <c r="AN43" s="27"/>
      <c r="AO43" s="27"/>
      <c r="AP43" s="27"/>
      <c r="AQ43" s="58"/>
      <c r="AR43" s="59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</row>
    <row r="44" spans="1:88" x14ac:dyDescent="0.25">
      <c r="A44" s="60" t="s">
        <v>254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61">
        <v>10</v>
      </c>
      <c r="AH44" s="52">
        <f t="shared" si="2"/>
        <v>0</v>
      </c>
      <c r="AI44" s="53">
        <f t="shared" si="3"/>
        <v>0</v>
      </c>
      <c r="AK44" s="54"/>
      <c r="AL44" s="31"/>
      <c r="AO44" s="27"/>
      <c r="AP44" s="27"/>
      <c r="AQ44" s="58"/>
      <c r="AR44" s="59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</row>
    <row r="45" spans="1:88" x14ac:dyDescent="0.25">
      <c r="A45" s="60" t="s">
        <v>49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61">
        <v>10</v>
      </c>
      <c r="AH45" s="52">
        <f t="shared" si="2"/>
        <v>0</v>
      </c>
      <c r="AI45" s="53">
        <f t="shared" si="3"/>
        <v>0</v>
      </c>
      <c r="AK45" s="54"/>
      <c r="AL45" s="31"/>
      <c r="AO45" s="27"/>
      <c r="AP45" s="27"/>
      <c r="AQ45" s="58"/>
      <c r="AR45" s="59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</row>
    <row r="46" spans="1:88" x14ac:dyDescent="0.25">
      <c r="A46" s="62" t="s">
        <v>50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1">
        <v>85</v>
      </c>
      <c r="AH46" s="52">
        <f t="shared" si="2"/>
        <v>0</v>
      </c>
      <c r="AI46" s="53">
        <f t="shared" si="3"/>
        <v>0</v>
      </c>
      <c r="AK46" s="54"/>
    </row>
    <row r="47" spans="1:88" ht="15.75" thickBot="1" x14ac:dyDescent="0.3">
      <c r="A47" s="64" t="s">
        <v>51</v>
      </c>
      <c r="B47" s="63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3"/>
      <c r="Y47" s="63"/>
      <c r="Z47" s="63"/>
      <c r="AA47" s="63"/>
      <c r="AB47" s="63"/>
      <c r="AC47" s="63"/>
      <c r="AD47" s="63"/>
      <c r="AE47" s="63"/>
      <c r="AF47" s="63"/>
      <c r="AG47" s="61">
        <v>240</v>
      </c>
      <c r="AH47" s="52">
        <f t="shared" si="2"/>
        <v>0</v>
      </c>
      <c r="AI47" s="53">
        <f t="shared" si="3"/>
        <v>0</v>
      </c>
      <c r="AK47" s="54"/>
    </row>
    <row r="48" spans="1:88" ht="15.75" thickBot="1" x14ac:dyDescent="0.3">
      <c r="A48" s="66" t="s">
        <v>52</v>
      </c>
      <c r="B48" s="67">
        <f t="shared" ref="B48:AG48" si="4">SUM(B12:B46)</f>
        <v>0</v>
      </c>
      <c r="C48" s="67">
        <f t="shared" si="4"/>
        <v>0</v>
      </c>
      <c r="D48" s="67">
        <f t="shared" si="4"/>
        <v>0</v>
      </c>
      <c r="E48" s="67">
        <f t="shared" si="4"/>
        <v>0</v>
      </c>
      <c r="F48" s="67">
        <f t="shared" si="4"/>
        <v>0</v>
      </c>
      <c r="G48" s="67">
        <f t="shared" si="4"/>
        <v>0</v>
      </c>
      <c r="H48" s="67">
        <f t="shared" si="4"/>
        <v>0</v>
      </c>
      <c r="I48" s="67">
        <f t="shared" si="4"/>
        <v>0</v>
      </c>
      <c r="J48" s="67">
        <f t="shared" si="4"/>
        <v>0</v>
      </c>
      <c r="K48" s="67">
        <f t="shared" si="4"/>
        <v>0</v>
      </c>
      <c r="L48" s="67">
        <f t="shared" si="4"/>
        <v>0</v>
      </c>
      <c r="M48" s="67">
        <f t="shared" si="4"/>
        <v>0</v>
      </c>
      <c r="N48" s="67">
        <f t="shared" si="4"/>
        <v>0</v>
      </c>
      <c r="O48" s="67">
        <f t="shared" si="4"/>
        <v>0</v>
      </c>
      <c r="P48" s="67">
        <f t="shared" si="4"/>
        <v>0</v>
      </c>
      <c r="Q48" s="67">
        <f t="shared" si="4"/>
        <v>0</v>
      </c>
      <c r="R48" s="67">
        <f t="shared" si="4"/>
        <v>0</v>
      </c>
      <c r="S48" s="67">
        <f t="shared" si="4"/>
        <v>0</v>
      </c>
      <c r="T48" s="67">
        <f t="shared" si="4"/>
        <v>0</v>
      </c>
      <c r="U48" s="67">
        <f t="shared" si="4"/>
        <v>0</v>
      </c>
      <c r="V48" s="67">
        <f t="shared" si="4"/>
        <v>0</v>
      </c>
      <c r="W48" s="67">
        <f t="shared" si="4"/>
        <v>0</v>
      </c>
      <c r="X48" s="67">
        <f t="shared" si="4"/>
        <v>0</v>
      </c>
      <c r="Y48" s="67">
        <f t="shared" si="4"/>
        <v>0</v>
      </c>
      <c r="Z48" s="67">
        <f t="shared" si="4"/>
        <v>0</v>
      </c>
      <c r="AA48" s="67">
        <f t="shared" si="4"/>
        <v>0</v>
      </c>
      <c r="AB48" s="67">
        <f t="shared" si="4"/>
        <v>0</v>
      </c>
      <c r="AC48" s="67">
        <f t="shared" si="4"/>
        <v>0</v>
      </c>
      <c r="AD48" s="67">
        <f t="shared" si="4"/>
        <v>0</v>
      </c>
      <c r="AE48" s="67">
        <f t="shared" si="4"/>
        <v>0</v>
      </c>
      <c r="AF48" s="67">
        <f t="shared" si="4"/>
        <v>0</v>
      </c>
      <c r="AG48" s="68">
        <f t="shared" si="4"/>
        <v>875.68</v>
      </c>
      <c r="AH48" s="52">
        <f t="shared" si="2"/>
        <v>0</v>
      </c>
      <c r="AI48" s="53">
        <f t="shared" si="3"/>
        <v>0</v>
      </c>
      <c r="AK48" s="54"/>
    </row>
    <row r="49" spans="1:41" x14ac:dyDescent="0.25">
      <c r="A49" s="69" t="s">
        <v>53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70"/>
      <c r="N49" s="7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6">
        <v>456</v>
      </c>
      <c r="AH49" s="52">
        <f t="shared" si="2"/>
        <v>0</v>
      </c>
      <c r="AI49" s="53">
        <f t="shared" si="3"/>
        <v>0</v>
      </c>
      <c r="AK49" s="54"/>
    </row>
    <row r="50" spans="1:41" x14ac:dyDescent="0.25">
      <c r="A50" s="71" t="s">
        <v>54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61">
        <v>60</v>
      </c>
      <c r="AH50" s="52">
        <f t="shared" si="2"/>
        <v>0</v>
      </c>
      <c r="AI50" s="53">
        <f t="shared" si="3"/>
        <v>0</v>
      </c>
      <c r="AK50" s="54"/>
    </row>
    <row r="51" spans="1:41" ht="15.75" thickBot="1" x14ac:dyDescent="0.3">
      <c r="A51" s="73" t="s">
        <v>55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5">
        <v>22.1</v>
      </c>
      <c r="AH51" s="52">
        <f t="shared" si="2"/>
        <v>0</v>
      </c>
      <c r="AI51" s="53">
        <f t="shared" si="3"/>
        <v>0</v>
      </c>
      <c r="AK51" s="54"/>
    </row>
    <row r="52" spans="1:41" ht="15.75" thickBot="1" x14ac:dyDescent="0.3">
      <c r="A52" s="76" t="s">
        <v>56</v>
      </c>
      <c r="B52" s="67">
        <f t="shared" ref="B52:AG52" si="5">SUM(B49:B51)</f>
        <v>0</v>
      </c>
      <c r="C52" s="67">
        <f t="shared" si="5"/>
        <v>0</v>
      </c>
      <c r="D52" s="67">
        <f t="shared" si="5"/>
        <v>0</v>
      </c>
      <c r="E52" s="67">
        <f t="shared" si="5"/>
        <v>0</v>
      </c>
      <c r="F52" s="67">
        <f t="shared" si="5"/>
        <v>0</v>
      </c>
      <c r="G52" s="67">
        <f t="shared" si="5"/>
        <v>0</v>
      </c>
      <c r="H52" s="67">
        <f t="shared" si="5"/>
        <v>0</v>
      </c>
      <c r="I52" s="67">
        <f t="shared" si="5"/>
        <v>0</v>
      </c>
      <c r="J52" s="67">
        <f t="shared" si="5"/>
        <v>0</v>
      </c>
      <c r="K52" s="67">
        <f t="shared" si="5"/>
        <v>0</v>
      </c>
      <c r="L52" s="67">
        <f t="shared" si="5"/>
        <v>0</v>
      </c>
      <c r="M52" s="67">
        <f t="shared" si="5"/>
        <v>0</v>
      </c>
      <c r="N52" s="67">
        <f t="shared" si="5"/>
        <v>0</v>
      </c>
      <c r="O52" s="67">
        <f t="shared" si="5"/>
        <v>0</v>
      </c>
      <c r="P52" s="67">
        <f t="shared" si="5"/>
        <v>0</v>
      </c>
      <c r="Q52" s="67">
        <f t="shared" si="5"/>
        <v>0</v>
      </c>
      <c r="R52" s="67">
        <f t="shared" si="5"/>
        <v>0</v>
      </c>
      <c r="S52" s="67">
        <f t="shared" si="5"/>
        <v>0</v>
      </c>
      <c r="T52" s="67">
        <f t="shared" si="5"/>
        <v>0</v>
      </c>
      <c r="U52" s="67">
        <f t="shared" si="5"/>
        <v>0</v>
      </c>
      <c r="V52" s="67">
        <f t="shared" si="5"/>
        <v>0</v>
      </c>
      <c r="W52" s="67">
        <f t="shared" si="5"/>
        <v>0</v>
      </c>
      <c r="X52" s="67">
        <f t="shared" si="5"/>
        <v>0</v>
      </c>
      <c r="Y52" s="67">
        <f t="shared" si="5"/>
        <v>0</v>
      </c>
      <c r="Z52" s="67">
        <f t="shared" si="5"/>
        <v>0</v>
      </c>
      <c r="AA52" s="67">
        <f t="shared" si="5"/>
        <v>0</v>
      </c>
      <c r="AB52" s="67">
        <f t="shared" si="5"/>
        <v>0</v>
      </c>
      <c r="AC52" s="67">
        <f t="shared" si="5"/>
        <v>0</v>
      </c>
      <c r="AD52" s="67">
        <f t="shared" si="5"/>
        <v>0</v>
      </c>
      <c r="AE52" s="67">
        <f t="shared" si="5"/>
        <v>0</v>
      </c>
      <c r="AF52" s="67">
        <f t="shared" si="5"/>
        <v>0</v>
      </c>
      <c r="AG52" s="68">
        <f t="shared" si="5"/>
        <v>538.1</v>
      </c>
      <c r="AH52" s="52">
        <f t="shared" si="2"/>
        <v>0</v>
      </c>
      <c r="AI52" s="53">
        <f t="shared" si="3"/>
        <v>0</v>
      </c>
      <c r="AK52" s="54"/>
    </row>
    <row r="53" spans="1:41" x14ac:dyDescent="0.25">
      <c r="A53" s="49" t="s">
        <v>57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6">
        <v>144</v>
      </c>
      <c r="AH53" s="52">
        <f t="shared" si="2"/>
        <v>0</v>
      </c>
      <c r="AI53" s="53">
        <f t="shared" si="3"/>
        <v>0</v>
      </c>
      <c r="AK53" s="54"/>
    </row>
    <row r="54" spans="1:41" x14ac:dyDescent="0.25">
      <c r="A54" s="60" t="s">
        <v>58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72"/>
      <c r="AC54" s="72"/>
      <c r="AD54" s="72"/>
      <c r="AE54" s="72"/>
      <c r="AF54" s="72"/>
      <c r="AG54" s="61">
        <v>70</v>
      </c>
      <c r="AH54" s="52">
        <f t="shared" si="2"/>
        <v>0</v>
      </c>
      <c r="AI54" s="53">
        <f t="shared" si="3"/>
        <v>0</v>
      </c>
      <c r="AK54" s="54"/>
    </row>
    <row r="55" spans="1:41" x14ac:dyDescent="0.25">
      <c r="A55" s="60" t="s">
        <v>59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72"/>
      <c r="AC55" s="72"/>
      <c r="AD55" s="72"/>
      <c r="AE55" s="72"/>
      <c r="AF55" s="72"/>
      <c r="AG55" s="61">
        <v>69</v>
      </c>
      <c r="AH55" s="52">
        <f t="shared" si="2"/>
        <v>0</v>
      </c>
      <c r="AI55" s="53">
        <f t="shared" si="3"/>
        <v>0</v>
      </c>
      <c r="AK55" s="54"/>
    </row>
    <row r="56" spans="1:41" x14ac:dyDescent="0.25">
      <c r="A56" s="60" t="s">
        <v>60</v>
      </c>
      <c r="B56" s="72"/>
      <c r="C56" s="72"/>
      <c r="D56" s="72"/>
      <c r="E56" s="63"/>
      <c r="F56" s="63"/>
      <c r="G56" s="63"/>
      <c r="H56" s="63"/>
      <c r="I56" s="63"/>
      <c r="J56" s="63"/>
      <c r="K56" s="63"/>
      <c r="L56" s="63"/>
      <c r="M56" s="72"/>
      <c r="N56" s="72"/>
      <c r="O56" s="72"/>
      <c r="P56" s="72"/>
      <c r="Q56" s="72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72"/>
      <c r="AC56" s="72"/>
      <c r="AD56" s="72"/>
      <c r="AE56" s="72"/>
      <c r="AF56" s="72"/>
      <c r="AG56" s="61">
        <v>60</v>
      </c>
      <c r="AH56" s="52">
        <f t="shared" si="2"/>
        <v>0</v>
      </c>
      <c r="AI56" s="53">
        <f t="shared" si="3"/>
        <v>0</v>
      </c>
      <c r="AK56" s="54"/>
    </row>
    <row r="57" spans="1:41" x14ac:dyDescent="0.25">
      <c r="A57" s="60" t="s">
        <v>61</v>
      </c>
      <c r="B57" s="72"/>
      <c r="C57" s="72"/>
      <c r="D57" s="72"/>
      <c r="E57" s="63"/>
      <c r="F57" s="63"/>
      <c r="G57" s="63"/>
      <c r="H57" s="63"/>
      <c r="I57" s="63"/>
      <c r="J57" s="63"/>
      <c r="K57" s="63"/>
      <c r="L57" s="63"/>
      <c r="M57" s="72"/>
      <c r="N57" s="72"/>
      <c r="O57" s="72"/>
      <c r="P57" s="72"/>
      <c r="Q57" s="72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72"/>
      <c r="AC57" s="72"/>
      <c r="AD57" s="72"/>
      <c r="AE57" s="72"/>
      <c r="AF57" s="72"/>
      <c r="AG57" s="61">
        <v>30</v>
      </c>
      <c r="AH57" s="52">
        <f t="shared" si="2"/>
        <v>0</v>
      </c>
      <c r="AI57" s="53">
        <f t="shared" si="3"/>
        <v>0</v>
      </c>
      <c r="AK57" s="54"/>
    </row>
    <row r="58" spans="1:41" x14ac:dyDescent="0.25">
      <c r="A58" s="60" t="s">
        <v>62</v>
      </c>
      <c r="B58" s="72"/>
      <c r="C58" s="72"/>
      <c r="D58" s="72"/>
      <c r="E58" s="50"/>
      <c r="F58" s="50"/>
      <c r="G58" s="50"/>
      <c r="H58" s="50"/>
      <c r="I58" s="50"/>
      <c r="J58" s="50"/>
      <c r="K58" s="50"/>
      <c r="L58" s="50"/>
      <c r="M58" s="72"/>
      <c r="N58" s="72"/>
      <c r="O58" s="72"/>
      <c r="P58" s="72"/>
      <c r="Q58" s="72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72"/>
      <c r="AC58" s="72"/>
      <c r="AD58" s="72"/>
      <c r="AE58" s="72"/>
      <c r="AF58" s="72"/>
      <c r="AG58" s="61">
        <v>25</v>
      </c>
      <c r="AH58" s="52">
        <f t="shared" si="2"/>
        <v>0</v>
      </c>
      <c r="AI58" s="53">
        <f t="shared" si="3"/>
        <v>0</v>
      </c>
      <c r="AK58" s="54"/>
    </row>
    <row r="59" spans="1:41" x14ac:dyDescent="0.25">
      <c r="A59" s="60" t="s">
        <v>63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61">
        <v>24</v>
      </c>
      <c r="AH59" s="52">
        <f t="shared" si="2"/>
        <v>0</v>
      </c>
      <c r="AI59" s="53">
        <f t="shared" si="3"/>
        <v>0</v>
      </c>
      <c r="AK59" s="54"/>
    </row>
    <row r="60" spans="1:41" x14ac:dyDescent="0.25">
      <c r="A60" s="60" t="s">
        <v>64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61">
        <v>15</v>
      </c>
      <c r="AH60" s="52">
        <f t="shared" si="2"/>
        <v>0</v>
      </c>
      <c r="AI60" s="53">
        <f t="shared" si="3"/>
        <v>0</v>
      </c>
      <c r="AK60" s="54"/>
      <c r="AL60" s="77"/>
      <c r="AO60" s="77"/>
    </row>
    <row r="61" spans="1:41" s="77" customFormat="1" x14ac:dyDescent="0.25">
      <c r="A61" s="60" t="s">
        <v>65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61">
        <v>14.1</v>
      </c>
      <c r="AH61" s="52">
        <f t="shared" si="2"/>
        <v>0</v>
      </c>
      <c r="AI61" s="53">
        <f t="shared" si="3"/>
        <v>0</v>
      </c>
      <c r="AJ61" s="1"/>
      <c r="AK61" s="54"/>
      <c r="AL61" s="2"/>
      <c r="AM61" s="2"/>
      <c r="AN61" s="2"/>
      <c r="AO61" s="2"/>
    </row>
    <row r="62" spans="1:41" x14ac:dyDescent="0.25">
      <c r="A62" s="78" t="s">
        <v>66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61">
        <v>14</v>
      </c>
      <c r="AH62" s="52">
        <f t="shared" si="2"/>
        <v>0</v>
      </c>
      <c r="AI62" s="53">
        <f t="shared" si="3"/>
        <v>0</v>
      </c>
      <c r="AK62" s="54"/>
    </row>
    <row r="63" spans="1:41" x14ac:dyDescent="0.25">
      <c r="A63" s="60" t="s">
        <v>67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61">
        <v>10.050000000000001</v>
      </c>
      <c r="AH63" s="52">
        <f t="shared" si="2"/>
        <v>0</v>
      </c>
      <c r="AI63" s="53">
        <f t="shared" si="3"/>
        <v>0</v>
      </c>
      <c r="AK63" s="54"/>
    </row>
    <row r="64" spans="1:41" x14ac:dyDescent="0.25">
      <c r="A64" s="60" t="s">
        <v>68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61">
        <v>6.2</v>
      </c>
      <c r="AH64" s="52">
        <f t="shared" si="2"/>
        <v>0</v>
      </c>
      <c r="AI64" s="53">
        <f t="shared" si="3"/>
        <v>0</v>
      </c>
      <c r="AK64" s="54"/>
    </row>
    <row r="65" spans="1:40" ht="15.75" thickBot="1" x14ac:dyDescent="0.3">
      <c r="A65" s="62" t="s">
        <v>69</v>
      </c>
      <c r="B65" s="79">
        <v>3.54</v>
      </c>
      <c r="C65" s="79">
        <v>3.54</v>
      </c>
      <c r="D65" s="79">
        <v>3.54</v>
      </c>
      <c r="E65" s="79">
        <v>3.54</v>
      </c>
      <c r="F65" s="79">
        <v>3.54</v>
      </c>
      <c r="G65" s="79">
        <v>3.54</v>
      </c>
      <c r="H65" s="79">
        <v>3.54</v>
      </c>
      <c r="I65" s="79">
        <v>3.54</v>
      </c>
      <c r="J65" s="79">
        <v>3.54</v>
      </c>
      <c r="K65" s="79">
        <v>3.54</v>
      </c>
      <c r="L65" s="79">
        <v>3.54</v>
      </c>
      <c r="M65" s="79">
        <v>3.54</v>
      </c>
      <c r="N65" s="79">
        <v>3.54</v>
      </c>
      <c r="O65" s="79">
        <v>3.54</v>
      </c>
      <c r="P65" s="79">
        <v>3.54</v>
      </c>
      <c r="Q65" s="79">
        <v>3.54</v>
      </c>
      <c r="R65" s="79">
        <v>3.54</v>
      </c>
      <c r="S65" s="79">
        <v>3.54</v>
      </c>
      <c r="T65" s="79">
        <v>3.54</v>
      </c>
      <c r="U65" s="79">
        <v>3.54</v>
      </c>
      <c r="V65" s="79">
        <v>3.54</v>
      </c>
      <c r="W65" s="79">
        <v>3.54</v>
      </c>
      <c r="X65" s="79">
        <v>3.54</v>
      </c>
      <c r="Y65" s="79">
        <v>3.54</v>
      </c>
      <c r="Z65" s="79">
        <v>3.54</v>
      </c>
      <c r="AA65" s="79">
        <v>3.54</v>
      </c>
      <c r="AB65" s="79">
        <v>3.54</v>
      </c>
      <c r="AC65" s="79">
        <v>3.54</v>
      </c>
      <c r="AD65" s="79">
        <v>3.54</v>
      </c>
      <c r="AE65" s="79">
        <v>3.54</v>
      </c>
      <c r="AF65" s="79">
        <v>3.54</v>
      </c>
      <c r="AG65" s="80">
        <f>AG232</f>
        <v>8.56</v>
      </c>
      <c r="AH65" s="52">
        <f t="shared" si="2"/>
        <v>3.54</v>
      </c>
      <c r="AI65" s="53">
        <f t="shared" si="3"/>
        <v>3.54</v>
      </c>
      <c r="AK65" s="54"/>
    </row>
    <row r="66" spans="1:40" ht="15.75" thickBot="1" x14ac:dyDescent="0.3">
      <c r="A66" s="81" t="s">
        <v>70</v>
      </c>
      <c r="B66" s="67">
        <f t="shared" ref="B66:AG66" si="6">SUM(B53:B65)</f>
        <v>3.54</v>
      </c>
      <c r="C66" s="67">
        <f t="shared" si="6"/>
        <v>3.54</v>
      </c>
      <c r="D66" s="67">
        <f t="shared" si="6"/>
        <v>3.54</v>
      </c>
      <c r="E66" s="67">
        <f t="shared" si="6"/>
        <v>3.54</v>
      </c>
      <c r="F66" s="67">
        <f t="shared" si="6"/>
        <v>3.54</v>
      </c>
      <c r="G66" s="67">
        <f t="shared" si="6"/>
        <v>3.54</v>
      </c>
      <c r="H66" s="67">
        <f t="shared" si="6"/>
        <v>3.54</v>
      </c>
      <c r="I66" s="67">
        <f t="shared" si="6"/>
        <v>3.54</v>
      </c>
      <c r="J66" s="67">
        <f t="shared" si="6"/>
        <v>3.54</v>
      </c>
      <c r="K66" s="67">
        <f t="shared" si="6"/>
        <v>3.54</v>
      </c>
      <c r="L66" s="67">
        <f t="shared" si="6"/>
        <v>3.54</v>
      </c>
      <c r="M66" s="67">
        <f t="shared" si="6"/>
        <v>3.54</v>
      </c>
      <c r="N66" s="67">
        <f t="shared" si="6"/>
        <v>3.54</v>
      </c>
      <c r="O66" s="67">
        <f t="shared" si="6"/>
        <v>3.54</v>
      </c>
      <c r="P66" s="67">
        <f t="shared" si="6"/>
        <v>3.54</v>
      </c>
      <c r="Q66" s="67">
        <f t="shared" si="6"/>
        <v>3.54</v>
      </c>
      <c r="R66" s="67">
        <f t="shared" si="6"/>
        <v>3.54</v>
      </c>
      <c r="S66" s="67">
        <f t="shared" si="6"/>
        <v>3.54</v>
      </c>
      <c r="T66" s="67">
        <f t="shared" si="6"/>
        <v>3.54</v>
      </c>
      <c r="U66" s="67">
        <f t="shared" si="6"/>
        <v>3.54</v>
      </c>
      <c r="V66" s="67">
        <f t="shared" si="6"/>
        <v>3.54</v>
      </c>
      <c r="W66" s="67">
        <f t="shared" si="6"/>
        <v>3.54</v>
      </c>
      <c r="X66" s="67">
        <f t="shared" si="6"/>
        <v>3.54</v>
      </c>
      <c r="Y66" s="67">
        <f t="shared" si="6"/>
        <v>3.54</v>
      </c>
      <c r="Z66" s="67">
        <f t="shared" si="6"/>
        <v>3.54</v>
      </c>
      <c r="AA66" s="67">
        <f t="shared" si="6"/>
        <v>3.54</v>
      </c>
      <c r="AB66" s="67">
        <f t="shared" si="6"/>
        <v>3.54</v>
      </c>
      <c r="AC66" s="67">
        <f t="shared" si="6"/>
        <v>3.54</v>
      </c>
      <c r="AD66" s="67">
        <f t="shared" si="6"/>
        <v>3.54</v>
      </c>
      <c r="AE66" s="67">
        <f t="shared" si="6"/>
        <v>3.54</v>
      </c>
      <c r="AF66" s="67">
        <f t="shared" si="6"/>
        <v>3.54</v>
      </c>
      <c r="AG66" s="68">
        <f t="shared" si="6"/>
        <v>489.91</v>
      </c>
      <c r="AH66" s="52">
        <f t="shared" si="2"/>
        <v>3.54</v>
      </c>
      <c r="AI66" s="53">
        <f t="shared" si="3"/>
        <v>3.54</v>
      </c>
      <c r="AK66" s="54"/>
    </row>
    <row r="67" spans="1:40" x14ac:dyDescent="0.25">
      <c r="A67" s="49" t="s">
        <v>71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6">
        <v>60</v>
      </c>
      <c r="AH67" s="52">
        <f t="shared" si="2"/>
        <v>0</v>
      </c>
      <c r="AI67" s="53">
        <f t="shared" si="3"/>
        <v>0</v>
      </c>
      <c r="AK67" s="54"/>
    </row>
    <row r="68" spans="1:40" x14ac:dyDescent="0.25">
      <c r="A68" s="60" t="s">
        <v>72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50"/>
      <c r="R68" s="50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50"/>
      <c r="AG68" s="61">
        <v>32</v>
      </c>
      <c r="AH68" s="52">
        <f t="shared" si="2"/>
        <v>0</v>
      </c>
      <c r="AI68" s="53">
        <f t="shared" si="3"/>
        <v>0</v>
      </c>
      <c r="AK68" s="54"/>
    </row>
    <row r="69" spans="1:40" ht="15.75" thickBot="1" x14ac:dyDescent="0.3">
      <c r="A69" s="78" t="s">
        <v>73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50"/>
      <c r="R69" s="50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50"/>
      <c r="AG69" s="75">
        <v>14</v>
      </c>
      <c r="AH69" s="52">
        <f t="shared" si="2"/>
        <v>0</v>
      </c>
      <c r="AI69" s="53">
        <f t="shared" si="3"/>
        <v>0</v>
      </c>
      <c r="AK69" s="54"/>
    </row>
    <row r="70" spans="1:40" ht="15.75" thickBot="1" x14ac:dyDescent="0.3">
      <c r="A70" s="81" t="s">
        <v>74</v>
      </c>
      <c r="B70" s="67">
        <f t="shared" ref="B70" si="7">B67+B68+B69</f>
        <v>0</v>
      </c>
      <c r="C70" s="67">
        <v>0</v>
      </c>
      <c r="D70" s="67">
        <v>0</v>
      </c>
      <c r="E70" s="67">
        <v>0</v>
      </c>
      <c r="F70" s="67">
        <v>0</v>
      </c>
      <c r="G70" s="67">
        <v>0</v>
      </c>
      <c r="H70" s="67">
        <v>0</v>
      </c>
      <c r="I70" s="67">
        <v>0</v>
      </c>
      <c r="J70" s="67">
        <v>0</v>
      </c>
      <c r="K70" s="67">
        <v>0</v>
      </c>
      <c r="L70" s="67">
        <f>L67+L68+L69</f>
        <v>0</v>
      </c>
      <c r="M70" s="67">
        <f t="shared" ref="M70:AF70" si="8">M67+M68+M69</f>
        <v>0</v>
      </c>
      <c r="N70" s="67">
        <f t="shared" si="8"/>
        <v>0</v>
      </c>
      <c r="O70" s="67">
        <f t="shared" si="8"/>
        <v>0</v>
      </c>
      <c r="P70" s="67">
        <f t="shared" si="8"/>
        <v>0</v>
      </c>
      <c r="Q70" s="67">
        <f t="shared" si="8"/>
        <v>0</v>
      </c>
      <c r="R70" s="67">
        <f t="shared" si="8"/>
        <v>0</v>
      </c>
      <c r="S70" s="67">
        <f t="shared" si="8"/>
        <v>0</v>
      </c>
      <c r="T70" s="67">
        <f t="shared" si="8"/>
        <v>0</v>
      </c>
      <c r="U70" s="67">
        <f t="shared" si="8"/>
        <v>0</v>
      </c>
      <c r="V70" s="67">
        <f t="shared" si="8"/>
        <v>0</v>
      </c>
      <c r="W70" s="67">
        <f t="shared" si="8"/>
        <v>0</v>
      </c>
      <c r="X70" s="67">
        <f t="shared" si="8"/>
        <v>0</v>
      </c>
      <c r="Y70" s="67">
        <f t="shared" si="8"/>
        <v>0</v>
      </c>
      <c r="Z70" s="67">
        <f t="shared" si="8"/>
        <v>0</v>
      </c>
      <c r="AA70" s="67">
        <f t="shared" si="8"/>
        <v>0</v>
      </c>
      <c r="AB70" s="67">
        <f t="shared" si="8"/>
        <v>0</v>
      </c>
      <c r="AC70" s="67">
        <f t="shared" si="8"/>
        <v>0</v>
      </c>
      <c r="AD70" s="67">
        <f t="shared" si="8"/>
        <v>0</v>
      </c>
      <c r="AE70" s="67">
        <f t="shared" si="8"/>
        <v>0</v>
      </c>
      <c r="AF70" s="67">
        <f t="shared" si="8"/>
        <v>0</v>
      </c>
      <c r="AG70" s="68">
        <f>SUM(AG67:AG69)</f>
        <v>106</v>
      </c>
      <c r="AH70" s="52">
        <f t="shared" si="2"/>
        <v>0</v>
      </c>
      <c r="AI70" s="53">
        <f t="shared" si="3"/>
        <v>0</v>
      </c>
      <c r="AK70" s="54"/>
    </row>
    <row r="71" spans="1:40" x14ac:dyDescent="0.25">
      <c r="A71" s="49" t="s">
        <v>75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6"/>
      <c r="AH71" s="52">
        <f t="shared" si="2"/>
        <v>0</v>
      </c>
      <c r="AI71" s="53">
        <f t="shared" si="3"/>
        <v>0</v>
      </c>
      <c r="AK71" s="54"/>
    </row>
    <row r="72" spans="1:40" x14ac:dyDescent="0.25">
      <c r="A72" s="60" t="s">
        <v>76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61"/>
      <c r="AH72" s="52">
        <f t="shared" si="2"/>
        <v>0</v>
      </c>
      <c r="AI72" s="53">
        <f t="shared" si="3"/>
        <v>0</v>
      </c>
      <c r="AK72" s="54"/>
    </row>
    <row r="73" spans="1:40" x14ac:dyDescent="0.25">
      <c r="A73" s="60" t="s">
        <v>77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82"/>
      <c r="AH73" s="52">
        <f t="shared" si="2"/>
        <v>0</v>
      </c>
      <c r="AI73" s="53">
        <f t="shared" si="3"/>
        <v>0</v>
      </c>
      <c r="AK73" s="54"/>
    </row>
    <row r="74" spans="1:40" x14ac:dyDescent="0.25">
      <c r="A74" s="60" t="s">
        <v>78</v>
      </c>
      <c r="B74" s="72"/>
      <c r="C74" s="72"/>
      <c r="D74" s="7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72"/>
      <c r="Z74" s="72"/>
      <c r="AA74" s="72"/>
      <c r="AB74" s="72"/>
      <c r="AC74" s="72"/>
      <c r="AD74" s="72"/>
      <c r="AE74" s="72"/>
      <c r="AF74" s="72"/>
      <c r="AG74" s="82"/>
      <c r="AH74" s="52">
        <f t="shared" si="2"/>
        <v>0</v>
      </c>
      <c r="AI74" s="53">
        <f t="shared" si="3"/>
        <v>0</v>
      </c>
      <c r="AK74" s="54"/>
    </row>
    <row r="75" spans="1:40" x14ac:dyDescent="0.25">
      <c r="A75" s="60" t="s">
        <v>79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82"/>
      <c r="AH75" s="52">
        <f t="shared" ref="AH75:AH117" si="9">MAX(B75:AF75)</f>
        <v>0</v>
      </c>
      <c r="AI75" s="53">
        <f t="shared" ref="AI75:AI117" si="10">MIN(B75:AF75)</f>
        <v>0</v>
      </c>
      <c r="AK75" s="54"/>
    </row>
    <row r="76" spans="1:40" x14ac:dyDescent="0.25">
      <c r="A76" s="60" t="s">
        <v>80</v>
      </c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2"/>
      <c r="AH76" s="52">
        <f t="shared" si="9"/>
        <v>0</v>
      </c>
      <c r="AI76" s="53">
        <f t="shared" si="10"/>
        <v>0</v>
      </c>
      <c r="AK76" s="54"/>
    </row>
    <row r="77" spans="1:40" ht="15.75" thickBot="1" x14ac:dyDescent="0.3">
      <c r="A77" s="60" t="s">
        <v>81</v>
      </c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2"/>
      <c r="AH77" s="52">
        <f t="shared" si="9"/>
        <v>0</v>
      </c>
      <c r="AI77" s="53">
        <f t="shared" si="10"/>
        <v>0</v>
      </c>
      <c r="AK77" s="54"/>
      <c r="AL77" s="85" t="s">
        <v>82</v>
      </c>
      <c r="AM77" s="85"/>
    </row>
    <row r="78" spans="1:40" x14ac:dyDescent="0.25">
      <c r="A78" s="60" t="s">
        <v>83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2"/>
      <c r="AH78" s="52">
        <f t="shared" si="9"/>
        <v>0</v>
      </c>
      <c r="AI78" s="53">
        <f t="shared" si="10"/>
        <v>0</v>
      </c>
      <c r="AK78" s="86"/>
      <c r="AL78" s="87">
        <v>14</v>
      </c>
      <c r="AM78" s="87">
        <v>10</v>
      </c>
      <c r="AN78" s="88"/>
    </row>
    <row r="79" spans="1:40" x14ac:dyDescent="0.25">
      <c r="A79" s="60" t="s">
        <v>84</v>
      </c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2"/>
      <c r="AH79" s="52">
        <f t="shared" si="9"/>
        <v>0</v>
      </c>
      <c r="AI79" s="53">
        <f t="shared" si="10"/>
        <v>0</v>
      </c>
      <c r="AK79" s="89" t="s">
        <v>85</v>
      </c>
      <c r="AL79" s="72">
        <v>533554.48</v>
      </c>
      <c r="AM79" s="83">
        <v>533330.87</v>
      </c>
      <c r="AN79" s="90">
        <f>AL79-AM79</f>
        <v>223.60999999998603</v>
      </c>
    </row>
    <row r="80" spans="1:40" x14ac:dyDescent="0.25">
      <c r="A80" s="91" t="s">
        <v>86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92"/>
      <c r="AH80" s="52">
        <f t="shared" si="9"/>
        <v>0</v>
      </c>
      <c r="AI80" s="53">
        <f t="shared" si="10"/>
        <v>0</v>
      </c>
      <c r="AK80" s="89" t="s">
        <v>87</v>
      </c>
      <c r="AL80" s="83">
        <v>377068.94</v>
      </c>
      <c r="AM80" s="83">
        <v>376844.36</v>
      </c>
      <c r="AN80" s="90">
        <f>AL80-AM80</f>
        <v>224.5800000000163</v>
      </c>
    </row>
    <row r="81" spans="1:88" ht="15.75" thickBot="1" x14ac:dyDescent="0.3">
      <c r="A81" s="91" t="s">
        <v>88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92"/>
      <c r="AH81" s="52">
        <f t="shared" si="9"/>
        <v>0</v>
      </c>
      <c r="AI81" s="53">
        <f t="shared" si="10"/>
        <v>0</v>
      </c>
      <c r="AK81" s="93"/>
      <c r="AL81" s="50"/>
      <c r="AM81" s="50"/>
      <c r="AN81" s="94">
        <f>AN79+AN80</f>
        <v>448.19000000000233</v>
      </c>
    </row>
    <row r="82" spans="1:88" ht="15.75" thickBot="1" x14ac:dyDescent="0.3">
      <c r="A82" s="81" t="s">
        <v>89</v>
      </c>
      <c r="B82" s="67">
        <f t="shared" ref="B82:AF82" si="11">SUMIF(B71:B81,"&gt;0")</f>
        <v>0</v>
      </c>
      <c r="C82" s="67">
        <f t="shared" si="11"/>
        <v>0</v>
      </c>
      <c r="D82" s="67">
        <f t="shared" si="11"/>
        <v>0</v>
      </c>
      <c r="E82" s="67">
        <f t="shared" si="11"/>
        <v>0</v>
      </c>
      <c r="F82" s="67">
        <f t="shared" si="11"/>
        <v>0</v>
      </c>
      <c r="G82" s="67">
        <f t="shared" si="11"/>
        <v>0</v>
      </c>
      <c r="H82" s="67">
        <f t="shared" si="11"/>
        <v>0</v>
      </c>
      <c r="I82" s="67">
        <f t="shared" si="11"/>
        <v>0</v>
      </c>
      <c r="J82" s="67">
        <f t="shared" si="11"/>
        <v>0</v>
      </c>
      <c r="K82" s="67">
        <f t="shared" si="11"/>
        <v>0</v>
      </c>
      <c r="L82" s="67">
        <f t="shared" si="11"/>
        <v>0</v>
      </c>
      <c r="M82" s="67">
        <f t="shared" si="11"/>
        <v>0</v>
      </c>
      <c r="N82" s="67">
        <f t="shared" si="11"/>
        <v>0</v>
      </c>
      <c r="O82" s="67">
        <f t="shared" si="11"/>
        <v>0</v>
      </c>
      <c r="P82" s="67">
        <f t="shared" si="11"/>
        <v>0</v>
      </c>
      <c r="Q82" s="67">
        <f t="shared" si="11"/>
        <v>0</v>
      </c>
      <c r="R82" s="67">
        <f t="shared" si="11"/>
        <v>0</v>
      </c>
      <c r="S82" s="67">
        <f t="shared" si="11"/>
        <v>0</v>
      </c>
      <c r="T82" s="67">
        <f t="shared" si="11"/>
        <v>0</v>
      </c>
      <c r="U82" s="67">
        <f t="shared" si="11"/>
        <v>0</v>
      </c>
      <c r="V82" s="67">
        <f t="shared" si="11"/>
        <v>0</v>
      </c>
      <c r="W82" s="67">
        <f t="shared" si="11"/>
        <v>0</v>
      </c>
      <c r="X82" s="67">
        <f t="shared" si="11"/>
        <v>0</v>
      </c>
      <c r="Y82" s="67">
        <f t="shared" si="11"/>
        <v>0</v>
      </c>
      <c r="Z82" s="67">
        <f t="shared" si="11"/>
        <v>0</v>
      </c>
      <c r="AA82" s="67">
        <f t="shared" si="11"/>
        <v>0</v>
      </c>
      <c r="AB82" s="67">
        <f t="shared" si="11"/>
        <v>0</v>
      </c>
      <c r="AC82" s="67">
        <f t="shared" si="11"/>
        <v>0</v>
      </c>
      <c r="AD82" s="67">
        <f t="shared" si="11"/>
        <v>0</v>
      </c>
      <c r="AE82" s="67">
        <f t="shared" si="11"/>
        <v>0</v>
      </c>
      <c r="AF82" s="67">
        <f t="shared" si="11"/>
        <v>0</v>
      </c>
      <c r="AG82" s="95">
        <f>SUM(AG71:AG81)</f>
        <v>0</v>
      </c>
      <c r="AH82" s="52">
        <f t="shared" si="9"/>
        <v>0</v>
      </c>
      <c r="AI82" s="53">
        <f t="shared" si="10"/>
        <v>0</v>
      </c>
      <c r="AK82" s="93"/>
      <c r="AL82" s="84"/>
      <c r="AM82" s="96"/>
      <c r="AN82" s="211">
        <f>448.2/4</f>
        <v>112.05</v>
      </c>
    </row>
    <row r="83" spans="1:88" x14ac:dyDescent="0.25">
      <c r="A83" s="49" t="s">
        <v>90</v>
      </c>
      <c r="B83" s="83">
        <v>0</v>
      </c>
      <c r="C83" s="83">
        <v>0</v>
      </c>
      <c r="D83" s="83">
        <v>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0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83">
        <v>0</v>
      </c>
      <c r="AD83" s="83">
        <v>0</v>
      </c>
      <c r="AE83" s="83">
        <v>0</v>
      </c>
      <c r="AF83" s="83">
        <v>0</v>
      </c>
      <c r="AG83" s="97">
        <v>39</v>
      </c>
      <c r="AH83" s="52">
        <f t="shared" si="9"/>
        <v>0</v>
      </c>
      <c r="AI83" s="53">
        <f t="shared" si="10"/>
        <v>0</v>
      </c>
      <c r="AK83" s="93"/>
      <c r="AL83" s="84"/>
      <c r="AM83" s="84"/>
      <c r="AN83" s="212"/>
    </row>
    <row r="84" spans="1:88" ht="15.75" thickBot="1" x14ac:dyDescent="0.3">
      <c r="A84" s="60" t="s">
        <v>91</v>
      </c>
      <c r="B84" s="84">
        <v>0</v>
      </c>
      <c r="C84" s="84">
        <v>0</v>
      </c>
      <c r="D84" s="84">
        <v>0</v>
      </c>
      <c r="E84" s="84">
        <v>0</v>
      </c>
      <c r="F84" s="84">
        <v>0</v>
      </c>
      <c r="G84" s="84">
        <v>0</v>
      </c>
      <c r="H84" s="84">
        <v>0</v>
      </c>
      <c r="I84" s="84">
        <v>0</v>
      </c>
      <c r="J84" s="84">
        <v>0</v>
      </c>
      <c r="K84" s="84">
        <v>0</v>
      </c>
      <c r="L84" s="84">
        <v>0</v>
      </c>
      <c r="M84" s="84">
        <v>0</v>
      </c>
      <c r="N84" s="84">
        <v>0</v>
      </c>
      <c r="O84" s="84">
        <v>0</v>
      </c>
      <c r="P84" s="84">
        <v>0</v>
      </c>
      <c r="Q84" s="84">
        <v>0</v>
      </c>
      <c r="R84" s="84">
        <v>0</v>
      </c>
      <c r="S84" s="84">
        <v>0</v>
      </c>
      <c r="T84" s="84">
        <v>0</v>
      </c>
      <c r="U84" s="84">
        <v>0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0</v>
      </c>
      <c r="AE84" s="84">
        <v>0</v>
      </c>
      <c r="AF84" s="84">
        <v>0</v>
      </c>
      <c r="AG84" s="82">
        <v>14.4</v>
      </c>
      <c r="AH84" s="52">
        <f t="shared" si="9"/>
        <v>0</v>
      </c>
      <c r="AI84" s="53">
        <f t="shared" si="10"/>
        <v>0</v>
      </c>
      <c r="AK84" s="98"/>
      <c r="AL84" s="99"/>
      <c r="AM84" s="99"/>
      <c r="AN84" s="100"/>
    </row>
    <row r="85" spans="1:88" ht="15.75" thickBot="1" x14ac:dyDescent="0.3">
      <c r="A85" s="91" t="s">
        <v>92</v>
      </c>
      <c r="B85" s="101">
        <v>0</v>
      </c>
      <c r="C85" s="101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0</v>
      </c>
      <c r="AA85" s="101">
        <v>0</v>
      </c>
      <c r="AB85" s="101">
        <v>0</v>
      </c>
      <c r="AC85" s="101">
        <v>0</v>
      </c>
      <c r="AD85" s="101">
        <v>0</v>
      </c>
      <c r="AE85" s="101">
        <v>0</v>
      </c>
      <c r="AF85" s="101">
        <v>0</v>
      </c>
      <c r="AG85" s="92">
        <v>2</v>
      </c>
      <c r="AH85" s="52">
        <f t="shared" si="9"/>
        <v>0</v>
      </c>
      <c r="AI85" s="53">
        <f t="shared" si="10"/>
        <v>0</v>
      </c>
    </row>
    <row r="86" spans="1:88" s="1" customFormat="1" ht="15.75" thickBot="1" x14ac:dyDescent="0.3">
      <c r="A86" s="81" t="s">
        <v>93</v>
      </c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>
        <v>0</v>
      </c>
      <c r="Y86" s="67"/>
      <c r="Z86" s="67"/>
      <c r="AA86" s="67"/>
      <c r="AB86" s="67"/>
      <c r="AC86" s="67"/>
      <c r="AD86" s="67"/>
      <c r="AE86" s="67"/>
      <c r="AF86" s="67"/>
      <c r="AG86" s="95">
        <f>SUM(AG83:AG85)</f>
        <v>55.4</v>
      </c>
      <c r="AH86" s="52">
        <f t="shared" si="9"/>
        <v>0</v>
      </c>
      <c r="AI86" s="53">
        <f t="shared" si="1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1:88" s="1" customFormat="1" ht="15.75" thickBot="1" x14ac:dyDescent="0.3">
      <c r="A87" s="81" t="s">
        <v>94</v>
      </c>
      <c r="B87" s="102">
        <f t="shared" ref="B87:AG87" si="12">B48+B52+B70+B66+B82+B86</f>
        <v>3.54</v>
      </c>
      <c r="C87" s="102">
        <f t="shared" si="12"/>
        <v>3.54</v>
      </c>
      <c r="D87" s="102">
        <f t="shared" si="12"/>
        <v>3.54</v>
      </c>
      <c r="E87" s="102">
        <f t="shared" si="12"/>
        <v>3.54</v>
      </c>
      <c r="F87" s="102">
        <f t="shared" si="12"/>
        <v>3.54</v>
      </c>
      <c r="G87" s="102">
        <f t="shared" si="12"/>
        <v>3.54</v>
      </c>
      <c r="H87" s="102">
        <f t="shared" si="12"/>
        <v>3.54</v>
      </c>
      <c r="I87" s="102">
        <f t="shared" si="12"/>
        <v>3.54</v>
      </c>
      <c r="J87" s="102">
        <f t="shared" si="12"/>
        <v>3.54</v>
      </c>
      <c r="K87" s="102">
        <f t="shared" si="12"/>
        <v>3.54</v>
      </c>
      <c r="L87" s="102">
        <f t="shared" si="12"/>
        <v>3.54</v>
      </c>
      <c r="M87" s="102">
        <f t="shared" si="12"/>
        <v>3.54</v>
      </c>
      <c r="N87" s="102">
        <f t="shared" si="12"/>
        <v>3.54</v>
      </c>
      <c r="O87" s="102">
        <f t="shared" si="12"/>
        <v>3.54</v>
      </c>
      <c r="P87" s="102">
        <f t="shared" si="12"/>
        <v>3.54</v>
      </c>
      <c r="Q87" s="102">
        <f t="shared" si="12"/>
        <v>3.54</v>
      </c>
      <c r="R87" s="102">
        <f t="shared" si="12"/>
        <v>3.54</v>
      </c>
      <c r="S87" s="102">
        <f t="shared" si="12"/>
        <v>3.54</v>
      </c>
      <c r="T87" s="102">
        <f t="shared" si="12"/>
        <v>3.54</v>
      </c>
      <c r="U87" s="102">
        <f t="shared" si="12"/>
        <v>3.54</v>
      </c>
      <c r="V87" s="102">
        <f t="shared" si="12"/>
        <v>3.54</v>
      </c>
      <c r="W87" s="102">
        <f t="shared" si="12"/>
        <v>3.54</v>
      </c>
      <c r="X87" s="102">
        <f t="shared" si="12"/>
        <v>3.54</v>
      </c>
      <c r="Y87" s="102">
        <f t="shared" si="12"/>
        <v>3.54</v>
      </c>
      <c r="Z87" s="102">
        <f t="shared" si="12"/>
        <v>3.54</v>
      </c>
      <c r="AA87" s="102">
        <f t="shared" si="12"/>
        <v>3.54</v>
      </c>
      <c r="AB87" s="102">
        <f t="shared" si="12"/>
        <v>3.54</v>
      </c>
      <c r="AC87" s="102">
        <f t="shared" si="12"/>
        <v>3.54</v>
      </c>
      <c r="AD87" s="102">
        <f t="shared" si="12"/>
        <v>3.54</v>
      </c>
      <c r="AE87" s="102">
        <f t="shared" si="12"/>
        <v>3.54</v>
      </c>
      <c r="AF87" s="102">
        <f t="shared" si="12"/>
        <v>3.54</v>
      </c>
      <c r="AG87" s="68">
        <f t="shared" si="12"/>
        <v>2065.09</v>
      </c>
      <c r="AH87" s="52">
        <f>MAX(B87:AF87)</f>
        <v>3.54</v>
      </c>
      <c r="AI87" s="53">
        <f>MIN(B87:AF87)</f>
        <v>3.54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1:88" s="1" customFormat="1" ht="15.75" thickBot="1" x14ac:dyDescent="0.3">
      <c r="A88" s="103" t="s">
        <v>95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95"/>
      <c r="AH88" s="52">
        <f t="shared" si="9"/>
        <v>0</v>
      </c>
      <c r="AI88" s="53">
        <f t="shared" si="10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1:88" s="1" customFormat="1" ht="15.75" thickBot="1" x14ac:dyDescent="0.3">
      <c r="A89" s="81" t="s">
        <v>96</v>
      </c>
      <c r="B89" s="102">
        <f t="shared" ref="B89:AF89" si="13">B87+B88</f>
        <v>3.54</v>
      </c>
      <c r="C89" s="102">
        <f t="shared" si="13"/>
        <v>3.54</v>
      </c>
      <c r="D89" s="102">
        <f t="shared" si="13"/>
        <v>3.54</v>
      </c>
      <c r="E89" s="102">
        <f t="shared" si="13"/>
        <v>3.54</v>
      </c>
      <c r="F89" s="102">
        <f t="shared" si="13"/>
        <v>3.54</v>
      </c>
      <c r="G89" s="102">
        <f t="shared" si="13"/>
        <v>3.54</v>
      </c>
      <c r="H89" s="102">
        <f t="shared" si="13"/>
        <v>3.54</v>
      </c>
      <c r="I89" s="102">
        <f t="shared" si="13"/>
        <v>3.54</v>
      </c>
      <c r="J89" s="102">
        <f t="shared" si="13"/>
        <v>3.54</v>
      </c>
      <c r="K89" s="102">
        <f t="shared" si="13"/>
        <v>3.54</v>
      </c>
      <c r="L89" s="102">
        <f t="shared" si="13"/>
        <v>3.54</v>
      </c>
      <c r="M89" s="102">
        <f t="shared" si="13"/>
        <v>3.54</v>
      </c>
      <c r="N89" s="102">
        <f t="shared" si="13"/>
        <v>3.54</v>
      </c>
      <c r="O89" s="102">
        <f t="shared" si="13"/>
        <v>3.54</v>
      </c>
      <c r="P89" s="102">
        <f t="shared" si="13"/>
        <v>3.54</v>
      </c>
      <c r="Q89" s="102">
        <f t="shared" si="13"/>
        <v>3.54</v>
      </c>
      <c r="R89" s="102">
        <f t="shared" si="13"/>
        <v>3.54</v>
      </c>
      <c r="S89" s="102">
        <f t="shared" si="13"/>
        <v>3.54</v>
      </c>
      <c r="T89" s="102">
        <f t="shared" si="13"/>
        <v>3.54</v>
      </c>
      <c r="U89" s="102">
        <f t="shared" si="13"/>
        <v>3.54</v>
      </c>
      <c r="V89" s="102">
        <f t="shared" si="13"/>
        <v>3.54</v>
      </c>
      <c r="W89" s="102">
        <f t="shared" si="13"/>
        <v>3.54</v>
      </c>
      <c r="X89" s="102">
        <f t="shared" si="13"/>
        <v>3.54</v>
      </c>
      <c r="Y89" s="102">
        <f t="shared" si="13"/>
        <v>3.54</v>
      </c>
      <c r="Z89" s="102">
        <f t="shared" si="13"/>
        <v>3.54</v>
      </c>
      <c r="AA89" s="102">
        <f t="shared" si="13"/>
        <v>3.54</v>
      </c>
      <c r="AB89" s="102">
        <f t="shared" si="13"/>
        <v>3.54</v>
      </c>
      <c r="AC89" s="102">
        <f t="shared" si="13"/>
        <v>3.54</v>
      </c>
      <c r="AD89" s="102">
        <f t="shared" si="13"/>
        <v>3.54</v>
      </c>
      <c r="AE89" s="102">
        <f t="shared" si="13"/>
        <v>3.54</v>
      </c>
      <c r="AF89" s="102">
        <f t="shared" si="13"/>
        <v>3.54</v>
      </c>
      <c r="AG89" s="95">
        <f>AG86+AG82+AG70+AG66+AG48+AG88</f>
        <v>1526.99</v>
      </c>
      <c r="AH89" s="52">
        <f t="shared" si="9"/>
        <v>3.54</v>
      </c>
      <c r="AI89" s="53">
        <f t="shared" si="10"/>
        <v>3.54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1:88" s="1" customFormat="1" ht="15.75" thickBot="1" x14ac:dyDescent="0.3">
      <c r="A90" s="81" t="s">
        <v>97</v>
      </c>
      <c r="B90" s="102">
        <f t="shared" ref="B90:AF90" si="14">B89-B97</f>
        <v>3.54</v>
      </c>
      <c r="C90" s="102">
        <f t="shared" si="14"/>
        <v>3.54</v>
      </c>
      <c r="D90" s="102">
        <f t="shared" si="14"/>
        <v>3.54</v>
      </c>
      <c r="E90" s="102">
        <f t="shared" si="14"/>
        <v>3.54</v>
      </c>
      <c r="F90" s="102">
        <f t="shared" si="14"/>
        <v>3.54</v>
      </c>
      <c r="G90" s="102">
        <f t="shared" si="14"/>
        <v>3.54</v>
      </c>
      <c r="H90" s="102">
        <f t="shared" si="14"/>
        <v>3.54</v>
      </c>
      <c r="I90" s="102">
        <f t="shared" si="14"/>
        <v>3.54</v>
      </c>
      <c r="J90" s="102">
        <f t="shared" si="14"/>
        <v>3.54</v>
      </c>
      <c r="K90" s="102">
        <f t="shared" si="14"/>
        <v>3.54</v>
      </c>
      <c r="L90" s="102">
        <f t="shared" si="14"/>
        <v>3.54</v>
      </c>
      <c r="M90" s="102">
        <f t="shared" si="14"/>
        <v>3.54</v>
      </c>
      <c r="N90" s="102">
        <f t="shared" si="14"/>
        <v>3.54</v>
      </c>
      <c r="O90" s="102">
        <f t="shared" si="14"/>
        <v>3.54</v>
      </c>
      <c r="P90" s="102">
        <f t="shared" si="14"/>
        <v>3.54</v>
      </c>
      <c r="Q90" s="102">
        <f t="shared" si="14"/>
        <v>3.54</v>
      </c>
      <c r="R90" s="102">
        <f t="shared" si="14"/>
        <v>3.54</v>
      </c>
      <c r="S90" s="102">
        <f t="shared" si="14"/>
        <v>3.54</v>
      </c>
      <c r="T90" s="102">
        <f t="shared" si="14"/>
        <v>3.54</v>
      </c>
      <c r="U90" s="102">
        <f t="shared" si="14"/>
        <v>3.54</v>
      </c>
      <c r="V90" s="102">
        <f t="shared" si="14"/>
        <v>3.54</v>
      </c>
      <c r="W90" s="102">
        <f t="shared" si="14"/>
        <v>3.54</v>
      </c>
      <c r="X90" s="102">
        <f t="shared" si="14"/>
        <v>3.54</v>
      </c>
      <c r="Y90" s="102">
        <f t="shared" si="14"/>
        <v>3.54</v>
      </c>
      <c r="Z90" s="102">
        <f t="shared" si="14"/>
        <v>3.54</v>
      </c>
      <c r="AA90" s="102">
        <f t="shared" si="14"/>
        <v>3.54</v>
      </c>
      <c r="AB90" s="102">
        <f t="shared" si="14"/>
        <v>3.54</v>
      </c>
      <c r="AC90" s="102">
        <f t="shared" si="14"/>
        <v>3.54</v>
      </c>
      <c r="AD90" s="102">
        <f t="shared" si="14"/>
        <v>3.54</v>
      </c>
      <c r="AE90" s="102">
        <f t="shared" si="14"/>
        <v>3.54</v>
      </c>
      <c r="AF90" s="102">
        <f t="shared" si="14"/>
        <v>3.54</v>
      </c>
      <c r="AG90" s="95"/>
      <c r="AH90" s="52">
        <f t="shared" si="9"/>
        <v>3.54</v>
      </c>
      <c r="AI90" s="53">
        <f t="shared" si="10"/>
        <v>3.54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1:88" s="1" customFormat="1" x14ac:dyDescent="0.25">
      <c r="A91" s="49" t="s">
        <v>78</v>
      </c>
      <c r="B91" s="83">
        <v>0</v>
      </c>
      <c r="C91" s="83">
        <v>0</v>
      </c>
      <c r="D91" s="83">
        <v>0</v>
      </c>
      <c r="E91" s="83">
        <v>0</v>
      </c>
      <c r="F91" s="83">
        <v>0</v>
      </c>
      <c r="G91" s="83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56"/>
      <c r="AH91" s="52">
        <f t="shared" si="9"/>
        <v>0</v>
      </c>
      <c r="AI91" s="53">
        <f t="shared" si="10"/>
        <v>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1:88" s="1" customFormat="1" x14ac:dyDescent="0.25">
      <c r="A92" s="60" t="s">
        <v>76</v>
      </c>
      <c r="B92" s="83">
        <v>0</v>
      </c>
      <c r="C92" s="83">
        <v>0</v>
      </c>
      <c r="D92" s="83">
        <v>0</v>
      </c>
      <c r="E92" s="83">
        <v>0</v>
      </c>
      <c r="F92" s="83">
        <v>0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61"/>
      <c r="AH92" s="52">
        <f t="shared" si="9"/>
        <v>0</v>
      </c>
      <c r="AI92" s="53">
        <f t="shared" si="1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1:88" s="1" customFormat="1" x14ac:dyDescent="0.25">
      <c r="A93" s="91" t="s">
        <v>98</v>
      </c>
      <c r="B93" s="83">
        <v>0</v>
      </c>
      <c r="C93" s="83">
        <v>0</v>
      </c>
      <c r="D93" s="83">
        <v>0</v>
      </c>
      <c r="E93" s="83">
        <v>0</v>
      </c>
      <c r="F93" s="83">
        <v>0</v>
      </c>
      <c r="G93" s="83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105"/>
      <c r="AH93" s="52">
        <f t="shared" si="9"/>
        <v>0</v>
      </c>
      <c r="AI93" s="53">
        <f t="shared" si="1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1:88" s="1" customFormat="1" x14ac:dyDescent="0.25">
      <c r="A94" s="91" t="s">
        <v>99</v>
      </c>
      <c r="B94" s="83">
        <v>0</v>
      </c>
      <c r="C94" s="83">
        <v>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105"/>
      <c r="AH94" s="52">
        <f t="shared" si="9"/>
        <v>0</v>
      </c>
      <c r="AI94" s="53">
        <f t="shared" si="10"/>
        <v>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1:88" s="1" customFormat="1" x14ac:dyDescent="0.25">
      <c r="A95" s="91" t="s">
        <v>75</v>
      </c>
      <c r="B95" s="83">
        <v>0</v>
      </c>
      <c r="C95" s="83">
        <v>0</v>
      </c>
      <c r="D95" s="83">
        <v>0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0</v>
      </c>
      <c r="Z95" s="83">
        <v>0</v>
      </c>
      <c r="AA95" s="83">
        <v>0</v>
      </c>
      <c r="AB95" s="83">
        <v>0</v>
      </c>
      <c r="AC95" s="83">
        <v>0</v>
      </c>
      <c r="AD95" s="83">
        <v>0</v>
      </c>
      <c r="AE95" s="83">
        <v>0</v>
      </c>
      <c r="AF95" s="83">
        <v>0</v>
      </c>
      <c r="AG95" s="105"/>
      <c r="AH95" s="52">
        <f t="shared" si="9"/>
        <v>0</v>
      </c>
      <c r="AI95" s="53">
        <f t="shared" si="1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1:88" s="1" customFormat="1" ht="15.75" thickBot="1" x14ac:dyDescent="0.3">
      <c r="A96" s="91" t="s">
        <v>100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101">
        <v>0</v>
      </c>
      <c r="AD96" s="101">
        <v>0</v>
      </c>
      <c r="AE96" s="101">
        <v>0</v>
      </c>
      <c r="AF96" s="101">
        <v>0</v>
      </c>
      <c r="AG96" s="92"/>
      <c r="AH96" s="52">
        <f t="shared" si="9"/>
        <v>0</v>
      </c>
      <c r="AI96" s="53">
        <f t="shared" si="1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1:88" ht="15.75" thickBot="1" x14ac:dyDescent="0.3">
      <c r="A97" s="106" t="s">
        <v>101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95"/>
      <c r="AH97" s="52">
        <f t="shared" si="9"/>
        <v>0</v>
      </c>
      <c r="AI97" s="53">
        <f t="shared" si="10"/>
        <v>0</v>
      </c>
      <c r="AK97" s="54"/>
    </row>
    <row r="98" spans="1:88" s="1" customFormat="1" ht="15.75" thickBot="1" x14ac:dyDescent="0.3">
      <c r="A98" s="81" t="s">
        <v>102</v>
      </c>
      <c r="B98" s="67">
        <f t="shared" ref="B98:AF98" si="15">B82-B97</f>
        <v>0</v>
      </c>
      <c r="C98" s="67">
        <f t="shared" si="15"/>
        <v>0</v>
      </c>
      <c r="D98" s="67">
        <f t="shared" si="15"/>
        <v>0</v>
      </c>
      <c r="E98" s="67">
        <f t="shared" si="15"/>
        <v>0</v>
      </c>
      <c r="F98" s="67">
        <f t="shared" si="15"/>
        <v>0</v>
      </c>
      <c r="G98" s="67">
        <f t="shared" si="15"/>
        <v>0</v>
      </c>
      <c r="H98" s="67">
        <f t="shared" si="15"/>
        <v>0</v>
      </c>
      <c r="I98" s="67">
        <f t="shared" si="15"/>
        <v>0</v>
      </c>
      <c r="J98" s="67">
        <f t="shared" si="15"/>
        <v>0</v>
      </c>
      <c r="K98" s="67">
        <f t="shared" si="15"/>
        <v>0</v>
      </c>
      <c r="L98" s="67">
        <f t="shared" si="15"/>
        <v>0</v>
      </c>
      <c r="M98" s="67">
        <f t="shared" si="15"/>
        <v>0</v>
      </c>
      <c r="N98" s="67">
        <f t="shared" si="15"/>
        <v>0</v>
      </c>
      <c r="O98" s="67">
        <f t="shared" si="15"/>
        <v>0</v>
      </c>
      <c r="P98" s="67">
        <f t="shared" si="15"/>
        <v>0</v>
      </c>
      <c r="Q98" s="67">
        <f t="shared" si="15"/>
        <v>0</v>
      </c>
      <c r="R98" s="67">
        <f t="shared" si="15"/>
        <v>0</v>
      </c>
      <c r="S98" s="67">
        <f t="shared" si="15"/>
        <v>0</v>
      </c>
      <c r="T98" s="67">
        <f t="shared" si="15"/>
        <v>0</v>
      </c>
      <c r="U98" s="67">
        <f t="shared" si="15"/>
        <v>0</v>
      </c>
      <c r="V98" s="67">
        <f t="shared" si="15"/>
        <v>0</v>
      </c>
      <c r="W98" s="67">
        <f t="shared" si="15"/>
        <v>0</v>
      </c>
      <c r="X98" s="67">
        <f t="shared" si="15"/>
        <v>0</v>
      </c>
      <c r="Y98" s="67">
        <f t="shared" si="15"/>
        <v>0</v>
      </c>
      <c r="Z98" s="67">
        <f t="shared" si="15"/>
        <v>0</v>
      </c>
      <c r="AA98" s="67">
        <f t="shared" si="15"/>
        <v>0</v>
      </c>
      <c r="AB98" s="67">
        <f t="shared" si="15"/>
        <v>0</v>
      </c>
      <c r="AC98" s="67">
        <f t="shared" si="15"/>
        <v>0</v>
      </c>
      <c r="AD98" s="67">
        <f t="shared" si="15"/>
        <v>0</v>
      </c>
      <c r="AE98" s="67">
        <f t="shared" si="15"/>
        <v>0</v>
      </c>
      <c r="AF98" s="67">
        <f t="shared" si="15"/>
        <v>0</v>
      </c>
      <c r="AG98" s="95"/>
      <c r="AH98" s="52">
        <f t="shared" si="9"/>
        <v>0</v>
      </c>
      <c r="AI98" s="53">
        <f t="shared" si="10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1:88" s="1" customFormat="1" x14ac:dyDescent="0.25">
      <c r="A99" s="107" t="s">
        <v>103</v>
      </c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9"/>
      <c r="AH99" s="52">
        <f t="shared" si="9"/>
        <v>0</v>
      </c>
      <c r="AI99" s="53">
        <f t="shared" si="10"/>
        <v>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1:88" s="1" customFormat="1" x14ac:dyDescent="0.25">
      <c r="A100" s="110" t="s">
        <v>104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111"/>
      <c r="AH100" s="52">
        <f t="shared" si="9"/>
        <v>0</v>
      </c>
      <c r="AI100" s="53">
        <f t="shared" si="10"/>
        <v>0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1:88" s="1" customFormat="1" x14ac:dyDescent="0.25">
      <c r="A101" s="110" t="s">
        <v>105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111"/>
      <c r="AH101" s="52">
        <f t="shared" si="9"/>
        <v>0</v>
      </c>
      <c r="AI101" s="53">
        <f t="shared" si="10"/>
        <v>0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1:88" s="1" customFormat="1" x14ac:dyDescent="0.25">
      <c r="A102" s="110" t="s">
        <v>106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111"/>
      <c r="AH102" s="52">
        <f t="shared" si="9"/>
        <v>0</v>
      </c>
      <c r="AI102" s="53">
        <f t="shared" si="10"/>
        <v>0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1:88" s="1" customFormat="1" x14ac:dyDescent="0.25">
      <c r="A103" s="112" t="s">
        <v>107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111"/>
      <c r="AH103" s="52">
        <f t="shared" si="9"/>
        <v>0</v>
      </c>
      <c r="AI103" s="53">
        <f t="shared" si="10"/>
        <v>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1:88" s="1" customFormat="1" x14ac:dyDescent="0.25">
      <c r="A104" s="112" t="s">
        <v>108</v>
      </c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4"/>
      <c r="AH104" s="52">
        <f t="shared" si="9"/>
        <v>0</v>
      </c>
      <c r="AI104" s="53">
        <f t="shared" si="10"/>
        <v>0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1:88" s="1" customFormat="1" x14ac:dyDescent="0.25">
      <c r="A105" s="110" t="s">
        <v>109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111"/>
      <c r="AH105" s="52">
        <f t="shared" si="9"/>
        <v>0</v>
      </c>
      <c r="AI105" s="53">
        <f t="shared" si="10"/>
        <v>0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 ht="15.75" thickBot="1" x14ac:dyDescent="0.3">
      <c r="A106" s="110" t="s">
        <v>110</v>
      </c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115"/>
      <c r="AH106" s="52">
        <f t="shared" si="9"/>
        <v>0</v>
      </c>
      <c r="AI106" s="53">
        <f t="shared" si="10"/>
        <v>0</v>
      </c>
    </row>
    <row r="107" spans="1:88" ht="15.75" thickBot="1" x14ac:dyDescent="0.3">
      <c r="A107" s="116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 t="s">
        <v>111</v>
      </c>
      <c r="Y107" s="99"/>
      <c r="Z107" s="99"/>
      <c r="AA107" s="99"/>
      <c r="AB107" s="99"/>
      <c r="AC107" s="99"/>
      <c r="AD107" s="99"/>
      <c r="AE107" s="99"/>
      <c r="AF107" s="99"/>
      <c r="AG107" s="115"/>
      <c r="AH107" s="52">
        <f t="shared" si="9"/>
        <v>0</v>
      </c>
      <c r="AI107" s="53">
        <f t="shared" si="10"/>
        <v>0</v>
      </c>
    </row>
    <row r="108" spans="1:88" ht="15.75" thickBot="1" x14ac:dyDescent="0.3">
      <c r="A108" s="117" t="s">
        <v>112</v>
      </c>
      <c r="B108" s="118">
        <f t="shared" ref="B108:AF108" si="16">SUM(B18,B24,B27:B28,B56,B58:B59,B61,B63,B109:B113,B135,B141,B147,B156,B158,B170,B177,B180:B181,B188,B190,B192,B196:B198,B200:B202,B207,B213:B214,B216:B218,B226,B231)</f>
        <v>0</v>
      </c>
      <c r="C108" s="118">
        <f t="shared" si="16"/>
        <v>0.94</v>
      </c>
      <c r="D108" s="118">
        <f t="shared" si="16"/>
        <v>0.94</v>
      </c>
      <c r="E108" s="118">
        <f t="shared" si="16"/>
        <v>0.94</v>
      </c>
      <c r="F108" s="118">
        <f t="shared" si="16"/>
        <v>0.94</v>
      </c>
      <c r="G108" s="118">
        <f t="shared" si="16"/>
        <v>0.94</v>
      </c>
      <c r="H108" s="118">
        <f t="shared" si="16"/>
        <v>0.94</v>
      </c>
      <c r="I108" s="118">
        <f t="shared" si="16"/>
        <v>0.94</v>
      </c>
      <c r="J108" s="118">
        <f t="shared" si="16"/>
        <v>0.94</v>
      </c>
      <c r="K108" s="118">
        <f t="shared" si="16"/>
        <v>0.94</v>
      </c>
      <c r="L108" s="118">
        <f t="shared" si="16"/>
        <v>0.94</v>
      </c>
      <c r="M108" s="118">
        <f t="shared" si="16"/>
        <v>0.94</v>
      </c>
      <c r="N108" s="118">
        <f t="shared" si="16"/>
        <v>0.94</v>
      </c>
      <c r="O108" s="118">
        <f t="shared" si="16"/>
        <v>0.94</v>
      </c>
      <c r="P108" s="118">
        <v>42</v>
      </c>
      <c r="Q108" s="118">
        <f t="shared" si="16"/>
        <v>0</v>
      </c>
      <c r="R108" s="118">
        <f t="shared" si="16"/>
        <v>0</v>
      </c>
      <c r="S108" s="118">
        <f t="shared" si="16"/>
        <v>0</v>
      </c>
      <c r="T108" s="118">
        <f t="shared" si="16"/>
        <v>0</v>
      </c>
      <c r="U108" s="118">
        <f t="shared" si="16"/>
        <v>0</v>
      </c>
      <c r="V108" s="118">
        <f t="shared" si="16"/>
        <v>0</v>
      </c>
      <c r="W108" s="118">
        <f t="shared" si="16"/>
        <v>0</v>
      </c>
      <c r="X108" s="118">
        <f t="shared" si="16"/>
        <v>0</v>
      </c>
      <c r="Y108" s="118">
        <f t="shared" si="16"/>
        <v>0</v>
      </c>
      <c r="Z108" s="118">
        <f t="shared" si="16"/>
        <v>0</v>
      </c>
      <c r="AA108" s="118">
        <f t="shared" si="16"/>
        <v>0</v>
      </c>
      <c r="AB108" s="118">
        <f t="shared" si="16"/>
        <v>0</v>
      </c>
      <c r="AC108" s="118">
        <f t="shared" si="16"/>
        <v>0</v>
      </c>
      <c r="AD108" s="118">
        <f t="shared" si="16"/>
        <v>0</v>
      </c>
      <c r="AE108" s="118">
        <f t="shared" si="16"/>
        <v>0</v>
      </c>
      <c r="AF108" s="118">
        <f t="shared" si="16"/>
        <v>0</v>
      </c>
      <c r="AG108" s="119"/>
      <c r="AH108" s="52">
        <f t="shared" si="9"/>
        <v>42</v>
      </c>
      <c r="AI108" s="53">
        <f t="shared" si="10"/>
        <v>0</v>
      </c>
    </row>
    <row r="109" spans="1:88" x14ac:dyDescent="0.25">
      <c r="A109" s="107" t="s">
        <v>113</v>
      </c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1">
        <v>75</v>
      </c>
      <c r="AH109" s="52">
        <f t="shared" si="9"/>
        <v>0</v>
      </c>
      <c r="AI109" s="53">
        <f t="shared" si="10"/>
        <v>0</v>
      </c>
    </row>
    <row r="110" spans="1:88" x14ac:dyDescent="0.25">
      <c r="A110" s="110" t="s">
        <v>114</v>
      </c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1">
        <v>240</v>
      </c>
      <c r="AH110" s="52">
        <f t="shared" si="9"/>
        <v>0</v>
      </c>
      <c r="AI110" s="53">
        <f t="shared" si="10"/>
        <v>0</v>
      </c>
    </row>
    <row r="111" spans="1:88" x14ac:dyDescent="0.25">
      <c r="A111" s="110" t="s">
        <v>115</v>
      </c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1">
        <v>240</v>
      </c>
      <c r="AH111" s="52">
        <f t="shared" si="9"/>
        <v>0</v>
      </c>
      <c r="AI111" s="53">
        <f t="shared" si="10"/>
        <v>0</v>
      </c>
    </row>
    <row r="112" spans="1:88" x14ac:dyDescent="0.25">
      <c r="A112" s="110" t="s">
        <v>116</v>
      </c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1">
        <v>60</v>
      </c>
      <c r="AH112" s="52">
        <f t="shared" si="9"/>
        <v>0</v>
      </c>
      <c r="AI112" s="53">
        <f t="shared" si="10"/>
        <v>0</v>
      </c>
    </row>
    <row r="113" spans="1:37" x14ac:dyDescent="0.25">
      <c r="A113" s="123" t="s">
        <v>117</v>
      </c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5">
        <v>120</v>
      </c>
      <c r="AH113" s="52">
        <f t="shared" si="9"/>
        <v>0</v>
      </c>
      <c r="AI113" s="53">
        <f t="shared" si="10"/>
        <v>0</v>
      </c>
    </row>
    <row r="114" spans="1:37" x14ac:dyDescent="0.25">
      <c r="A114" s="123" t="s">
        <v>118</v>
      </c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5"/>
      <c r="AH114" s="52">
        <f t="shared" si="9"/>
        <v>0</v>
      </c>
      <c r="AI114" s="53">
        <f t="shared" si="10"/>
        <v>0</v>
      </c>
    </row>
    <row r="115" spans="1:37" x14ac:dyDescent="0.25">
      <c r="A115" s="123" t="s">
        <v>119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6"/>
      <c r="AH115" s="52">
        <f t="shared" si="9"/>
        <v>0</v>
      </c>
      <c r="AI115" s="53">
        <f t="shared" si="10"/>
        <v>0</v>
      </c>
    </row>
    <row r="116" spans="1:37" x14ac:dyDescent="0.25">
      <c r="A116" s="127" t="s">
        <v>120</v>
      </c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26"/>
      <c r="AH116" s="52">
        <f t="shared" si="9"/>
        <v>0</v>
      </c>
      <c r="AI116" s="53">
        <f t="shared" si="10"/>
        <v>0</v>
      </c>
    </row>
    <row r="117" spans="1:37" ht="15.75" thickBot="1" x14ac:dyDescent="0.3">
      <c r="A117" s="127" t="s">
        <v>121</v>
      </c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26"/>
      <c r="AH117" s="52">
        <f t="shared" si="9"/>
        <v>0</v>
      </c>
      <c r="AI117" s="53">
        <f t="shared" si="10"/>
        <v>0</v>
      </c>
    </row>
    <row r="118" spans="1:37" ht="15.75" thickBot="1" x14ac:dyDescent="0.3">
      <c r="A118" s="128" t="s">
        <v>122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30"/>
      <c r="AH118" s="131"/>
      <c r="AI118" s="53"/>
      <c r="AK118" s="54"/>
    </row>
    <row r="119" spans="1:37" x14ac:dyDescent="0.25">
      <c r="A119" s="132" t="s">
        <v>123</v>
      </c>
      <c r="B119" s="133"/>
      <c r="C119" s="134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5">
        <v>9.94</v>
      </c>
      <c r="AH119" s="52"/>
      <c r="AI119" s="53"/>
      <c r="AK119" s="54"/>
    </row>
    <row r="120" spans="1:37" x14ac:dyDescent="0.25">
      <c r="A120" s="110" t="s">
        <v>124</v>
      </c>
      <c r="B120" s="133"/>
      <c r="C120" s="134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5"/>
      <c r="AH120" s="52"/>
      <c r="AI120" s="53"/>
      <c r="AK120" s="54"/>
    </row>
    <row r="121" spans="1:37" x14ac:dyDescent="0.25">
      <c r="A121" s="110" t="s">
        <v>125</v>
      </c>
      <c r="B121" s="133"/>
      <c r="C121" s="134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5"/>
      <c r="AH121" s="52"/>
      <c r="AI121" s="53"/>
      <c r="AK121" s="54"/>
    </row>
    <row r="122" spans="1:37" x14ac:dyDescent="0.25">
      <c r="A122" s="110" t="s">
        <v>126</v>
      </c>
      <c r="B122" s="133"/>
      <c r="C122" s="134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5"/>
      <c r="AH122" s="52"/>
      <c r="AI122" s="53"/>
      <c r="AK122" s="54"/>
    </row>
    <row r="123" spans="1:37" x14ac:dyDescent="0.25">
      <c r="A123" s="110" t="s">
        <v>127</v>
      </c>
      <c r="B123" s="133"/>
      <c r="C123" s="134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5"/>
      <c r="AH123" s="52"/>
      <c r="AI123" s="53"/>
      <c r="AK123" s="54"/>
    </row>
    <row r="124" spans="1:37" x14ac:dyDescent="0.25">
      <c r="A124" s="110" t="s">
        <v>128</v>
      </c>
      <c r="B124" s="133"/>
      <c r="C124" s="134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5"/>
      <c r="AH124" s="52"/>
      <c r="AI124" s="53"/>
      <c r="AK124" s="54"/>
    </row>
    <row r="125" spans="1:37" x14ac:dyDescent="0.25">
      <c r="A125" s="110" t="s">
        <v>129</v>
      </c>
      <c r="B125" s="133"/>
      <c r="C125" s="134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5"/>
      <c r="AH125" s="52"/>
      <c r="AI125" s="53"/>
      <c r="AK125" s="54"/>
    </row>
    <row r="126" spans="1:37" x14ac:dyDescent="0.25">
      <c r="A126" s="110" t="s">
        <v>130</v>
      </c>
      <c r="B126" s="133"/>
      <c r="C126" s="134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5"/>
      <c r="AH126" s="52"/>
      <c r="AI126" s="53"/>
      <c r="AK126" s="54"/>
    </row>
    <row r="127" spans="1:37" x14ac:dyDescent="0.25">
      <c r="A127" s="110" t="s">
        <v>131</v>
      </c>
      <c r="B127" s="133"/>
      <c r="C127" s="134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5"/>
      <c r="AH127" s="52"/>
      <c r="AI127" s="53"/>
      <c r="AK127" s="54"/>
    </row>
    <row r="128" spans="1:37" x14ac:dyDescent="0.25">
      <c r="A128" s="110" t="s">
        <v>132</v>
      </c>
      <c r="B128" s="133"/>
      <c r="C128" s="134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5"/>
      <c r="AH128" s="52"/>
      <c r="AI128" s="53"/>
      <c r="AK128" s="54"/>
    </row>
    <row r="129" spans="1:37" x14ac:dyDescent="0.25">
      <c r="A129" s="110" t="s">
        <v>133</v>
      </c>
      <c r="B129" s="133"/>
      <c r="C129" s="134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5"/>
      <c r="AH129" s="52"/>
      <c r="AI129" s="53"/>
      <c r="AK129" s="54"/>
    </row>
    <row r="130" spans="1:37" x14ac:dyDescent="0.25">
      <c r="A130" s="110" t="s">
        <v>134</v>
      </c>
      <c r="B130" s="133"/>
      <c r="C130" s="134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5"/>
      <c r="AH130" s="52"/>
      <c r="AI130" s="53"/>
      <c r="AK130" s="54"/>
    </row>
    <row r="131" spans="1:37" x14ac:dyDescent="0.25">
      <c r="A131" s="110" t="s">
        <v>135</v>
      </c>
      <c r="B131" s="133"/>
      <c r="C131" s="134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5"/>
      <c r="AH131" s="52"/>
      <c r="AI131" s="53"/>
      <c r="AK131" s="54"/>
    </row>
    <row r="132" spans="1:37" x14ac:dyDescent="0.25">
      <c r="A132" s="110" t="s">
        <v>136</v>
      </c>
      <c r="B132" s="133"/>
      <c r="C132" s="134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5"/>
      <c r="AH132" s="52"/>
      <c r="AI132" s="53"/>
      <c r="AK132" s="54"/>
    </row>
    <row r="133" spans="1:37" x14ac:dyDescent="0.25">
      <c r="A133" s="110" t="s">
        <v>137</v>
      </c>
      <c r="B133" s="133"/>
      <c r="C133" s="134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5"/>
      <c r="AH133" s="52"/>
      <c r="AI133" s="53"/>
      <c r="AK133" s="54"/>
    </row>
    <row r="134" spans="1:37" x14ac:dyDescent="0.25">
      <c r="A134" s="110" t="s">
        <v>138</v>
      </c>
      <c r="B134" s="133"/>
      <c r="C134" s="134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5"/>
      <c r="AH134" s="52"/>
      <c r="AI134" s="53"/>
      <c r="AK134" s="54"/>
    </row>
    <row r="135" spans="1:37" x14ac:dyDescent="0.25">
      <c r="A135" s="110" t="s">
        <v>139</v>
      </c>
      <c r="B135" s="136"/>
      <c r="C135" s="137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8">
        <v>9.9</v>
      </c>
      <c r="AH135" s="52"/>
      <c r="AI135" s="53"/>
      <c r="AK135" s="54"/>
    </row>
    <row r="136" spans="1:37" x14ac:dyDescent="0.25">
      <c r="A136" s="123" t="s">
        <v>140</v>
      </c>
      <c r="B136" s="136"/>
      <c r="C136" s="137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9">
        <v>9.6579999999999995</v>
      </c>
      <c r="AH136" s="52"/>
      <c r="AI136" s="53"/>
      <c r="AK136" s="54"/>
    </row>
    <row r="137" spans="1:37" x14ac:dyDescent="0.25">
      <c r="A137" s="123" t="s">
        <v>141</v>
      </c>
      <c r="B137" s="136"/>
      <c r="C137" s="137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9">
        <v>9.6</v>
      </c>
      <c r="AH137" s="52"/>
      <c r="AI137" s="53"/>
      <c r="AK137" s="54"/>
    </row>
    <row r="138" spans="1:37" x14ac:dyDescent="0.25">
      <c r="A138" s="123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9.51</v>
      </c>
      <c r="AH138" s="52"/>
      <c r="AI138" s="53"/>
      <c r="AK138" s="54"/>
    </row>
    <row r="139" spans="1:37" x14ac:dyDescent="0.25">
      <c r="A139" s="123" t="s">
        <v>143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9.4</v>
      </c>
      <c r="AH139" s="52"/>
      <c r="AI139" s="53"/>
      <c r="AK139" s="54"/>
    </row>
    <row r="140" spans="1:37" x14ac:dyDescent="0.25">
      <c r="A140" s="123" t="s">
        <v>144</v>
      </c>
      <c r="B140" s="136"/>
      <c r="C140" s="137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9">
        <v>8.8000000000000007</v>
      </c>
      <c r="AH140" s="52"/>
      <c r="AI140" s="53"/>
      <c r="AK140" s="54"/>
    </row>
    <row r="141" spans="1:37" x14ac:dyDescent="0.25">
      <c r="A141" s="123" t="s">
        <v>145</v>
      </c>
      <c r="B141" s="136"/>
      <c r="C141" s="137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9">
        <v>8.5</v>
      </c>
      <c r="AH141" s="52"/>
      <c r="AI141" s="53"/>
      <c r="AK141" s="54"/>
    </row>
    <row r="142" spans="1:37" x14ac:dyDescent="0.25">
      <c r="A142" s="123" t="s">
        <v>146</v>
      </c>
      <c r="B142" s="136"/>
      <c r="C142" s="137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9">
        <v>8.5</v>
      </c>
      <c r="AH142" s="52"/>
      <c r="AI142" s="53"/>
      <c r="AK142" s="54"/>
    </row>
    <row r="143" spans="1:37" x14ac:dyDescent="0.25">
      <c r="A143" s="123" t="s">
        <v>147</v>
      </c>
      <c r="B143" s="136"/>
      <c r="C143" s="137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9">
        <v>8.4</v>
      </c>
      <c r="AH143" s="52"/>
      <c r="AI143" s="53"/>
      <c r="AK143" s="54"/>
    </row>
    <row r="144" spans="1:37" ht="13.5" customHeight="1" x14ac:dyDescent="0.25">
      <c r="A144" s="123" t="s">
        <v>148</v>
      </c>
      <c r="B144" s="136"/>
      <c r="C144" s="137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9">
        <v>8</v>
      </c>
      <c r="AH144" s="52"/>
      <c r="AI144" s="53"/>
      <c r="AK144" s="54"/>
    </row>
    <row r="145" spans="1:37" x14ac:dyDescent="0.25">
      <c r="A145" s="123" t="s">
        <v>149</v>
      </c>
      <c r="B145" s="136"/>
      <c r="C145" s="137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9">
        <v>8</v>
      </c>
      <c r="AH145" s="52"/>
      <c r="AI145" s="53"/>
      <c r="AK145" s="54"/>
    </row>
    <row r="146" spans="1:37" x14ac:dyDescent="0.25">
      <c r="A146" s="123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8</v>
      </c>
      <c r="AH146" s="52"/>
      <c r="AI146" s="53"/>
      <c r="AK146" s="54"/>
    </row>
    <row r="147" spans="1:37" x14ac:dyDescent="0.25">
      <c r="A147" s="123" t="s">
        <v>151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7.8</v>
      </c>
      <c r="AH147" s="52"/>
      <c r="AI147" s="53"/>
      <c r="AK147" s="54"/>
    </row>
    <row r="148" spans="1:37" x14ac:dyDescent="0.25">
      <c r="A148" s="123" t="s">
        <v>152</v>
      </c>
      <c r="B148" s="136"/>
      <c r="C148" s="137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9">
        <v>7.6</v>
      </c>
      <c r="AH148" s="52"/>
      <c r="AI148" s="53"/>
      <c r="AK148" s="54"/>
    </row>
    <row r="149" spans="1:37" x14ac:dyDescent="0.25">
      <c r="A149" s="123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7.5</v>
      </c>
      <c r="AH149" s="52"/>
      <c r="AI149" s="53"/>
      <c r="AK149" s="54"/>
    </row>
    <row r="150" spans="1:37" x14ac:dyDescent="0.25">
      <c r="A150" s="123" t="s">
        <v>154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7.5</v>
      </c>
      <c r="AH150" s="52"/>
      <c r="AI150" s="53"/>
      <c r="AK150" s="54"/>
    </row>
    <row r="151" spans="1:37" x14ac:dyDescent="0.25">
      <c r="A151" s="123" t="s">
        <v>155</v>
      </c>
      <c r="B151" s="136"/>
      <c r="C151" s="137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9">
        <v>7</v>
      </c>
      <c r="AH151" s="52"/>
      <c r="AI151" s="53"/>
      <c r="AK151" s="54"/>
    </row>
    <row r="152" spans="1:37" x14ac:dyDescent="0.25">
      <c r="A152" s="123" t="s">
        <v>156</v>
      </c>
      <c r="B152" s="136"/>
      <c r="C152" s="137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9">
        <v>7</v>
      </c>
      <c r="AH152" s="52"/>
      <c r="AI152" s="53"/>
      <c r="AK152" s="54"/>
    </row>
    <row r="153" spans="1:37" x14ac:dyDescent="0.25">
      <c r="A153" s="123" t="s">
        <v>157</v>
      </c>
      <c r="B153" s="136"/>
      <c r="C153" s="137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9">
        <v>7</v>
      </c>
      <c r="AH153" s="52"/>
      <c r="AI153" s="53"/>
      <c r="AK153" s="54"/>
    </row>
    <row r="154" spans="1:37" x14ac:dyDescent="0.25">
      <c r="A154" s="123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7</v>
      </c>
      <c r="AH154" s="52"/>
      <c r="AI154" s="53"/>
      <c r="AK154" s="54"/>
    </row>
    <row r="155" spans="1:37" x14ac:dyDescent="0.25">
      <c r="A155" s="123" t="s">
        <v>159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6.6</v>
      </c>
      <c r="AH155" s="52"/>
      <c r="AI155" s="53"/>
      <c r="AK155" s="54"/>
    </row>
    <row r="156" spans="1:37" x14ac:dyDescent="0.25">
      <c r="A156" s="123" t="s">
        <v>160</v>
      </c>
      <c r="B156" s="136"/>
      <c r="C156" s="137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9">
        <v>6.6</v>
      </c>
      <c r="AH156" s="52"/>
      <c r="AI156" s="53"/>
      <c r="AK156" s="54"/>
    </row>
    <row r="157" spans="1:37" x14ac:dyDescent="0.25">
      <c r="A157" s="123" t="s">
        <v>161</v>
      </c>
      <c r="B157" s="136"/>
      <c r="C157" s="137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9">
        <v>6.4</v>
      </c>
      <c r="AH157" s="52"/>
      <c r="AI157" s="53"/>
      <c r="AK157" s="54"/>
    </row>
    <row r="158" spans="1:37" x14ac:dyDescent="0.25">
      <c r="A158" s="123" t="s">
        <v>162</v>
      </c>
      <c r="B158" s="136"/>
      <c r="C158" s="137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9">
        <v>6</v>
      </c>
      <c r="AH158" s="52"/>
      <c r="AI158" s="53"/>
      <c r="AK158" s="54"/>
    </row>
    <row r="159" spans="1:37" x14ac:dyDescent="0.25">
      <c r="A159" s="123" t="s">
        <v>163</v>
      </c>
      <c r="B159" s="136"/>
      <c r="C159" s="137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9">
        <v>5.0999999999999996</v>
      </c>
      <c r="AH159" s="52"/>
      <c r="AI159" s="53"/>
      <c r="AK159" s="54"/>
    </row>
    <row r="160" spans="1:37" x14ac:dyDescent="0.25">
      <c r="A160" s="123" t="s">
        <v>164</v>
      </c>
      <c r="B160" s="136"/>
      <c r="C160" s="137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9">
        <v>5</v>
      </c>
      <c r="AH160" s="52"/>
      <c r="AI160" s="53"/>
      <c r="AK160" s="54"/>
    </row>
    <row r="161" spans="1:37" x14ac:dyDescent="0.25">
      <c r="A161" s="110" t="s">
        <v>165</v>
      </c>
      <c r="B161" s="136"/>
      <c r="C161" s="137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8">
        <v>5</v>
      </c>
      <c r="AH161" s="52"/>
      <c r="AI161" s="53"/>
      <c r="AK161" s="54"/>
    </row>
    <row r="162" spans="1:37" x14ac:dyDescent="0.25">
      <c r="A162" s="123" t="s">
        <v>166</v>
      </c>
      <c r="B162" s="136"/>
      <c r="C162" s="137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9">
        <v>5</v>
      </c>
      <c r="AH162" s="52"/>
      <c r="AI162" s="53"/>
      <c r="AK162" s="54"/>
    </row>
    <row r="163" spans="1:37" x14ac:dyDescent="0.25">
      <c r="A163" s="123" t="s">
        <v>167</v>
      </c>
      <c r="B163" s="136"/>
      <c r="C163" s="137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9">
        <v>5</v>
      </c>
      <c r="AH163" s="52"/>
      <c r="AI163" s="53"/>
      <c r="AK163" s="54"/>
    </row>
    <row r="164" spans="1:37" x14ac:dyDescent="0.25">
      <c r="A164" s="123" t="s">
        <v>168</v>
      </c>
      <c r="B164" s="136"/>
      <c r="C164" s="137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9">
        <v>5</v>
      </c>
      <c r="AH164" s="52"/>
      <c r="AI164" s="53"/>
      <c r="AK164" s="54"/>
    </row>
    <row r="165" spans="1:37" x14ac:dyDescent="0.25">
      <c r="A165" s="123" t="s">
        <v>169</v>
      </c>
      <c r="B165" s="136"/>
      <c r="C165" s="137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9">
        <v>5</v>
      </c>
      <c r="AH165" s="52"/>
      <c r="AI165" s="53"/>
      <c r="AK165" s="54"/>
    </row>
    <row r="166" spans="1:37" x14ac:dyDescent="0.25">
      <c r="A166" s="123" t="s">
        <v>170</v>
      </c>
      <c r="B166" s="136"/>
      <c r="C166" s="137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9">
        <v>5</v>
      </c>
      <c r="AH166" s="52"/>
      <c r="AI166" s="53"/>
      <c r="AK166" s="54"/>
    </row>
    <row r="167" spans="1:37" x14ac:dyDescent="0.25">
      <c r="A167" s="123" t="s">
        <v>171</v>
      </c>
      <c r="B167" s="136"/>
      <c r="C167" s="137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9">
        <v>4.9930000000000003</v>
      </c>
      <c r="AH167" s="52"/>
      <c r="AI167" s="53"/>
      <c r="AK167" s="54"/>
    </row>
    <row r="168" spans="1:37" x14ac:dyDescent="0.25">
      <c r="A168" s="123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4.9800000000000004</v>
      </c>
      <c r="AH168" s="52"/>
      <c r="AI168" s="53"/>
      <c r="AK168" s="54"/>
    </row>
    <row r="169" spans="1:37" x14ac:dyDescent="0.25">
      <c r="A169" s="123" t="s">
        <v>173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4.95</v>
      </c>
      <c r="AH169" s="52"/>
      <c r="AI169" s="53"/>
      <c r="AK169" s="54"/>
    </row>
    <row r="170" spans="1:37" x14ac:dyDescent="0.25">
      <c r="A170" s="123" t="s">
        <v>174</v>
      </c>
      <c r="B170" s="136"/>
      <c r="C170" s="137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9">
        <v>4.95</v>
      </c>
      <c r="AH170" s="52"/>
      <c r="AI170" s="53"/>
      <c r="AK170" s="54"/>
    </row>
    <row r="171" spans="1:37" x14ac:dyDescent="0.25">
      <c r="A171" s="123" t="s">
        <v>175</v>
      </c>
      <c r="B171" s="136"/>
      <c r="C171" s="137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9">
        <v>4.8</v>
      </c>
      <c r="AH171" s="52"/>
      <c r="AI171" s="53"/>
      <c r="AK171" s="54"/>
    </row>
    <row r="172" spans="1:37" x14ac:dyDescent="0.25">
      <c r="A172" s="123" t="s">
        <v>176</v>
      </c>
      <c r="B172" s="136"/>
      <c r="C172" s="137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9">
        <v>4.8</v>
      </c>
      <c r="AH172" s="52"/>
      <c r="AI172" s="53"/>
      <c r="AK172" s="54"/>
    </row>
    <row r="173" spans="1:37" x14ac:dyDescent="0.25">
      <c r="A173" s="123" t="s">
        <v>177</v>
      </c>
      <c r="B173" s="136"/>
      <c r="C173" s="137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9">
        <v>4.8</v>
      </c>
      <c r="AH173" s="52"/>
      <c r="AI173" s="53"/>
      <c r="AK173" s="54"/>
    </row>
    <row r="174" spans="1:37" x14ac:dyDescent="0.25">
      <c r="A174" s="123" t="s">
        <v>178</v>
      </c>
      <c r="B174" s="136"/>
      <c r="C174" s="137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9">
        <v>4.5</v>
      </c>
      <c r="AH174" s="52"/>
      <c r="AI174" s="53"/>
      <c r="AK174" s="54"/>
    </row>
    <row r="175" spans="1:37" x14ac:dyDescent="0.25">
      <c r="A175" s="123" t="s">
        <v>179</v>
      </c>
      <c r="B175" s="136"/>
      <c r="C175" s="137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9">
        <v>4.5</v>
      </c>
      <c r="AH175" s="52"/>
      <c r="AI175" s="53"/>
      <c r="AK175" s="54"/>
    </row>
    <row r="176" spans="1:37" x14ac:dyDescent="0.25">
      <c r="A176" s="123" t="s">
        <v>180</v>
      </c>
      <c r="B176" s="136"/>
      <c r="C176" s="137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9">
        <v>4.4550000000000001</v>
      </c>
      <c r="AH176" s="52"/>
      <c r="AI176" s="53"/>
      <c r="AK176" s="54"/>
    </row>
    <row r="177" spans="1:37" x14ac:dyDescent="0.25">
      <c r="A177" s="123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4.41</v>
      </c>
      <c r="AH177" s="52"/>
      <c r="AI177" s="53"/>
      <c r="AK177" s="54"/>
    </row>
    <row r="178" spans="1:37" x14ac:dyDescent="0.25">
      <c r="A178" s="123" t="s">
        <v>182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4.4000000000000004</v>
      </c>
      <c r="AH178" s="52"/>
      <c r="AI178" s="53"/>
      <c r="AK178" s="54"/>
    </row>
    <row r="179" spans="1:37" x14ac:dyDescent="0.25">
      <c r="A179" s="123" t="s">
        <v>183</v>
      </c>
      <c r="B179" s="136"/>
      <c r="C179" s="137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9">
        <v>4.3600000000000003</v>
      </c>
      <c r="AH179" s="52"/>
      <c r="AI179" s="53"/>
      <c r="AK179" s="54"/>
    </row>
    <row r="180" spans="1:37" x14ac:dyDescent="0.25">
      <c r="A180" s="123" t="s">
        <v>184</v>
      </c>
      <c r="B180" s="136"/>
      <c r="C180" s="137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9">
        <v>4.2</v>
      </c>
      <c r="AH180" s="52"/>
      <c r="AI180" s="53"/>
      <c r="AK180" s="54"/>
    </row>
    <row r="181" spans="1:37" x14ac:dyDescent="0.25">
      <c r="A181" s="123" t="s">
        <v>185</v>
      </c>
      <c r="B181" s="136"/>
      <c r="C181" s="137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9">
        <v>4</v>
      </c>
      <c r="AH181" s="52"/>
      <c r="AI181" s="53"/>
      <c r="AK181" s="54"/>
    </row>
    <row r="182" spans="1:37" x14ac:dyDescent="0.25">
      <c r="A182" s="123" t="s">
        <v>186</v>
      </c>
      <c r="B182" s="136"/>
      <c r="C182" s="137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9">
        <v>4</v>
      </c>
      <c r="AH182" s="52"/>
      <c r="AI182" s="53"/>
      <c r="AK182" s="54"/>
    </row>
    <row r="183" spans="1:37" x14ac:dyDescent="0.25">
      <c r="A183" s="123" t="s">
        <v>187</v>
      </c>
      <c r="B183" s="136"/>
      <c r="C183" s="137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9">
        <v>4</v>
      </c>
      <c r="AH183" s="52"/>
      <c r="AI183" s="53"/>
      <c r="AK183" s="54"/>
    </row>
    <row r="184" spans="1:37" x14ac:dyDescent="0.25">
      <c r="A184" s="123" t="s">
        <v>188</v>
      </c>
      <c r="B184" s="136"/>
      <c r="C184" s="137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9">
        <v>4</v>
      </c>
      <c r="AH184" s="52"/>
      <c r="AI184" s="53"/>
      <c r="AK184" s="54"/>
    </row>
    <row r="185" spans="1:37" x14ac:dyDescent="0.25">
      <c r="A185" s="123" t="s">
        <v>189</v>
      </c>
      <c r="B185" s="136"/>
      <c r="C185" s="137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9">
        <v>4</v>
      </c>
      <c r="AH185" s="52"/>
      <c r="AI185" s="53"/>
      <c r="AK185" s="54"/>
    </row>
    <row r="186" spans="1:37" x14ac:dyDescent="0.25">
      <c r="A186" s="123" t="s">
        <v>190</v>
      </c>
      <c r="B186" s="136"/>
      <c r="C186" s="137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9">
        <v>4</v>
      </c>
      <c r="AH186" s="52"/>
      <c r="AI186" s="53"/>
      <c r="AK186" s="54"/>
    </row>
    <row r="187" spans="1:37" x14ac:dyDescent="0.25">
      <c r="A187" s="123" t="s">
        <v>191</v>
      </c>
      <c r="B187" s="136"/>
      <c r="C187" s="137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9">
        <v>4</v>
      </c>
      <c r="AH187" s="52"/>
      <c r="AI187" s="53"/>
      <c r="AK187" s="54"/>
    </row>
    <row r="188" spans="1:37" x14ac:dyDescent="0.25">
      <c r="A188" s="123" t="s">
        <v>192</v>
      </c>
      <c r="B188" s="136"/>
      <c r="C188" s="137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9">
        <v>4</v>
      </c>
      <c r="AH188" s="52"/>
      <c r="AI188" s="53"/>
      <c r="AK188" s="54"/>
    </row>
    <row r="189" spans="1:37" x14ac:dyDescent="0.25">
      <c r="A189" s="123" t="s">
        <v>193</v>
      </c>
      <c r="B189" s="136"/>
      <c r="C189" s="137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9">
        <v>3.75</v>
      </c>
      <c r="AH189" s="52"/>
      <c r="AI189" s="53"/>
      <c r="AK189" s="54"/>
    </row>
    <row r="190" spans="1:37" x14ac:dyDescent="0.25">
      <c r="A190" s="123" t="s">
        <v>194</v>
      </c>
      <c r="B190" s="136"/>
      <c r="C190" s="137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9">
        <v>3.52</v>
      </c>
      <c r="AH190" s="52"/>
      <c r="AI190" s="53"/>
      <c r="AK190" s="54"/>
    </row>
    <row r="191" spans="1:37" x14ac:dyDescent="0.25">
      <c r="A191" s="123" t="s">
        <v>195</v>
      </c>
      <c r="B191" s="136"/>
      <c r="C191" s="137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9">
        <v>3.33</v>
      </c>
      <c r="AH191" s="52"/>
      <c r="AI191" s="53"/>
      <c r="AK191" s="54"/>
    </row>
    <row r="192" spans="1:37" x14ac:dyDescent="0.25">
      <c r="A192" s="123" t="s">
        <v>196</v>
      </c>
      <c r="B192" s="136"/>
      <c r="C192" s="137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9">
        <v>3.2</v>
      </c>
      <c r="AH192" s="52"/>
      <c r="AI192" s="53"/>
      <c r="AK192" s="54"/>
    </row>
    <row r="193" spans="1:37" x14ac:dyDescent="0.25">
      <c r="A193" s="123" t="s">
        <v>197</v>
      </c>
      <c r="B193" s="136"/>
      <c r="C193" s="137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9">
        <v>3</v>
      </c>
      <c r="AH193" s="52"/>
      <c r="AI193" s="53"/>
      <c r="AK193" s="54"/>
    </row>
    <row r="194" spans="1:37" x14ac:dyDescent="0.25">
      <c r="A194" s="123" t="s">
        <v>198</v>
      </c>
      <c r="B194" s="136"/>
      <c r="C194" s="137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9">
        <v>3</v>
      </c>
      <c r="AH194" s="52"/>
      <c r="AI194" s="53"/>
      <c r="AK194" s="54"/>
    </row>
    <row r="195" spans="1:37" x14ac:dyDescent="0.25">
      <c r="A195" s="123" t="s">
        <v>199</v>
      </c>
      <c r="B195" s="136"/>
      <c r="C195" s="137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9">
        <v>3</v>
      </c>
      <c r="AH195" s="52"/>
      <c r="AI195" s="53"/>
      <c r="AK195" s="54"/>
    </row>
    <row r="196" spans="1:37" x14ac:dyDescent="0.25">
      <c r="A196" s="123" t="s">
        <v>200</v>
      </c>
      <c r="B196" s="136"/>
      <c r="C196" s="137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9">
        <v>3</v>
      </c>
      <c r="AH196" s="52"/>
      <c r="AI196" s="53"/>
      <c r="AK196" s="54"/>
    </row>
    <row r="197" spans="1:37" x14ac:dyDescent="0.25">
      <c r="A197" s="123" t="s">
        <v>201</v>
      </c>
      <c r="B197" s="136"/>
      <c r="C197" s="137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9">
        <v>3</v>
      </c>
      <c r="AH197" s="52"/>
      <c r="AI197" s="53"/>
      <c r="AK197" s="54"/>
    </row>
    <row r="198" spans="1:37" x14ac:dyDescent="0.25">
      <c r="A198" s="123" t="s">
        <v>202</v>
      </c>
      <c r="B198" s="136"/>
      <c r="C198" s="137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9">
        <v>3</v>
      </c>
      <c r="AH198" s="52"/>
      <c r="AI198" s="53"/>
      <c r="AK198" s="54"/>
    </row>
    <row r="199" spans="1:37" x14ac:dyDescent="0.25">
      <c r="A199" s="123" t="s">
        <v>203</v>
      </c>
      <c r="B199" s="136"/>
      <c r="C199" s="137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9">
        <v>3</v>
      </c>
      <c r="AH199" s="52"/>
      <c r="AI199" s="53"/>
      <c r="AK199" s="54"/>
    </row>
    <row r="200" spans="1:37" x14ac:dyDescent="0.25">
      <c r="A200" s="123" t="s">
        <v>204</v>
      </c>
      <c r="B200" s="136"/>
      <c r="C200" s="137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9">
        <v>3</v>
      </c>
      <c r="AH200" s="52"/>
      <c r="AI200" s="53"/>
      <c r="AK200" s="54"/>
    </row>
    <row r="201" spans="1:37" x14ac:dyDescent="0.25">
      <c r="A201" s="123" t="s">
        <v>205</v>
      </c>
      <c r="B201" s="136"/>
      <c r="C201" s="137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9">
        <v>2.83</v>
      </c>
      <c r="AH201" s="52"/>
      <c r="AI201" s="53"/>
      <c r="AK201" s="54"/>
    </row>
    <row r="202" spans="1:37" x14ac:dyDescent="0.25">
      <c r="A202" s="123" t="s">
        <v>206</v>
      </c>
      <c r="B202" s="136"/>
      <c r="C202" s="137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9">
        <v>2.5</v>
      </c>
      <c r="AH202" s="52"/>
      <c r="AI202" s="53"/>
      <c r="AK202" s="54"/>
    </row>
    <row r="203" spans="1:37" x14ac:dyDescent="0.25">
      <c r="A203" s="123" t="s">
        <v>207</v>
      </c>
      <c r="B203" s="136"/>
      <c r="C203" s="137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9">
        <v>2.5</v>
      </c>
      <c r="AH203" s="52"/>
      <c r="AI203" s="53"/>
      <c r="AK203" s="54"/>
    </row>
    <row r="204" spans="1:37" x14ac:dyDescent="0.25">
      <c r="A204" s="123" t="s">
        <v>208</v>
      </c>
      <c r="B204" s="136"/>
      <c r="C204" s="137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9">
        <v>2.4</v>
      </c>
      <c r="AH204" s="52"/>
      <c r="AI204" s="53"/>
      <c r="AK204" s="54"/>
    </row>
    <row r="205" spans="1:37" x14ac:dyDescent="0.25">
      <c r="A205" s="123" t="s">
        <v>209</v>
      </c>
      <c r="B205" s="136"/>
      <c r="C205" s="137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9">
        <v>2.4</v>
      </c>
      <c r="AH205" s="52"/>
      <c r="AI205" s="53"/>
      <c r="AK205" s="54"/>
    </row>
    <row r="206" spans="1:37" x14ac:dyDescent="0.25">
      <c r="A206" s="123" t="s">
        <v>210</v>
      </c>
      <c r="B206" s="136"/>
      <c r="C206" s="137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9">
        <v>2.2000000000000002</v>
      </c>
      <c r="AH206" s="52"/>
      <c r="AI206" s="53"/>
      <c r="AK206" s="54"/>
    </row>
    <row r="207" spans="1:37" x14ac:dyDescent="0.25">
      <c r="A207" s="123" t="s">
        <v>211</v>
      </c>
      <c r="B207" s="136"/>
      <c r="C207" s="137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9">
        <v>2</v>
      </c>
      <c r="AH207" s="52"/>
      <c r="AI207" s="53"/>
      <c r="AK207" s="54"/>
    </row>
    <row r="208" spans="1:37" x14ac:dyDescent="0.25">
      <c r="A208" s="123" t="s">
        <v>212</v>
      </c>
      <c r="B208" s="136"/>
      <c r="C208" s="137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9">
        <v>2</v>
      </c>
      <c r="AH208" s="52"/>
      <c r="AI208" s="53"/>
      <c r="AK208" s="54"/>
    </row>
    <row r="209" spans="1:37" x14ac:dyDescent="0.25">
      <c r="A209" s="123" t="s">
        <v>213</v>
      </c>
      <c r="B209" s="136"/>
      <c r="C209" s="137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9">
        <v>2</v>
      </c>
      <c r="AH209" s="52"/>
      <c r="AI209" s="53"/>
      <c r="AK209" s="54"/>
    </row>
    <row r="210" spans="1:37" x14ac:dyDescent="0.25">
      <c r="A210" s="123" t="s">
        <v>214</v>
      </c>
      <c r="B210" s="136"/>
      <c r="C210" s="137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9">
        <v>1.8</v>
      </c>
      <c r="AH210" s="52"/>
      <c r="AI210" s="53"/>
      <c r="AK210" s="54"/>
    </row>
    <row r="211" spans="1:37" x14ac:dyDescent="0.25">
      <c r="A211" s="123" t="s">
        <v>215</v>
      </c>
      <c r="B211" s="136"/>
      <c r="C211" s="137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9">
        <v>1.8</v>
      </c>
      <c r="AH211" s="52"/>
      <c r="AI211" s="53"/>
      <c r="AK211" s="54"/>
    </row>
    <row r="212" spans="1:37" x14ac:dyDescent="0.25">
      <c r="A212" s="123" t="s">
        <v>216</v>
      </c>
      <c r="B212" s="136"/>
      <c r="C212" s="137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9">
        <v>1.65</v>
      </c>
      <c r="AH212" s="52"/>
      <c r="AI212" s="53"/>
      <c r="AK212" s="54"/>
    </row>
    <row r="213" spans="1:37" x14ac:dyDescent="0.25">
      <c r="A213" s="123" t="s">
        <v>217</v>
      </c>
      <c r="B213" s="136"/>
      <c r="C213" s="137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9">
        <v>1.5</v>
      </c>
      <c r="AH213" s="52"/>
      <c r="AI213" s="53"/>
      <c r="AK213" s="54"/>
    </row>
    <row r="214" spans="1:37" x14ac:dyDescent="0.25">
      <c r="A214" s="123" t="s">
        <v>218</v>
      </c>
      <c r="B214" s="136"/>
      <c r="C214" s="137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9">
        <v>0.998</v>
      </c>
      <c r="AH214" s="52"/>
      <c r="AI214" s="53"/>
      <c r="AK214" s="54"/>
    </row>
    <row r="215" spans="1:37" x14ac:dyDescent="0.25">
      <c r="A215" s="123" t="s">
        <v>219</v>
      </c>
      <c r="B215" s="136"/>
      <c r="C215" s="137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9">
        <v>0.997</v>
      </c>
      <c r="AH215" s="52"/>
      <c r="AI215" s="53"/>
      <c r="AK215" s="54"/>
    </row>
    <row r="216" spans="1:37" x14ac:dyDescent="0.25">
      <c r="A216" s="123" t="s">
        <v>220</v>
      </c>
      <c r="B216" s="136"/>
      <c r="C216" s="137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9">
        <v>0.997</v>
      </c>
      <c r="AH216" s="52"/>
      <c r="AI216" s="53"/>
      <c r="AK216" s="54"/>
    </row>
    <row r="217" spans="1:37" x14ac:dyDescent="0.25">
      <c r="A217" s="123" t="s">
        <v>221</v>
      </c>
      <c r="B217" s="136"/>
      <c r="C217" s="137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9">
        <v>0.996</v>
      </c>
      <c r="AH217" s="52"/>
      <c r="AI217" s="53"/>
      <c r="AK217" s="54"/>
    </row>
    <row r="218" spans="1:37" x14ac:dyDescent="0.25">
      <c r="A218" s="123" t="s">
        <v>222</v>
      </c>
      <c r="B218" s="136"/>
      <c r="C218" s="137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9">
        <v>0.996</v>
      </c>
      <c r="AH218" s="52"/>
      <c r="AI218" s="53"/>
      <c r="AK218" s="54"/>
    </row>
    <row r="219" spans="1:37" x14ac:dyDescent="0.25">
      <c r="A219" s="123" t="s">
        <v>223</v>
      </c>
      <c r="B219" s="136"/>
      <c r="C219" s="137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9">
        <v>0.996</v>
      </c>
      <c r="AH219" s="52"/>
      <c r="AI219" s="53"/>
      <c r="AK219" s="54"/>
    </row>
    <row r="220" spans="1:37" x14ac:dyDescent="0.25">
      <c r="A220" s="123" t="s">
        <v>224</v>
      </c>
      <c r="B220" s="136"/>
      <c r="C220" s="137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9">
        <v>0.995</v>
      </c>
      <c r="AH220" s="52"/>
      <c r="AI220" s="53"/>
      <c r="AK220" s="54"/>
    </row>
    <row r="221" spans="1:37" x14ac:dyDescent="0.25">
      <c r="A221" s="123" t="s">
        <v>225</v>
      </c>
      <c r="B221" s="136"/>
      <c r="C221" s="137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9">
        <v>0.99299999999999999</v>
      </c>
      <c r="AH221" s="52"/>
      <c r="AI221" s="53"/>
      <c r="AK221" s="54"/>
    </row>
    <row r="222" spans="1:37" x14ac:dyDescent="0.25">
      <c r="A222" s="123" t="s">
        <v>226</v>
      </c>
      <c r="B222" s="136"/>
      <c r="C222" s="134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9">
        <v>0.99</v>
      </c>
      <c r="AH222" s="52"/>
      <c r="AI222" s="53"/>
      <c r="AK222" s="54"/>
    </row>
    <row r="223" spans="1:37" ht="15.75" thickBot="1" x14ac:dyDescent="0.3">
      <c r="A223" s="123" t="s">
        <v>227</v>
      </c>
      <c r="B223" s="140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9">
        <v>0.97899999999999998</v>
      </c>
      <c r="AH223" s="52"/>
      <c r="AI223" s="53"/>
      <c r="AK223" s="54"/>
    </row>
    <row r="224" spans="1:37" ht="15.75" thickBot="1" x14ac:dyDescent="0.3">
      <c r="A224" s="142" t="s">
        <v>228</v>
      </c>
      <c r="B224" s="143">
        <f t="shared" ref="B224:AG224" si="17">SUM(B119:B223)</f>
        <v>0</v>
      </c>
      <c r="C224" s="144">
        <f t="shared" si="17"/>
        <v>0</v>
      </c>
      <c r="D224" s="144">
        <f t="shared" si="17"/>
        <v>0</v>
      </c>
      <c r="E224" s="144">
        <f t="shared" si="17"/>
        <v>0</v>
      </c>
      <c r="F224" s="144">
        <f t="shared" si="17"/>
        <v>0</v>
      </c>
      <c r="G224" s="144">
        <f t="shared" si="17"/>
        <v>0</v>
      </c>
      <c r="H224" s="144">
        <f t="shared" si="17"/>
        <v>0</v>
      </c>
      <c r="I224" s="144">
        <f t="shared" si="17"/>
        <v>0</v>
      </c>
      <c r="J224" s="144">
        <f t="shared" si="17"/>
        <v>0</v>
      </c>
      <c r="K224" s="144">
        <f t="shared" si="17"/>
        <v>0</v>
      </c>
      <c r="L224" s="144">
        <f t="shared" si="17"/>
        <v>0</v>
      </c>
      <c r="M224" s="144">
        <f t="shared" si="17"/>
        <v>0</v>
      </c>
      <c r="N224" s="144">
        <f t="shared" si="17"/>
        <v>0</v>
      </c>
      <c r="O224" s="144">
        <f t="shared" si="17"/>
        <v>0</v>
      </c>
      <c r="P224" s="144">
        <f t="shared" si="17"/>
        <v>0</v>
      </c>
      <c r="Q224" s="144">
        <f t="shared" si="17"/>
        <v>0</v>
      </c>
      <c r="R224" s="144">
        <f t="shared" si="17"/>
        <v>0</v>
      </c>
      <c r="S224" s="144">
        <f t="shared" si="17"/>
        <v>0</v>
      </c>
      <c r="T224" s="144">
        <f t="shared" si="17"/>
        <v>0</v>
      </c>
      <c r="U224" s="144">
        <f t="shared" si="17"/>
        <v>0</v>
      </c>
      <c r="V224" s="144">
        <f t="shared" si="17"/>
        <v>0</v>
      </c>
      <c r="W224" s="144">
        <f t="shared" si="17"/>
        <v>0</v>
      </c>
      <c r="X224" s="144">
        <f t="shared" si="17"/>
        <v>0</v>
      </c>
      <c r="Y224" s="144">
        <f t="shared" si="17"/>
        <v>0</v>
      </c>
      <c r="Z224" s="144">
        <f t="shared" si="17"/>
        <v>0</v>
      </c>
      <c r="AA224" s="144">
        <f t="shared" si="17"/>
        <v>0</v>
      </c>
      <c r="AB224" s="144">
        <f t="shared" si="17"/>
        <v>0</v>
      </c>
      <c r="AC224" s="144">
        <f t="shared" si="17"/>
        <v>0</v>
      </c>
      <c r="AD224" s="144">
        <f t="shared" si="17"/>
        <v>0</v>
      </c>
      <c r="AE224" s="144">
        <f t="shared" si="17"/>
        <v>0</v>
      </c>
      <c r="AF224" s="145">
        <f t="shared" si="17"/>
        <v>0</v>
      </c>
      <c r="AG224" s="146">
        <f t="shared" si="17"/>
        <v>412.72299999999984</v>
      </c>
      <c r="AH224" s="52"/>
      <c r="AI224" s="53"/>
      <c r="AK224" s="54"/>
    </row>
    <row r="225" spans="1:37" ht="15.75" thickBot="1" x14ac:dyDescent="0.3">
      <c r="A225" s="29" t="s">
        <v>69</v>
      </c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8"/>
      <c r="AH225" s="52"/>
      <c r="AI225" s="53"/>
      <c r="AK225" s="54"/>
    </row>
    <row r="226" spans="1:37" x14ac:dyDescent="0.25">
      <c r="A226" s="107" t="s">
        <v>229</v>
      </c>
      <c r="B226" s="149">
        <f t="shared" ref="B226:B231" si="18">AF226</f>
        <v>0</v>
      </c>
      <c r="C226" s="149">
        <v>0.3</v>
      </c>
      <c r="D226" s="149">
        <f t="shared" ref="D226:P231" si="19">C226</f>
        <v>0.3</v>
      </c>
      <c r="E226" s="149">
        <f t="shared" si="19"/>
        <v>0.3</v>
      </c>
      <c r="F226" s="149">
        <f t="shared" si="19"/>
        <v>0.3</v>
      </c>
      <c r="G226" s="149">
        <f t="shared" si="19"/>
        <v>0.3</v>
      </c>
      <c r="H226" s="149">
        <f t="shared" si="19"/>
        <v>0.3</v>
      </c>
      <c r="I226" s="149">
        <f t="shared" si="19"/>
        <v>0.3</v>
      </c>
      <c r="J226" s="149">
        <f t="shared" si="19"/>
        <v>0.3</v>
      </c>
      <c r="K226" s="149">
        <f t="shared" si="19"/>
        <v>0.3</v>
      </c>
      <c r="L226" s="149">
        <f t="shared" si="19"/>
        <v>0.3</v>
      </c>
      <c r="M226" s="149">
        <f t="shared" si="19"/>
        <v>0.3</v>
      </c>
      <c r="N226" s="149">
        <f t="shared" si="19"/>
        <v>0.3</v>
      </c>
      <c r="O226" s="149">
        <f t="shared" si="19"/>
        <v>0.3</v>
      </c>
      <c r="P226" s="149">
        <f t="shared" si="19"/>
        <v>0.3</v>
      </c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  <c r="AE226" s="149"/>
      <c r="AF226" s="149"/>
      <c r="AG226" s="150">
        <v>2.4</v>
      </c>
      <c r="AH226" s="52"/>
      <c r="AI226" s="53"/>
      <c r="AK226" s="54"/>
    </row>
    <row r="227" spans="1:37" ht="15.75" thickBot="1" x14ac:dyDescent="0.3">
      <c r="A227" s="110" t="s">
        <v>230</v>
      </c>
      <c r="B227" s="136">
        <f t="shared" si="18"/>
        <v>0</v>
      </c>
      <c r="C227" s="136">
        <v>0.4</v>
      </c>
      <c r="D227" s="136">
        <f t="shared" si="19"/>
        <v>0.4</v>
      </c>
      <c r="E227" s="136">
        <f t="shared" si="19"/>
        <v>0.4</v>
      </c>
      <c r="F227" s="136">
        <f t="shared" si="19"/>
        <v>0.4</v>
      </c>
      <c r="G227" s="136">
        <f t="shared" si="19"/>
        <v>0.4</v>
      </c>
      <c r="H227" s="136">
        <f t="shared" si="19"/>
        <v>0.4</v>
      </c>
      <c r="I227" s="136">
        <f t="shared" si="19"/>
        <v>0.4</v>
      </c>
      <c r="J227" s="136">
        <f t="shared" si="19"/>
        <v>0.4</v>
      </c>
      <c r="K227" s="136">
        <f t="shared" si="19"/>
        <v>0.4</v>
      </c>
      <c r="L227" s="136">
        <f t="shared" si="19"/>
        <v>0.4</v>
      </c>
      <c r="M227" s="136">
        <f t="shared" si="19"/>
        <v>0.4</v>
      </c>
      <c r="N227" s="136">
        <f t="shared" si="19"/>
        <v>0.4</v>
      </c>
      <c r="O227" s="136">
        <f t="shared" si="19"/>
        <v>0.4</v>
      </c>
      <c r="P227" s="136">
        <f t="shared" si="19"/>
        <v>0.4</v>
      </c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51">
        <v>2</v>
      </c>
      <c r="AH227" s="52"/>
      <c r="AI227" s="53"/>
      <c r="AK227" s="54"/>
    </row>
    <row r="228" spans="1:37" x14ac:dyDescent="0.25">
      <c r="A228" s="110" t="s">
        <v>231</v>
      </c>
      <c r="B228" s="136">
        <f t="shared" si="18"/>
        <v>0</v>
      </c>
      <c r="C228" s="136">
        <v>1.5</v>
      </c>
      <c r="D228" s="136">
        <f t="shared" si="19"/>
        <v>1.5</v>
      </c>
      <c r="E228" s="136">
        <f t="shared" si="19"/>
        <v>1.5</v>
      </c>
      <c r="F228" s="136">
        <f t="shared" si="19"/>
        <v>1.5</v>
      </c>
      <c r="G228" s="136">
        <f t="shared" si="19"/>
        <v>1.5</v>
      </c>
      <c r="H228" s="136">
        <f t="shared" si="19"/>
        <v>1.5</v>
      </c>
      <c r="I228" s="118">
        <f ca="1">SUM(I140,I146,I149:I150,I176,I178:I179,I181,I183,I229:I233,I255,I261,I267,I276,I278,I290,I297,I300:I301,I308,I310,I312,I316:I318,I320:I322,I327,I333:I334,I336:I338,I346,I351)</f>
        <v>87.039000000000001</v>
      </c>
      <c r="J228" s="136">
        <f t="shared" ca="1" si="19"/>
        <v>1.5</v>
      </c>
      <c r="K228" s="136">
        <f t="shared" ca="1" si="19"/>
        <v>1.5</v>
      </c>
      <c r="L228" s="136">
        <f t="shared" ca="1" si="19"/>
        <v>1.5</v>
      </c>
      <c r="M228" s="136">
        <f t="shared" ca="1" si="19"/>
        <v>1.5</v>
      </c>
      <c r="N228" s="136">
        <f t="shared" ca="1" si="19"/>
        <v>1.5</v>
      </c>
      <c r="O228" s="136">
        <f t="shared" ca="1" si="19"/>
        <v>1.5</v>
      </c>
      <c r="P228" s="136">
        <f t="shared" ca="1" si="19"/>
        <v>1.5</v>
      </c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51">
        <v>1.5</v>
      </c>
      <c r="AH228" s="52"/>
      <c r="AI228" s="53"/>
      <c r="AK228" s="54"/>
    </row>
    <row r="229" spans="1:37" x14ac:dyDescent="0.25">
      <c r="A229" s="110" t="s">
        <v>232</v>
      </c>
      <c r="B229" s="136">
        <f t="shared" si="18"/>
        <v>0</v>
      </c>
      <c r="C229" s="136">
        <v>0.3</v>
      </c>
      <c r="D229" s="136">
        <f t="shared" si="19"/>
        <v>0.3</v>
      </c>
      <c r="E229" s="136">
        <f t="shared" si="19"/>
        <v>0.3</v>
      </c>
      <c r="F229" s="136">
        <f t="shared" si="19"/>
        <v>0.3</v>
      </c>
      <c r="G229" s="136">
        <f t="shared" si="19"/>
        <v>0.3</v>
      </c>
      <c r="H229" s="136">
        <f t="shared" si="19"/>
        <v>0.3</v>
      </c>
      <c r="I229" s="136">
        <f t="shared" si="19"/>
        <v>0.3</v>
      </c>
      <c r="J229" s="136">
        <f t="shared" si="19"/>
        <v>0.3</v>
      </c>
      <c r="K229" s="136">
        <f t="shared" si="19"/>
        <v>0.3</v>
      </c>
      <c r="L229" s="136">
        <f t="shared" si="19"/>
        <v>0.3</v>
      </c>
      <c r="M229" s="136">
        <f t="shared" si="19"/>
        <v>0.3</v>
      </c>
      <c r="N229" s="136">
        <f t="shared" si="19"/>
        <v>0.3</v>
      </c>
      <c r="O229" s="136">
        <f t="shared" si="19"/>
        <v>0.3</v>
      </c>
      <c r="P229" s="136">
        <f t="shared" si="19"/>
        <v>0.3</v>
      </c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51">
        <v>1</v>
      </c>
      <c r="AH229" s="52"/>
      <c r="AI229" s="53"/>
      <c r="AK229" s="54"/>
    </row>
    <row r="230" spans="1:37" x14ac:dyDescent="0.25">
      <c r="A230" s="110" t="s">
        <v>233</v>
      </c>
      <c r="B230" s="136">
        <f t="shared" si="18"/>
        <v>0</v>
      </c>
      <c r="C230" s="136">
        <v>0.4</v>
      </c>
      <c r="D230" s="136">
        <f t="shared" si="19"/>
        <v>0.4</v>
      </c>
      <c r="E230" s="136">
        <f t="shared" si="19"/>
        <v>0.4</v>
      </c>
      <c r="F230" s="136">
        <f t="shared" si="19"/>
        <v>0.4</v>
      </c>
      <c r="G230" s="136">
        <f t="shared" si="19"/>
        <v>0.4</v>
      </c>
      <c r="H230" s="136">
        <f t="shared" si="19"/>
        <v>0.4</v>
      </c>
      <c r="I230" s="136">
        <f t="shared" si="19"/>
        <v>0.4</v>
      </c>
      <c r="J230" s="136">
        <f t="shared" si="19"/>
        <v>0.4</v>
      </c>
      <c r="K230" s="136">
        <f t="shared" si="19"/>
        <v>0.4</v>
      </c>
      <c r="L230" s="136">
        <f t="shared" si="19"/>
        <v>0.4</v>
      </c>
      <c r="M230" s="136">
        <f t="shared" si="19"/>
        <v>0.4</v>
      </c>
      <c r="N230" s="136">
        <f t="shared" si="19"/>
        <v>0.4</v>
      </c>
      <c r="O230" s="136">
        <f t="shared" si="19"/>
        <v>0.4</v>
      </c>
      <c r="P230" s="136">
        <f t="shared" si="19"/>
        <v>0.4</v>
      </c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51">
        <v>1</v>
      </c>
      <c r="AH230" s="52"/>
      <c r="AI230" s="53"/>
      <c r="AK230" s="54"/>
    </row>
    <row r="231" spans="1:37" ht="15.75" thickBot="1" x14ac:dyDescent="0.3">
      <c r="A231" s="123" t="s">
        <v>234</v>
      </c>
      <c r="B231" s="140">
        <f t="shared" si="18"/>
        <v>0</v>
      </c>
      <c r="C231" s="140">
        <v>0.64</v>
      </c>
      <c r="D231" s="140">
        <f t="shared" si="19"/>
        <v>0.64</v>
      </c>
      <c r="E231" s="140">
        <f t="shared" si="19"/>
        <v>0.64</v>
      </c>
      <c r="F231" s="140">
        <f t="shared" si="19"/>
        <v>0.64</v>
      </c>
      <c r="G231" s="140">
        <f t="shared" si="19"/>
        <v>0.64</v>
      </c>
      <c r="H231" s="140">
        <f t="shared" si="19"/>
        <v>0.64</v>
      </c>
      <c r="I231" s="140">
        <f t="shared" si="19"/>
        <v>0.64</v>
      </c>
      <c r="J231" s="140">
        <f t="shared" si="19"/>
        <v>0.64</v>
      </c>
      <c r="K231" s="140">
        <f t="shared" si="19"/>
        <v>0.64</v>
      </c>
      <c r="L231" s="140">
        <f t="shared" si="19"/>
        <v>0.64</v>
      </c>
      <c r="M231" s="140">
        <f t="shared" si="19"/>
        <v>0.64</v>
      </c>
      <c r="N231" s="140">
        <f t="shared" si="19"/>
        <v>0.64</v>
      </c>
      <c r="O231" s="140">
        <f t="shared" si="19"/>
        <v>0.64</v>
      </c>
      <c r="P231" s="140">
        <f t="shared" si="19"/>
        <v>0.64</v>
      </c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  <c r="AF231" s="140"/>
      <c r="AG231" s="152">
        <v>0.66</v>
      </c>
      <c r="AH231" s="52"/>
      <c r="AI231" s="53"/>
    </row>
    <row r="232" spans="1:37" ht="15.75" thickBot="1" x14ac:dyDescent="0.3">
      <c r="A232" s="153" t="s">
        <v>69</v>
      </c>
      <c r="B232" s="144">
        <f t="shared" ref="B232:AG232" si="20">SUM(B226:B231)</f>
        <v>0</v>
      </c>
      <c r="C232" s="144">
        <f t="shared" si="20"/>
        <v>3.54</v>
      </c>
      <c r="D232" s="144">
        <f t="shared" si="20"/>
        <v>3.54</v>
      </c>
      <c r="E232" s="144">
        <f t="shared" si="20"/>
        <v>3.54</v>
      </c>
      <c r="F232" s="144">
        <f t="shared" si="20"/>
        <v>3.54</v>
      </c>
      <c r="G232" s="144">
        <f t="shared" si="20"/>
        <v>3.54</v>
      </c>
      <c r="H232" s="144">
        <f t="shared" si="20"/>
        <v>3.54</v>
      </c>
      <c r="I232" s="144">
        <f t="shared" ca="1" si="20"/>
        <v>3.54</v>
      </c>
      <c r="J232" s="144">
        <f t="shared" ca="1" si="20"/>
        <v>3.54</v>
      </c>
      <c r="K232" s="144">
        <f t="shared" ca="1" si="20"/>
        <v>3.54</v>
      </c>
      <c r="L232" s="144">
        <f t="shared" ca="1" si="20"/>
        <v>3.54</v>
      </c>
      <c r="M232" s="144">
        <f t="shared" ca="1" si="20"/>
        <v>3.54</v>
      </c>
      <c r="N232" s="144">
        <f t="shared" ca="1" si="20"/>
        <v>3.54</v>
      </c>
      <c r="O232" s="144">
        <f t="shared" ca="1" si="20"/>
        <v>3.54</v>
      </c>
      <c r="P232" s="144">
        <f t="shared" ca="1" si="20"/>
        <v>3.54</v>
      </c>
      <c r="Q232" s="144">
        <f t="shared" si="20"/>
        <v>0</v>
      </c>
      <c r="R232" s="144">
        <f t="shared" si="20"/>
        <v>0</v>
      </c>
      <c r="S232" s="144">
        <f t="shared" si="20"/>
        <v>0</v>
      </c>
      <c r="T232" s="144">
        <f t="shared" si="20"/>
        <v>0</v>
      </c>
      <c r="U232" s="144">
        <f t="shared" si="20"/>
        <v>0</v>
      </c>
      <c r="V232" s="144">
        <f t="shared" si="20"/>
        <v>0</v>
      </c>
      <c r="W232" s="144">
        <f t="shared" si="20"/>
        <v>0</v>
      </c>
      <c r="X232" s="144">
        <f t="shared" si="20"/>
        <v>0</v>
      </c>
      <c r="Y232" s="144">
        <f t="shared" si="20"/>
        <v>0</v>
      </c>
      <c r="Z232" s="144">
        <f t="shared" si="20"/>
        <v>0</v>
      </c>
      <c r="AA232" s="144">
        <f t="shared" si="20"/>
        <v>0</v>
      </c>
      <c r="AB232" s="144">
        <f t="shared" si="20"/>
        <v>0</v>
      </c>
      <c r="AC232" s="144">
        <f t="shared" si="20"/>
        <v>0</v>
      </c>
      <c r="AD232" s="144">
        <f t="shared" si="20"/>
        <v>0</v>
      </c>
      <c r="AE232" s="144">
        <f t="shared" si="20"/>
        <v>0</v>
      </c>
      <c r="AF232" s="144">
        <f t="shared" si="20"/>
        <v>0</v>
      </c>
      <c r="AG232" s="154">
        <f t="shared" si="20"/>
        <v>8.56</v>
      </c>
      <c r="AH232" s="52"/>
      <c r="AI232" s="53"/>
    </row>
    <row r="233" spans="1:37" ht="15.75" thickBot="1" x14ac:dyDescent="0.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147"/>
      <c r="AH233" s="48"/>
    </row>
    <row r="234" spans="1:37" x14ac:dyDescent="0.25">
      <c r="A234" s="155" t="s">
        <v>235</v>
      </c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7"/>
      <c r="AG234" s="48"/>
      <c r="AH234" s="52"/>
      <c r="AI234" s="53"/>
    </row>
    <row r="235" spans="1:37" x14ac:dyDescent="0.25">
      <c r="A235" s="158" t="s">
        <v>236</v>
      </c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60"/>
      <c r="AG235" s="161"/>
      <c r="AH235" s="52"/>
      <c r="AI235" s="53"/>
    </row>
    <row r="236" spans="1:37" x14ac:dyDescent="0.25">
      <c r="A236" s="162" t="s">
        <v>237</v>
      </c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4"/>
      <c r="AG236" s="161"/>
      <c r="AH236" s="52"/>
      <c r="AI236" s="53"/>
    </row>
    <row r="237" spans="1:37" x14ac:dyDescent="0.25">
      <c r="A237" s="162" t="s">
        <v>238</v>
      </c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4"/>
      <c r="AG237" s="161"/>
      <c r="AH237" s="52"/>
      <c r="AI237" s="53"/>
    </row>
    <row r="238" spans="1:37" ht="15.75" thickBot="1" x14ac:dyDescent="0.3">
      <c r="A238" s="165" t="s">
        <v>239</v>
      </c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7"/>
      <c r="AG238" s="161"/>
      <c r="AH238" s="52"/>
      <c r="AI238" s="53"/>
    </row>
    <row r="239" spans="1:37" x14ac:dyDescent="0.25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 spans="1:37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 spans="1:50" x14ac:dyDescent="0.25">
      <c r="A241" s="168" t="s">
        <v>240</v>
      </c>
      <c r="B241" s="169">
        <f>MAX(G89:N89)</f>
        <v>3.54</v>
      </c>
      <c r="C241" s="170">
        <f>INDEX(G9:N9,1,MATCH(MAX(G89:N89),G89:N89,0))</f>
        <v>0.20833333333333301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 spans="1:50" x14ac:dyDescent="0.25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171" t="str">
        <f ca="1">MID(CELL("filename",C7),FIND("]",CELL("filename",C7))+1,600)</f>
        <v>sample</v>
      </c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 spans="1:50" x14ac:dyDescent="0.25">
      <c r="A243" s="213" t="s">
        <v>241</v>
      </c>
      <c r="B243" s="213"/>
      <c r="C243" s="48"/>
      <c r="D243" s="171" t="e">
        <f ca="1">"Pie Chart of Daily Peak Demand(Inclusive of Export) of Nepal ("&amp;A4&amp;" "&amp;B4&amp;")"</f>
        <v>#VALUE!</v>
      </c>
      <c r="E243" s="48"/>
      <c r="F243" s="48"/>
      <c r="G243" s="171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171" t="e">
        <f ca="1">"Daily Load Curve(Excluding of Export) of Nepal ("&amp;A4&amp;" "&amp;B4&amp;")"</f>
        <v>#VALUE!</v>
      </c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 spans="1:50" ht="12.75" customHeight="1" thickBot="1" x14ac:dyDescent="0.3">
      <c r="A244" s="172" t="s">
        <v>7</v>
      </c>
      <c r="B244" s="173"/>
      <c r="C244" s="48"/>
      <c r="D244" s="174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 spans="1:50" ht="15.75" thickTop="1" x14ac:dyDescent="0.25">
      <c r="A245" s="172" t="s">
        <v>242</v>
      </c>
      <c r="B245" s="173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175" t="s">
        <v>243</v>
      </c>
      <c r="T245" s="176">
        <v>0</v>
      </c>
      <c r="U245" s="177">
        <v>4.1666666666666664E-2</v>
      </c>
      <c r="V245" s="178">
        <v>8.3333333333333301E-2</v>
      </c>
      <c r="W245" s="178">
        <v>0.125</v>
      </c>
      <c r="X245" s="178">
        <v>0.16666666666666699</v>
      </c>
      <c r="Y245" s="178">
        <v>0.20833333333333301</v>
      </c>
      <c r="Z245" s="178">
        <v>0.22916666666666666</v>
      </c>
      <c r="AA245" s="178">
        <v>0.25</v>
      </c>
      <c r="AB245" s="178">
        <v>0.27083333333333331</v>
      </c>
      <c r="AC245" s="178">
        <v>0.29166666666666669</v>
      </c>
      <c r="AD245" s="178">
        <v>0.3125</v>
      </c>
      <c r="AE245" s="179">
        <v>0.33333333333333331</v>
      </c>
      <c r="AF245" s="179">
        <v>0.375</v>
      </c>
      <c r="AG245" s="179">
        <v>0.41666666666666702</v>
      </c>
      <c r="AH245" s="179">
        <v>0.45833333333333298</v>
      </c>
      <c r="AI245" s="179">
        <v>0.5</v>
      </c>
      <c r="AJ245" s="179">
        <v>0.54166666666666696</v>
      </c>
      <c r="AK245" s="179">
        <v>0.58333333333333304</v>
      </c>
      <c r="AL245" s="179">
        <v>0.625</v>
      </c>
      <c r="AM245" s="179">
        <v>0.66666666666666696</v>
      </c>
      <c r="AN245" s="179">
        <v>0.70833333333333304</v>
      </c>
      <c r="AO245" s="179">
        <v>0.72916666666666663</v>
      </c>
      <c r="AP245" s="179">
        <v>0.75</v>
      </c>
      <c r="AQ245" s="179">
        <v>0.77083333333333337</v>
      </c>
      <c r="AR245" s="179">
        <v>0.79166666666666663</v>
      </c>
      <c r="AS245" s="179">
        <v>0.8125</v>
      </c>
      <c r="AT245" s="178">
        <v>0.83333333333333337</v>
      </c>
      <c r="AU245" s="178">
        <v>0.85416666666666663</v>
      </c>
      <c r="AV245" s="178">
        <v>0.875</v>
      </c>
      <c r="AW245" s="178">
        <v>0.91666666666666696</v>
      </c>
      <c r="AX245" s="178">
        <v>0.95833333333333304</v>
      </c>
    </row>
    <row r="246" spans="1:50" x14ac:dyDescent="0.25">
      <c r="A246" s="172" t="s">
        <v>244</v>
      </c>
      <c r="B246" s="173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 t="s">
        <v>245</v>
      </c>
      <c r="T246" s="180">
        <f t="shared" ref="T246:AX246" si="21">B89</f>
        <v>3.54</v>
      </c>
      <c r="U246" s="180">
        <f t="shared" si="21"/>
        <v>3.54</v>
      </c>
      <c r="V246" s="180">
        <f t="shared" si="21"/>
        <v>3.54</v>
      </c>
      <c r="W246" s="180">
        <f t="shared" si="21"/>
        <v>3.54</v>
      </c>
      <c r="X246" s="180">
        <f t="shared" si="21"/>
        <v>3.54</v>
      </c>
      <c r="Y246" s="180">
        <f t="shared" si="21"/>
        <v>3.54</v>
      </c>
      <c r="Z246" s="180">
        <f t="shared" si="21"/>
        <v>3.54</v>
      </c>
      <c r="AA246" s="180">
        <f t="shared" si="21"/>
        <v>3.54</v>
      </c>
      <c r="AB246" s="180">
        <f t="shared" si="21"/>
        <v>3.54</v>
      </c>
      <c r="AC246" s="180">
        <f t="shared" si="21"/>
        <v>3.54</v>
      </c>
      <c r="AD246" s="180">
        <f t="shared" si="21"/>
        <v>3.54</v>
      </c>
      <c r="AE246" s="180">
        <f t="shared" si="21"/>
        <v>3.54</v>
      </c>
      <c r="AF246" s="180">
        <f t="shared" si="21"/>
        <v>3.54</v>
      </c>
      <c r="AG246" s="180">
        <f t="shared" si="21"/>
        <v>3.54</v>
      </c>
      <c r="AH246" s="180">
        <f t="shared" si="21"/>
        <v>3.54</v>
      </c>
      <c r="AI246" s="180">
        <f t="shared" si="21"/>
        <v>3.54</v>
      </c>
      <c r="AJ246" s="180">
        <f t="shared" si="21"/>
        <v>3.54</v>
      </c>
      <c r="AK246" s="180">
        <f t="shared" si="21"/>
        <v>3.54</v>
      </c>
      <c r="AL246" s="180">
        <f t="shared" si="21"/>
        <v>3.54</v>
      </c>
      <c r="AM246" s="180">
        <f t="shared" si="21"/>
        <v>3.54</v>
      </c>
      <c r="AN246" s="180">
        <f t="shared" si="21"/>
        <v>3.54</v>
      </c>
      <c r="AO246" s="180">
        <f t="shared" si="21"/>
        <v>3.54</v>
      </c>
      <c r="AP246" s="180">
        <f t="shared" si="21"/>
        <v>3.54</v>
      </c>
      <c r="AQ246" s="180">
        <f t="shared" si="21"/>
        <v>3.54</v>
      </c>
      <c r="AR246" s="180">
        <f t="shared" si="21"/>
        <v>3.54</v>
      </c>
      <c r="AS246" s="180">
        <f t="shared" si="21"/>
        <v>3.54</v>
      </c>
      <c r="AT246" s="180">
        <f t="shared" si="21"/>
        <v>3.54</v>
      </c>
      <c r="AU246" s="180">
        <f t="shared" si="21"/>
        <v>3.54</v>
      </c>
      <c r="AV246" s="180">
        <f t="shared" si="21"/>
        <v>3.54</v>
      </c>
      <c r="AW246" s="180">
        <f t="shared" si="21"/>
        <v>3.54</v>
      </c>
      <c r="AX246" s="180">
        <f t="shared" si="21"/>
        <v>3.54</v>
      </c>
    </row>
    <row r="247" spans="1:50" x14ac:dyDescent="0.25">
      <c r="A247" s="172" t="s">
        <v>246</v>
      </c>
      <c r="B247" s="173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 spans="1:50" x14ac:dyDescent="0.25">
      <c r="A248" s="172" t="s">
        <v>247</v>
      </c>
      <c r="B248" s="173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 spans="1:50" x14ac:dyDescent="0.25">
      <c r="A249" s="172" t="s">
        <v>248</v>
      </c>
      <c r="B249" s="173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 spans="1:50" x14ac:dyDescent="0.25">
      <c r="A250" s="172" t="s">
        <v>249</v>
      </c>
      <c r="B250" s="181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 spans="1:50" x14ac:dyDescent="0.25">
      <c r="A251" s="172" t="s">
        <v>250</v>
      </c>
      <c r="B251" s="173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 spans="1:50" x14ac:dyDescent="0.25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 spans="1:50" x14ac:dyDescent="0.25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 spans="1:50" x14ac:dyDescent="0.25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 spans="1:50" x14ac:dyDescent="0.2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 spans="1:50" x14ac:dyDescent="0.25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 spans="1:36" x14ac:dyDescent="0.25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 spans="1:36" x14ac:dyDescent="0.25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J258" s="2"/>
    </row>
    <row r="259" spans="1:36" x14ac:dyDescent="0.25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J259" s="2"/>
    </row>
    <row r="260" spans="1:36" x14ac:dyDescent="0.25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J260" s="2"/>
    </row>
    <row r="261" spans="1:36" x14ac:dyDescent="0.25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J261" s="2"/>
    </row>
    <row r="262" spans="1:36" x14ac:dyDescent="0.25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J262" s="2"/>
    </row>
    <row r="263" spans="1:36" x14ac:dyDescent="0.25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J263" s="2"/>
    </row>
    <row r="264" spans="1:36" x14ac:dyDescent="0.25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J264" s="2"/>
    </row>
    <row r="265" spans="1:36" x14ac:dyDescent="0.2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J265" s="2"/>
    </row>
    <row r="266" spans="1:36" x14ac:dyDescent="0.25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J266" s="2"/>
    </row>
    <row r="267" spans="1:36" x14ac:dyDescent="0.25">
      <c r="A267" s="182" t="s">
        <v>235</v>
      </c>
      <c r="B267" s="183">
        <f t="shared" ref="B267:AE267" si="22">C231</f>
        <v>0.64</v>
      </c>
      <c r="C267" s="183">
        <f t="shared" si="22"/>
        <v>0.64</v>
      </c>
      <c r="D267" s="183">
        <f t="shared" si="22"/>
        <v>0.64</v>
      </c>
      <c r="E267" s="183">
        <f t="shared" si="22"/>
        <v>0.64</v>
      </c>
      <c r="F267" s="183">
        <f t="shared" si="22"/>
        <v>0.64</v>
      </c>
      <c r="G267" s="183">
        <f t="shared" si="22"/>
        <v>0.64</v>
      </c>
      <c r="H267" s="183">
        <f t="shared" si="22"/>
        <v>0.64</v>
      </c>
      <c r="I267" s="183">
        <f t="shared" si="22"/>
        <v>0.64</v>
      </c>
      <c r="J267" s="183">
        <f t="shared" si="22"/>
        <v>0.64</v>
      </c>
      <c r="K267" s="183">
        <f t="shared" si="22"/>
        <v>0.64</v>
      </c>
      <c r="L267" s="183">
        <f t="shared" si="22"/>
        <v>0.64</v>
      </c>
      <c r="M267" s="183">
        <f t="shared" si="22"/>
        <v>0.64</v>
      </c>
      <c r="N267" s="183">
        <f t="shared" si="22"/>
        <v>0.64</v>
      </c>
      <c r="O267" s="183">
        <f t="shared" si="22"/>
        <v>0.64</v>
      </c>
      <c r="P267" s="183">
        <f t="shared" si="22"/>
        <v>0</v>
      </c>
      <c r="Q267" s="183">
        <f t="shared" si="22"/>
        <v>0</v>
      </c>
      <c r="R267" s="183">
        <f t="shared" si="22"/>
        <v>0</v>
      </c>
      <c r="S267" s="183">
        <f t="shared" si="22"/>
        <v>0</v>
      </c>
      <c r="T267" s="183">
        <f t="shared" si="22"/>
        <v>0</v>
      </c>
      <c r="U267" s="183">
        <f t="shared" si="22"/>
        <v>0</v>
      </c>
      <c r="V267" s="183">
        <f t="shared" si="22"/>
        <v>0</v>
      </c>
      <c r="W267" s="183">
        <f t="shared" si="22"/>
        <v>0</v>
      </c>
      <c r="X267" s="183">
        <f t="shared" si="22"/>
        <v>0</v>
      </c>
      <c r="Y267" s="183">
        <f t="shared" si="22"/>
        <v>0</v>
      </c>
      <c r="Z267" s="183">
        <f t="shared" si="22"/>
        <v>0</v>
      </c>
      <c r="AA267" s="183">
        <f t="shared" si="22"/>
        <v>0</v>
      </c>
      <c r="AB267" s="183">
        <f t="shared" si="22"/>
        <v>0</v>
      </c>
      <c r="AC267" s="183">
        <f t="shared" si="22"/>
        <v>0</v>
      </c>
      <c r="AD267" s="183">
        <f t="shared" si="22"/>
        <v>0</v>
      </c>
      <c r="AE267" s="183">
        <f t="shared" si="22"/>
        <v>0</v>
      </c>
      <c r="AF267" s="183">
        <f>B231</f>
        <v>0</v>
      </c>
      <c r="AG267" s="48"/>
      <c r="AH267" s="48"/>
      <c r="AJ267" s="2"/>
    </row>
    <row r="268" spans="1:36" x14ac:dyDescent="0.25">
      <c r="A268" s="184" t="str">
        <f>A235</f>
        <v>KGA</v>
      </c>
      <c r="B268" s="184" t="str">
        <f t="shared" ref="B268:AF268" si="23">IF(B235&lt;100,"",B235-520)</f>
        <v/>
      </c>
      <c r="C268" s="184" t="str">
        <f t="shared" si="23"/>
        <v/>
      </c>
      <c r="D268" s="184" t="str">
        <f t="shared" si="23"/>
        <v/>
      </c>
      <c r="E268" s="184" t="str">
        <f t="shared" si="23"/>
        <v/>
      </c>
      <c r="F268" s="184" t="str">
        <f t="shared" si="23"/>
        <v/>
      </c>
      <c r="G268" s="184" t="str">
        <f t="shared" si="23"/>
        <v/>
      </c>
      <c r="H268" s="184" t="str">
        <f t="shared" si="23"/>
        <v/>
      </c>
      <c r="I268" s="184" t="str">
        <f t="shared" si="23"/>
        <v/>
      </c>
      <c r="J268" s="184" t="str">
        <f t="shared" si="23"/>
        <v/>
      </c>
      <c r="K268" s="184" t="str">
        <f t="shared" si="23"/>
        <v/>
      </c>
      <c r="L268" s="184" t="str">
        <f t="shared" si="23"/>
        <v/>
      </c>
      <c r="M268" s="184" t="str">
        <f t="shared" si="23"/>
        <v/>
      </c>
      <c r="N268" s="184" t="str">
        <f t="shared" si="23"/>
        <v/>
      </c>
      <c r="O268" s="184" t="str">
        <f t="shared" si="23"/>
        <v/>
      </c>
      <c r="P268" s="184" t="str">
        <f t="shared" si="23"/>
        <v/>
      </c>
      <c r="Q268" s="184" t="str">
        <f t="shared" si="23"/>
        <v/>
      </c>
      <c r="R268" s="184" t="str">
        <f t="shared" si="23"/>
        <v/>
      </c>
      <c r="S268" s="184" t="str">
        <f t="shared" si="23"/>
        <v/>
      </c>
      <c r="T268" s="184" t="str">
        <f t="shared" si="23"/>
        <v/>
      </c>
      <c r="U268" s="184" t="str">
        <f t="shared" si="23"/>
        <v/>
      </c>
      <c r="V268" s="184" t="str">
        <f t="shared" si="23"/>
        <v/>
      </c>
      <c r="W268" s="184" t="str">
        <f t="shared" si="23"/>
        <v/>
      </c>
      <c r="X268" s="184" t="str">
        <f t="shared" si="23"/>
        <v/>
      </c>
      <c r="Y268" s="184" t="str">
        <f t="shared" si="23"/>
        <v/>
      </c>
      <c r="Z268" s="184" t="str">
        <f t="shared" si="23"/>
        <v/>
      </c>
      <c r="AA268" s="184" t="str">
        <f t="shared" si="23"/>
        <v/>
      </c>
      <c r="AB268" s="184" t="str">
        <f t="shared" si="23"/>
        <v/>
      </c>
      <c r="AC268" s="184" t="str">
        <f t="shared" si="23"/>
        <v/>
      </c>
      <c r="AD268" s="184" t="str">
        <f t="shared" si="23"/>
        <v/>
      </c>
      <c r="AE268" s="184" t="str">
        <f t="shared" si="23"/>
        <v/>
      </c>
      <c r="AF268" s="184" t="str">
        <f t="shared" si="23"/>
        <v/>
      </c>
      <c r="AG268" s="48"/>
      <c r="AH268" s="48"/>
      <c r="AJ268" s="2"/>
    </row>
    <row r="269" spans="1:36" x14ac:dyDescent="0.25">
      <c r="A269" s="184" t="str">
        <f>A236</f>
        <v>MMRS</v>
      </c>
      <c r="B269" s="184" t="str">
        <f t="shared" ref="B269:AF269" si="24">IF(B236&lt;100,"",B236-620)</f>
        <v/>
      </c>
      <c r="C269" s="184" t="str">
        <f t="shared" si="24"/>
        <v/>
      </c>
      <c r="D269" s="184" t="str">
        <f t="shared" si="24"/>
        <v/>
      </c>
      <c r="E269" s="184" t="str">
        <f t="shared" si="24"/>
        <v/>
      </c>
      <c r="F269" s="184" t="str">
        <f t="shared" si="24"/>
        <v/>
      </c>
      <c r="G269" s="184" t="str">
        <f t="shared" si="24"/>
        <v/>
      </c>
      <c r="H269" s="184" t="str">
        <f t="shared" si="24"/>
        <v/>
      </c>
      <c r="I269" s="184" t="str">
        <f t="shared" si="24"/>
        <v/>
      </c>
      <c r="J269" s="184" t="str">
        <f t="shared" si="24"/>
        <v/>
      </c>
      <c r="K269" s="184" t="str">
        <f t="shared" si="24"/>
        <v/>
      </c>
      <c r="L269" s="184" t="str">
        <f t="shared" si="24"/>
        <v/>
      </c>
      <c r="M269" s="184" t="str">
        <f t="shared" si="24"/>
        <v/>
      </c>
      <c r="N269" s="184" t="str">
        <f t="shared" si="24"/>
        <v/>
      </c>
      <c r="O269" s="184" t="str">
        <f t="shared" si="24"/>
        <v/>
      </c>
      <c r="P269" s="184" t="str">
        <f t="shared" si="24"/>
        <v/>
      </c>
      <c r="Q269" s="184" t="str">
        <f t="shared" si="24"/>
        <v/>
      </c>
      <c r="R269" s="184" t="str">
        <f t="shared" si="24"/>
        <v/>
      </c>
      <c r="S269" s="184" t="str">
        <f t="shared" si="24"/>
        <v/>
      </c>
      <c r="T269" s="184" t="str">
        <f t="shared" si="24"/>
        <v/>
      </c>
      <c r="U269" s="184" t="str">
        <f t="shared" si="24"/>
        <v/>
      </c>
      <c r="V269" s="184" t="str">
        <f t="shared" si="24"/>
        <v/>
      </c>
      <c r="W269" s="184" t="str">
        <f t="shared" si="24"/>
        <v/>
      </c>
      <c r="X269" s="184" t="str">
        <f t="shared" si="24"/>
        <v/>
      </c>
      <c r="Y269" s="184" t="str">
        <f t="shared" si="24"/>
        <v/>
      </c>
      <c r="Z269" s="184" t="str">
        <f t="shared" si="24"/>
        <v/>
      </c>
      <c r="AA269" s="184" t="str">
        <f t="shared" si="24"/>
        <v/>
      </c>
      <c r="AB269" s="184" t="str">
        <f t="shared" si="24"/>
        <v/>
      </c>
      <c r="AC269" s="184" t="str">
        <f t="shared" si="24"/>
        <v/>
      </c>
      <c r="AD269" s="184" t="str">
        <f t="shared" si="24"/>
        <v/>
      </c>
      <c r="AE269" s="184" t="str">
        <f t="shared" si="24"/>
        <v/>
      </c>
      <c r="AF269" s="184" t="str">
        <f t="shared" si="24"/>
        <v/>
      </c>
      <c r="AG269" s="48"/>
      <c r="AH269" s="48"/>
      <c r="AJ269" s="2"/>
    </row>
    <row r="270" spans="1:36" x14ac:dyDescent="0.25">
      <c r="A270" s="184" t="str">
        <f>A237</f>
        <v>MRS</v>
      </c>
      <c r="B270" s="184" t="str">
        <f t="shared" ref="B270:AF270" si="25">IF(B237&lt;100,"",B237-330)</f>
        <v/>
      </c>
      <c r="C270" s="184" t="str">
        <f t="shared" si="25"/>
        <v/>
      </c>
      <c r="D270" s="184" t="str">
        <f t="shared" si="25"/>
        <v/>
      </c>
      <c r="E270" s="184" t="str">
        <f t="shared" si="25"/>
        <v/>
      </c>
      <c r="F270" s="184" t="str">
        <f t="shared" si="25"/>
        <v/>
      </c>
      <c r="G270" s="184" t="str">
        <f t="shared" si="25"/>
        <v/>
      </c>
      <c r="H270" s="184" t="str">
        <f t="shared" si="25"/>
        <v/>
      </c>
      <c r="I270" s="184" t="str">
        <f t="shared" si="25"/>
        <v/>
      </c>
      <c r="J270" s="184" t="str">
        <f t="shared" si="25"/>
        <v/>
      </c>
      <c r="K270" s="184" t="str">
        <f t="shared" si="25"/>
        <v/>
      </c>
      <c r="L270" s="184" t="str">
        <f t="shared" si="25"/>
        <v/>
      </c>
      <c r="M270" s="184" t="str">
        <f t="shared" si="25"/>
        <v/>
      </c>
      <c r="N270" s="184" t="str">
        <f t="shared" si="25"/>
        <v/>
      </c>
      <c r="O270" s="184" t="str">
        <f t="shared" si="25"/>
        <v/>
      </c>
      <c r="P270" s="184" t="str">
        <f t="shared" si="25"/>
        <v/>
      </c>
      <c r="Q270" s="184" t="str">
        <f t="shared" si="25"/>
        <v/>
      </c>
      <c r="R270" s="184" t="str">
        <f t="shared" si="25"/>
        <v/>
      </c>
      <c r="S270" s="184" t="str">
        <f t="shared" si="25"/>
        <v/>
      </c>
      <c r="T270" s="184" t="str">
        <f t="shared" si="25"/>
        <v/>
      </c>
      <c r="U270" s="184" t="str">
        <f t="shared" si="25"/>
        <v/>
      </c>
      <c r="V270" s="184" t="str">
        <f t="shared" si="25"/>
        <v/>
      </c>
      <c r="W270" s="184" t="str">
        <f t="shared" si="25"/>
        <v/>
      </c>
      <c r="X270" s="184" t="str">
        <f t="shared" si="25"/>
        <v/>
      </c>
      <c r="Y270" s="184" t="str">
        <f t="shared" si="25"/>
        <v/>
      </c>
      <c r="Z270" s="184" t="str">
        <f t="shared" si="25"/>
        <v/>
      </c>
      <c r="AA270" s="184" t="str">
        <f t="shared" si="25"/>
        <v/>
      </c>
      <c r="AB270" s="184" t="str">
        <f t="shared" si="25"/>
        <v/>
      </c>
      <c r="AC270" s="184" t="str">
        <f t="shared" si="25"/>
        <v/>
      </c>
      <c r="AD270" s="184" t="str">
        <f t="shared" si="25"/>
        <v/>
      </c>
      <c r="AE270" s="184" t="str">
        <f t="shared" si="25"/>
        <v/>
      </c>
      <c r="AF270" s="184" t="str">
        <f t="shared" si="25"/>
        <v/>
      </c>
      <c r="AG270" s="48"/>
      <c r="AH270" s="48"/>
      <c r="AJ270" s="2"/>
    </row>
    <row r="271" spans="1:36" x14ac:dyDescent="0.25">
      <c r="A271" s="184" t="str">
        <f>A238</f>
        <v>KL 1</v>
      </c>
      <c r="B271" s="184" t="str">
        <f t="shared" ref="B271:AF271" si="26">IF(B238&lt;100,"",B238-1500)</f>
        <v/>
      </c>
      <c r="C271" s="184" t="str">
        <f t="shared" si="26"/>
        <v/>
      </c>
      <c r="D271" s="184" t="str">
        <f t="shared" si="26"/>
        <v/>
      </c>
      <c r="E271" s="184" t="str">
        <f t="shared" si="26"/>
        <v/>
      </c>
      <c r="F271" s="184" t="str">
        <f t="shared" si="26"/>
        <v/>
      </c>
      <c r="G271" s="184" t="str">
        <f t="shared" si="26"/>
        <v/>
      </c>
      <c r="H271" s="184" t="str">
        <f t="shared" si="26"/>
        <v/>
      </c>
      <c r="I271" s="184" t="str">
        <f t="shared" si="26"/>
        <v/>
      </c>
      <c r="J271" s="184" t="str">
        <f t="shared" si="26"/>
        <v/>
      </c>
      <c r="K271" s="184" t="str">
        <f t="shared" si="26"/>
        <v/>
      </c>
      <c r="L271" s="184" t="str">
        <f t="shared" si="26"/>
        <v/>
      </c>
      <c r="M271" s="184" t="str">
        <f t="shared" si="26"/>
        <v/>
      </c>
      <c r="N271" s="184" t="str">
        <f t="shared" si="26"/>
        <v/>
      </c>
      <c r="O271" s="184" t="str">
        <f t="shared" si="26"/>
        <v/>
      </c>
      <c r="P271" s="184" t="str">
        <f t="shared" si="26"/>
        <v/>
      </c>
      <c r="Q271" s="184" t="str">
        <f t="shared" si="26"/>
        <v/>
      </c>
      <c r="R271" s="184" t="str">
        <f t="shared" si="26"/>
        <v/>
      </c>
      <c r="S271" s="184" t="str">
        <f t="shared" si="26"/>
        <v/>
      </c>
      <c r="T271" s="184" t="str">
        <f t="shared" si="26"/>
        <v/>
      </c>
      <c r="U271" s="184" t="str">
        <f t="shared" si="26"/>
        <v/>
      </c>
      <c r="V271" s="184" t="str">
        <f t="shared" si="26"/>
        <v/>
      </c>
      <c r="W271" s="184" t="str">
        <f t="shared" si="26"/>
        <v/>
      </c>
      <c r="X271" s="184" t="str">
        <f t="shared" si="26"/>
        <v/>
      </c>
      <c r="Y271" s="184" t="str">
        <f t="shared" si="26"/>
        <v/>
      </c>
      <c r="Z271" s="184" t="str">
        <f t="shared" si="26"/>
        <v/>
      </c>
      <c r="AA271" s="184" t="str">
        <f t="shared" si="26"/>
        <v/>
      </c>
      <c r="AB271" s="184" t="str">
        <f t="shared" si="26"/>
        <v/>
      </c>
      <c r="AC271" s="184" t="str">
        <f t="shared" si="26"/>
        <v/>
      </c>
      <c r="AD271" s="184" t="str">
        <f t="shared" si="26"/>
        <v/>
      </c>
      <c r="AE271" s="184" t="str">
        <f t="shared" si="26"/>
        <v/>
      </c>
      <c r="AF271" s="184" t="str">
        <f t="shared" si="26"/>
        <v/>
      </c>
      <c r="AG271" s="48"/>
      <c r="AH271" s="48"/>
      <c r="AJ271" s="2"/>
    </row>
    <row r="272" spans="1:36" x14ac:dyDescent="0.25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J272" s="2"/>
    </row>
    <row r="273" spans="2:36" x14ac:dyDescent="0.25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J273" s="2"/>
    </row>
    <row r="274" spans="2:36" x14ac:dyDescent="0.25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J274" s="2"/>
    </row>
    <row r="275" spans="2:36" x14ac:dyDescent="0.2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J275" s="2"/>
    </row>
    <row r="276" spans="2:36" x14ac:dyDescent="0.25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J276" s="2"/>
    </row>
    <row r="277" spans="2:36" x14ac:dyDescent="0.25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J277" s="2"/>
    </row>
    <row r="278" spans="2:36" x14ac:dyDescent="0.25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J278" s="2"/>
    </row>
    <row r="502" spans="36:38" x14ac:dyDescent="0.25">
      <c r="AK502" s="1"/>
    </row>
    <row r="503" spans="36:38" x14ac:dyDescent="0.25">
      <c r="AK503" s="1"/>
      <c r="AL503" s="1"/>
    </row>
    <row r="504" spans="36:38" x14ac:dyDescent="0.25">
      <c r="AJ50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2:AN83"/>
    <mergeCell ref="A243:B243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8">
      <iconSet iconSet="3TrafficLights2" reverse="1">
        <cfvo type="percent" val="0"/>
        <cfvo type="num" val="1"/>
        <cfvo type="num" val="1"/>
      </iconSet>
    </cfRule>
  </conditionalFormatting>
  <conditionalFormatting sqref="D226:AF227 B226:B232 B224:AF224 U245:AF245 B9:AF10 D229:AF232 D228:H228 J228:AF228 D109:AF109 D111:AF116">
    <cfRule type="expression" dxfId="353" priority="344">
      <formula>B$9&gt;=20/24</formula>
    </cfRule>
    <cfRule type="expression" dxfId="352" priority="345">
      <formula>AND(B$9&gt;=14/24,B$9&lt;20/24)</formula>
    </cfRule>
    <cfRule type="expression" dxfId="351" priority="346">
      <formula>AND(B$9&gt;=8/24,B$9&lt;14/24)</formula>
    </cfRule>
    <cfRule type="expression" dxfId="350" priority="347">
      <formula>B$9&lt;8/24</formula>
    </cfRule>
  </conditionalFormatting>
  <conditionalFormatting sqref="AL4:AL6">
    <cfRule type="iconSet" priority="343">
      <iconSet iconSet="3TrafficLights2" reverse="1">
        <cfvo type="percent" val="0"/>
        <cfvo type="num" val="1"/>
        <cfvo type="num" val="1"/>
      </iconSet>
    </cfRule>
  </conditionalFormatting>
  <conditionalFormatting sqref="AG65">
    <cfRule type="expression" dxfId="349" priority="342">
      <formula>AG65&gt;$AG65</formula>
    </cfRule>
  </conditionalFormatting>
  <conditionalFormatting sqref="A99:A109 A59:A86 A95:A97 A202:A232 A46:A57 A118:A189 A41:A42 A91:A93 A88:A89 A111:A113 A38:A39 A19:A20 A12:A15 A22:A32 A17 A34:A36">
    <cfRule type="expression" dxfId="348" priority="341">
      <formula>$AH12=0</formula>
    </cfRule>
  </conditionalFormatting>
  <conditionalFormatting sqref="A114">
    <cfRule type="expression" dxfId="347" priority="340">
      <formula>$AH114=0</formula>
    </cfRule>
  </conditionalFormatting>
  <conditionalFormatting sqref="AL42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A45">
    <cfRule type="expression" dxfId="346" priority="338">
      <formula>$AH45=0</formula>
    </cfRule>
  </conditionalFormatting>
  <conditionalFormatting sqref="A98">
    <cfRule type="expression" dxfId="345" priority="337">
      <formula>$AH98=0</formula>
    </cfRule>
  </conditionalFormatting>
  <conditionalFormatting sqref="A18">
    <cfRule type="expression" dxfId="344" priority="336">
      <formula>$AH18=0</formula>
    </cfRule>
  </conditionalFormatting>
  <conditionalFormatting sqref="A196:A201">
    <cfRule type="expression" dxfId="343" priority="335">
      <formula>$AH196=0</formula>
    </cfRule>
  </conditionalFormatting>
  <conditionalFormatting sqref="A190:A195">
    <cfRule type="expression" dxfId="342" priority="334">
      <formula>$AH190=0</formula>
    </cfRule>
  </conditionalFormatting>
  <conditionalFormatting sqref="A58">
    <cfRule type="expression" dxfId="341" priority="333">
      <formula>$AH58=0</formula>
    </cfRule>
  </conditionalFormatting>
  <conditionalFormatting sqref="A94">
    <cfRule type="expression" dxfId="340" priority="332">
      <formula>$AH94=0</formula>
    </cfRule>
  </conditionalFormatting>
  <conditionalFormatting sqref="E99:X99 AD99:AF99">
    <cfRule type="expression" dxfId="339" priority="328">
      <formula>E$9&gt;=20/24</formula>
    </cfRule>
    <cfRule type="expression" dxfId="338" priority="329">
      <formula>AND(E$9&gt;=14/24,E$9&lt;20/24)</formula>
    </cfRule>
    <cfRule type="expression" dxfId="337" priority="330">
      <formula>AND(E$9&gt;=8/24,E$9&lt;14/24)</formula>
    </cfRule>
    <cfRule type="expression" dxfId="336" priority="331">
      <formula>E$9&lt;8/24</formula>
    </cfRule>
  </conditionalFormatting>
  <conditionalFormatting sqref="AL4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35" priority="350">
      <formula>C$9&gt;=20/24</formula>
    </cfRule>
    <cfRule type="expression" dxfId="334" priority="351">
      <formula>AND(C$9&gt;=14/24,C$9&lt;20/24)</formula>
    </cfRule>
    <cfRule type="expression" dxfId="333" priority="352">
      <formula>AND(C$9&gt;=8/24,C$9&lt;14/24)</formula>
    </cfRule>
    <cfRule type="expression" dxfId="332" priority="353">
      <formula>C$9&lt;8/24</formula>
    </cfRule>
  </conditionalFormatting>
  <conditionalFormatting sqref="A233">
    <cfRule type="expression" dxfId="331" priority="354">
      <formula>$AH233=0</formula>
    </cfRule>
  </conditionalFormatting>
  <conditionalFormatting sqref="AG245">
    <cfRule type="expression" dxfId="330" priority="355">
      <formula>B$9&gt;=20/24</formula>
    </cfRule>
    <cfRule type="expression" dxfId="329" priority="356">
      <formula>AND(B$9&gt;=14/24,B$9&lt;20/24)</formula>
    </cfRule>
    <cfRule type="expression" dxfId="328" priority="357">
      <formula>AND(B$9&gt;=8/24,B$9&lt;14/24)</formula>
    </cfRule>
    <cfRule type="expression" dxfId="327" priority="358">
      <formula>B$9&lt;8/24</formula>
    </cfRule>
  </conditionalFormatting>
  <conditionalFormatting sqref="S8">
    <cfRule type="expression" dxfId="326" priority="323">
      <formula>U$9&gt;=20/24</formula>
    </cfRule>
    <cfRule type="expression" dxfId="325" priority="324">
      <formula>AND(U$9&gt;=14/24,U$9&lt;20/24)</formula>
    </cfRule>
    <cfRule type="expression" dxfId="324" priority="325">
      <formula>AND(U$9&gt;=8/24,U$9&lt;14/24)</formula>
    </cfRule>
    <cfRule type="expression" dxfId="323" priority="326">
      <formula>U$9&lt;8/24</formula>
    </cfRule>
  </conditionalFormatting>
  <conditionalFormatting sqref="AB8">
    <cfRule type="expression" dxfId="322" priority="319">
      <formula>AD$9&gt;=20/24</formula>
    </cfRule>
    <cfRule type="expression" dxfId="321" priority="320">
      <formula>AND(AD$9&gt;=14/24,AD$9&lt;20/24)</formula>
    </cfRule>
    <cfRule type="expression" dxfId="320" priority="321">
      <formula>AND(AD$9&gt;=8/24,AD$9&lt;14/24)</formula>
    </cfRule>
    <cfRule type="expression" dxfId="319" priority="322">
      <formula>AD$9&lt;8/24</formula>
    </cfRule>
  </conditionalFormatting>
  <conditionalFormatting sqref="AH245:AX245">
    <cfRule type="expression" dxfId="318" priority="359">
      <formula>AG$9&gt;=20/24</formula>
    </cfRule>
    <cfRule type="expression" dxfId="317" priority="360">
      <formula>AND(AG$9&gt;=14/24,AG$9&lt;20/24)</formula>
    </cfRule>
    <cfRule type="expression" dxfId="316" priority="361">
      <formula>AND(AG$9&gt;=8/24,AG$9&lt;14/24)</formula>
    </cfRule>
    <cfRule type="expression" dxfId="315" priority="362">
      <formula>AG$9&lt;8/24</formula>
    </cfRule>
  </conditionalFormatting>
  <conditionalFormatting sqref="T245">
    <cfRule type="expression" dxfId="314" priority="363">
      <formula>AX$9&gt;=20/24</formula>
    </cfRule>
    <cfRule type="expression" dxfId="313" priority="364">
      <formula>AND(AX$9&gt;=14/24,AX$9&lt;20/24)</formula>
    </cfRule>
    <cfRule type="expression" dxfId="312" priority="365">
      <formula>AND(AX$9&gt;=8/24,AX$9&lt;14/24)</formula>
    </cfRule>
    <cfRule type="expression" dxfId="311" priority="366">
      <formula>AX$9&lt;8/24</formula>
    </cfRule>
  </conditionalFormatting>
  <conditionalFormatting sqref="A115:A116">
    <cfRule type="expression" dxfId="310" priority="318">
      <formula>$AH115=0</formula>
    </cfRule>
  </conditionalFormatting>
  <conditionalFormatting sqref="E71:AF71 AB54:AF57 M54:Q58">
    <cfRule type="expression" dxfId="309" priority="314">
      <formula>E$9&gt;=20/24</formula>
    </cfRule>
    <cfRule type="expression" dxfId="308" priority="315">
      <formula>AND(E$9&gt;=14/24,E$9&lt;20/24)</formula>
    </cfRule>
    <cfRule type="expression" dxfId="307" priority="316">
      <formula>AND(E$9&gt;=8/24,E$9&lt;14/24)</formula>
    </cfRule>
    <cfRule type="expression" dxfId="306" priority="317">
      <formula>E$9&lt;8/24</formula>
    </cfRule>
  </conditionalFormatting>
  <conditionalFormatting sqref="M53:Q53 AB53:AF53">
    <cfRule type="expression" dxfId="305" priority="310">
      <formula>M$9&gt;=20/24</formula>
    </cfRule>
    <cfRule type="expression" dxfId="304" priority="311">
      <formula>AND(M$9&gt;=14/24,M$9&lt;20/24)</formula>
    </cfRule>
    <cfRule type="expression" dxfId="303" priority="312">
      <formula>AND(M$9&gt;=8/24,M$9&lt;14/24)</formula>
    </cfRule>
    <cfRule type="expression" dxfId="302" priority="313">
      <formula>M$9&lt;8/24</formula>
    </cfRule>
  </conditionalFormatting>
  <conditionalFormatting sqref="AB53:AF57 M53:Q58">
    <cfRule type="expression" dxfId="301" priority="309">
      <formula>M53&gt;$AG53</formula>
    </cfRule>
  </conditionalFormatting>
  <conditionalFormatting sqref="D86:AF86 M100:X106 X96:AF96 AD100:AF106 E72:X73 Y72:AF74 X47:AF47 X67:AF69">
    <cfRule type="expression" dxfId="300" priority="305">
      <formula>D$9&gt;=20/24</formula>
    </cfRule>
    <cfRule type="expression" dxfId="299" priority="306">
      <formula>AND(D$9&gt;=14/24,D$9&lt;20/24)</formula>
    </cfRule>
    <cfRule type="expression" dxfId="298" priority="307">
      <formula>AND(D$9&gt;=8/24,D$9&lt;14/24)</formula>
    </cfRule>
    <cfRule type="expression" dxfId="297" priority="308">
      <formula>D$9&lt;8/24</formula>
    </cfRule>
  </conditionalFormatting>
  <conditionalFormatting sqref="X47:AF47 X67:AF69">
    <cfRule type="expression" dxfId="296" priority="304">
      <formula>X47&gt;$AG47</formula>
    </cfRule>
  </conditionalFormatting>
  <conditionalFormatting sqref="R53:AA58">
    <cfRule type="expression" dxfId="295" priority="300">
      <formula>R$9&gt;=20/24</formula>
    </cfRule>
    <cfRule type="expression" dxfId="294" priority="301">
      <formula>AND(R$9&gt;=14/24,R$9&lt;20/24)</formula>
    </cfRule>
    <cfRule type="expression" dxfId="293" priority="302">
      <formula>AND(R$9&gt;=8/24,R$9&lt;14/24)</formula>
    </cfRule>
    <cfRule type="expression" dxfId="292" priority="303">
      <formula>R$9&lt;8/24</formula>
    </cfRule>
  </conditionalFormatting>
  <conditionalFormatting sqref="R53:AA58">
    <cfRule type="expression" dxfId="291" priority="299">
      <formula>R53&gt;$AG53</formula>
    </cfRule>
  </conditionalFormatting>
  <conditionalFormatting sqref="C97:AF97 D88:AF88">
    <cfRule type="expression" dxfId="290" priority="295">
      <formula>C$9&gt;=20/24</formula>
    </cfRule>
    <cfRule type="expression" dxfId="289" priority="296">
      <formula>AND(C$9&gt;=14/24,C$9&lt;20/24)</formula>
    </cfRule>
    <cfRule type="expression" dxfId="288" priority="297">
      <formula>AND(C$9&gt;=8/24,C$9&lt;14/24)</formula>
    </cfRule>
    <cfRule type="expression" dxfId="287" priority="298">
      <formula>C$9&lt;8/24</formula>
    </cfRule>
  </conditionalFormatting>
  <conditionalFormatting sqref="T47:W47">
    <cfRule type="expression" dxfId="286" priority="291">
      <formula>T$9&gt;=20/24</formula>
    </cfRule>
    <cfRule type="expression" dxfId="285" priority="292">
      <formula>AND(T$9&gt;=14/24,T$9&lt;20/24)</formula>
    </cfRule>
    <cfRule type="expression" dxfId="284" priority="293">
      <formula>AND(T$9&gt;=8/24,T$9&lt;14/24)</formula>
    </cfRule>
    <cfRule type="expression" dxfId="283" priority="294">
      <formula>T$9&lt;8/24</formula>
    </cfRule>
  </conditionalFormatting>
  <conditionalFormatting sqref="T47:W47">
    <cfRule type="expression" dxfId="282" priority="290">
      <formula>T47&gt;$AG47</formula>
    </cfRule>
  </conditionalFormatting>
  <conditionalFormatting sqref="E54:L55">
    <cfRule type="expression" dxfId="281" priority="286">
      <formula>E$9&gt;=20/24</formula>
    </cfRule>
    <cfRule type="expression" dxfId="280" priority="287">
      <formula>AND(E$9&gt;=14/24,E$9&lt;20/24)</formula>
    </cfRule>
    <cfRule type="expression" dxfId="279" priority="288">
      <formula>AND(E$9&gt;=8/24,E$9&lt;14/24)</formula>
    </cfRule>
    <cfRule type="expression" dxfId="278" priority="289">
      <formula>E$9&lt;8/24</formula>
    </cfRule>
  </conditionalFormatting>
  <conditionalFormatting sqref="E53:L53">
    <cfRule type="expression" dxfId="277" priority="282">
      <formula>E$9&gt;=20/24</formula>
    </cfRule>
    <cfRule type="expression" dxfId="276" priority="283">
      <formula>AND(E$9&gt;=14/24,E$9&lt;20/24)</formula>
    </cfRule>
    <cfRule type="expression" dxfId="275" priority="284">
      <formula>AND(E$9&gt;=8/24,E$9&lt;14/24)</formula>
    </cfRule>
    <cfRule type="expression" dxfId="274" priority="285">
      <formula>E$9&lt;8/24</formula>
    </cfRule>
  </conditionalFormatting>
  <conditionalFormatting sqref="E53:L55">
    <cfRule type="expression" dxfId="273" priority="281">
      <formula>E53&gt;$AG53</formula>
    </cfRule>
  </conditionalFormatting>
  <conditionalFormatting sqref="AG70 AG87 E100:L106 Q67:W69">
    <cfRule type="expression" dxfId="272" priority="277">
      <formula>E$9&gt;=20/24</formula>
    </cfRule>
    <cfRule type="expression" dxfId="271" priority="278">
      <formula>AND(E$9&gt;=14/24,E$9&lt;20/24)</formula>
    </cfRule>
    <cfRule type="expression" dxfId="270" priority="279">
      <formula>AND(E$9&gt;=8/24,E$9&lt;14/24)</formula>
    </cfRule>
    <cfRule type="expression" dxfId="269" priority="280">
      <formula>E$9&lt;8/24</formula>
    </cfRule>
  </conditionalFormatting>
  <conditionalFormatting sqref="AG48 AG66 AG70 Q67:W69">
    <cfRule type="expression" dxfId="268" priority="276">
      <formula>Q48&gt;$AG48</formula>
    </cfRule>
  </conditionalFormatting>
  <conditionalFormatting sqref="AB58:AF58">
    <cfRule type="expression" dxfId="267" priority="272">
      <formula>AB$9&gt;=20/24</formula>
    </cfRule>
    <cfRule type="expression" dxfId="266" priority="273">
      <formula>AND(AB$9&gt;=14/24,AB$9&lt;20/24)</formula>
    </cfRule>
    <cfRule type="expression" dxfId="265" priority="274">
      <formula>AND(AB$9&gt;=8/24,AB$9&lt;14/24)</formula>
    </cfRule>
    <cfRule type="expression" dxfId="264" priority="275">
      <formula>AB$9&lt;8/24</formula>
    </cfRule>
  </conditionalFormatting>
  <conditionalFormatting sqref="AB58:AF58">
    <cfRule type="expression" dxfId="263" priority="271">
      <formula>AB58&gt;$AG58</formula>
    </cfRule>
  </conditionalFormatting>
  <conditionalFormatting sqref="A43">
    <cfRule type="expression" dxfId="262" priority="270">
      <formula>$AH43=0</formula>
    </cfRule>
  </conditionalFormatting>
  <conditionalFormatting sqref="X91:AF95">
    <cfRule type="expression" dxfId="261" priority="266">
      <formula>X$9&gt;=20/24</formula>
    </cfRule>
    <cfRule type="expression" dxfId="260" priority="267">
      <formula>AND(X$9&gt;=14/24,X$9&lt;20/24)</formula>
    </cfRule>
    <cfRule type="expression" dxfId="259" priority="268">
      <formula>AND(X$9&gt;=8/24,X$9&lt;14/24)</formula>
    </cfRule>
    <cfRule type="expression" dxfId="258" priority="269">
      <formula>X$9&lt;8/24</formula>
    </cfRule>
  </conditionalFormatting>
  <conditionalFormatting sqref="AL45 AL41 AL22:AL32 AL38:AL39 AL7:AL15 AL17:AL20 AL34:AL36">
    <cfRule type="iconSet" priority="367">
      <iconSet iconSet="3TrafficLights2" reverse="1">
        <cfvo type="percent" val="0"/>
        <cfvo type="num" val="1"/>
        <cfvo type="num" val="1"/>
      </iconSet>
    </cfRule>
  </conditionalFormatting>
  <conditionalFormatting sqref="E49:AF51">
    <cfRule type="expression" dxfId="257" priority="262">
      <formula>E$9&gt;=20/24</formula>
    </cfRule>
    <cfRule type="expression" dxfId="256" priority="263">
      <formula>AND(E$9&gt;=14/24,E$9&lt;20/24)</formula>
    </cfRule>
    <cfRule type="expression" dxfId="255" priority="264">
      <formula>AND(E$9&gt;=8/24,E$9&lt;14/24)</formula>
    </cfRule>
    <cfRule type="expression" dxfId="254" priority="265">
      <formula>E$9&lt;8/24</formula>
    </cfRule>
  </conditionalFormatting>
  <conditionalFormatting sqref="E49:AF51">
    <cfRule type="expression" dxfId="253" priority="261">
      <formula>E49&gt;$AG49</formula>
    </cfRule>
  </conditionalFormatting>
  <conditionalFormatting sqref="AG52">
    <cfRule type="expression" dxfId="252" priority="257">
      <formula>AG$9&gt;=20/24</formula>
    </cfRule>
    <cfRule type="expression" dxfId="251" priority="258">
      <formula>AND(AG$9&gt;=14/24,AG$9&lt;20/24)</formula>
    </cfRule>
    <cfRule type="expression" dxfId="250" priority="259">
      <formula>AND(AG$9&gt;=8/24,AG$9&lt;14/24)</formula>
    </cfRule>
    <cfRule type="expression" dxfId="249" priority="260">
      <formula>AG$9&lt;8/24</formula>
    </cfRule>
  </conditionalFormatting>
  <conditionalFormatting sqref="AG52">
    <cfRule type="expression" dxfId="248" priority="256">
      <formula>AG52&gt;$AG52</formula>
    </cfRule>
  </conditionalFormatting>
  <conditionalFormatting sqref="C107:AF107">
    <cfRule type="expression" dxfId="247" priority="252">
      <formula>C$9&gt;=20/24</formula>
    </cfRule>
    <cfRule type="expression" dxfId="246" priority="253">
      <formula>AND(C$9&gt;=14/24,C$9&lt;20/24)</formula>
    </cfRule>
    <cfRule type="expression" dxfId="245" priority="254">
      <formula>AND(C$9&gt;=8/24,C$9&lt;14/24)</formula>
    </cfRule>
    <cfRule type="expression" dxfId="244" priority="255">
      <formula>C$9&lt;8/24</formula>
    </cfRule>
  </conditionalFormatting>
  <conditionalFormatting sqref="AL40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243" priority="250">
      <formula>$AH40=0</formula>
    </cfRule>
  </conditionalFormatting>
  <conditionalFormatting sqref="A90">
    <cfRule type="expression" dxfId="242" priority="248">
      <formula>$AH90=0</formula>
    </cfRule>
  </conditionalFormatting>
  <conditionalFormatting sqref="A87">
    <cfRule type="expression" dxfId="241" priority="249">
      <formula>$AH87=0</formula>
    </cfRule>
  </conditionalFormatting>
  <conditionalFormatting sqref="D110:AF110">
    <cfRule type="expression" dxfId="240" priority="244">
      <formula>D$9&gt;=20/24</formula>
    </cfRule>
    <cfRule type="expression" dxfId="239" priority="245">
      <formula>AND(D$9&gt;=14/24,D$9&lt;20/24)</formula>
    </cfRule>
    <cfRule type="expression" dxfId="238" priority="246">
      <formula>AND(D$9&gt;=8/24,D$9&lt;14/24)</formula>
    </cfRule>
    <cfRule type="expression" dxfId="237" priority="247">
      <formula>D$9&lt;8/24</formula>
    </cfRule>
  </conditionalFormatting>
  <conditionalFormatting sqref="A110">
    <cfRule type="expression" dxfId="236" priority="243">
      <formula>$AH110=0</formula>
    </cfRule>
  </conditionalFormatting>
  <conditionalFormatting sqref="A21">
    <cfRule type="expression" dxfId="235" priority="241">
      <formula>$AH21=0</formula>
    </cfRule>
  </conditionalFormatting>
  <conditionalFormatting sqref="AL21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34" priority="239">
      <formula>$AH37=0</formula>
    </cfRule>
  </conditionalFormatting>
  <conditionalFormatting sqref="AL37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Y99:AC99">
    <cfRule type="expression" dxfId="233" priority="235">
      <formula>Y$9&gt;=20/24</formula>
    </cfRule>
    <cfRule type="expression" dxfId="232" priority="236">
      <formula>AND(Y$9&gt;=14/24,Y$9&lt;20/24)</formula>
    </cfRule>
    <cfRule type="expression" dxfId="231" priority="237">
      <formula>AND(Y$9&gt;=8/24,Y$9&lt;14/24)</formula>
    </cfRule>
    <cfRule type="expression" dxfId="230" priority="238">
      <formula>Y$9&lt;8/24</formula>
    </cfRule>
  </conditionalFormatting>
  <conditionalFormatting sqref="Y100:AC106">
    <cfRule type="expression" dxfId="229" priority="231">
      <formula>Y$9&gt;=20/24</formula>
    </cfRule>
    <cfRule type="expression" dxfId="228" priority="232">
      <formula>AND(Y$9&gt;=14/24,Y$9&lt;20/24)</formula>
    </cfRule>
    <cfRule type="expression" dxfId="227" priority="233">
      <formula>AND(Y$9&gt;=8/24,Y$9&lt;14/24)</formula>
    </cfRule>
    <cfRule type="expression" dxfId="226" priority="234">
      <formula>Y$9&lt;8/24</formula>
    </cfRule>
  </conditionalFormatting>
  <conditionalFormatting sqref="C109 C111:C116 F17:O18 P34:AF43 P17:AF32">
    <cfRule type="expression" dxfId="225" priority="227">
      <formula>C$9&gt;=20/24</formula>
    </cfRule>
    <cfRule type="expression" dxfId="224" priority="228">
      <formula>AND(C$9&gt;=14/24,C$9&lt;20/24)</formula>
    </cfRule>
    <cfRule type="expression" dxfId="223" priority="229">
      <formula>AND(C$9&gt;=8/24,C$9&lt;14/24)</formula>
    </cfRule>
    <cfRule type="expression" dxfId="222" priority="230">
      <formula>C$9&lt;8/24</formula>
    </cfRule>
  </conditionalFormatting>
  <conditionalFormatting sqref="C47:S47">
    <cfRule type="expression" dxfId="221" priority="223">
      <formula>C$9&gt;=20/24</formula>
    </cfRule>
    <cfRule type="expression" dxfId="220" priority="224">
      <formula>AND(C$9&gt;=14/24,C$9&lt;20/24)</formula>
    </cfRule>
    <cfRule type="expression" dxfId="219" priority="225">
      <formula>AND(C$9&gt;=8/24,C$9&lt;14/24)</formula>
    </cfRule>
    <cfRule type="expression" dxfId="218" priority="226">
      <formula>C$9&lt;8/24</formula>
    </cfRule>
  </conditionalFormatting>
  <conditionalFormatting sqref="C47:S47 F17:O18 P34:AF43 P17:AF32">
    <cfRule type="expression" dxfId="217" priority="222">
      <formula>C17&gt;$AG17</formula>
    </cfRule>
  </conditionalFormatting>
  <conditionalFormatting sqref="C99:D99">
    <cfRule type="expression" dxfId="216" priority="218">
      <formula>C$9&gt;=20/24</formula>
    </cfRule>
    <cfRule type="expression" dxfId="215" priority="219">
      <formula>AND(C$9&gt;=14/24,C$9&lt;20/24)</formula>
    </cfRule>
    <cfRule type="expression" dxfId="214" priority="220">
      <formula>AND(C$9&gt;=8/24,C$9&lt;14/24)</formula>
    </cfRule>
    <cfRule type="expression" dxfId="213" priority="221">
      <formula>C$9&lt;8/24</formula>
    </cfRule>
  </conditionalFormatting>
  <conditionalFormatting sqref="C86 C96:W96 C83:AF85 D100:D106 E67:P69 E74:X76 Y75:AF76">
    <cfRule type="expression" dxfId="212" priority="214">
      <formula>C$9&gt;=20/24</formula>
    </cfRule>
    <cfRule type="expression" dxfId="211" priority="215">
      <formula>AND(C$9&gt;=14/24,C$9&lt;20/24)</formula>
    </cfRule>
    <cfRule type="expression" dxfId="210" priority="216">
      <formula>AND(C$9&gt;=8/24,C$9&lt;14/24)</formula>
    </cfRule>
    <cfRule type="expression" dxfId="209" priority="217">
      <formula>C$9&lt;8/24</formula>
    </cfRule>
  </conditionalFormatting>
  <conditionalFormatting sqref="E56:L57 E67:P69">
    <cfRule type="expression" dxfId="208" priority="213">
      <formula>E56&gt;$AG56</formula>
    </cfRule>
  </conditionalFormatting>
  <conditionalFormatting sqref="E58:L58">
    <cfRule type="expression" dxfId="207" priority="209">
      <formula>E$9&gt;=20/24</formula>
    </cfRule>
    <cfRule type="expression" dxfId="206" priority="210">
      <formula>AND(E$9&gt;=14/24,E$9&lt;20/24)</formula>
    </cfRule>
    <cfRule type="expression" dxfId="205" priority="211">
      <formula>AND(E$9&gt;=8/24,E$9&lt;14/24)</formula>
    </cfRule>
    <cfRule type="expression" dxfId="204" priority="212">
      <formula>E$9&lt;8/24</formula>
    </cfRule>
  </conditionalFormatting>
  <conditionalFormatting sqref="E58:L58">
    <cfRule type="expression" dxfId="203" priority="208">
      <formula>E58&gt;$AG58</formula>
    </cfRule>
  </conditionalFormatting>
  <conditionalFormatting sqref="B71:D71 B54:D57">
    <cfRule type="expression" dxfId="202" priority="132">
      <formula>B$9&gt;=20/24</formula>
    </cfRule>
    <cfRule type="expression" dxfId="201" priority="133">
      <formula>AND(B$9&gt;=14/24,B$9&lt;20/24)</formula>
    </cfRule>
    <cfRule type="expression" dxfId="200" priority="134">
      <formula>AND(B$9&gt;=8/24,B$9&lt;14/24)</formula>
    </cfRule>
    <cfRule type="expression" dxfId="199" priority="135">
      <formula>B$9&lt;8/24</formula>
    </cfRule>
  </conditionalFormatting>
  <conditionalFormatting sqref="C87:AF87 C89:AF89 C98:AF98 C70:AF70">
    <cfRule type="expression" dxfId="198" priority="199">
      <formula>C$9&gt;=20/24</formula>
    </cfRule>
    <cfRule type="expression" dxfId="197" priority="200">
      <formula>AND(C$9&gt;=14/24,C$9&lt;20/24)</formula>
    </cfRule>
    <cfRule type="expression" dxfId="196" priority="201">
      <formula>AND(C$9&gt;=8/24,C$9&lt;14/24)</formula>
    </cfRule>
    <cfRule type="expression" dxfId="195" priority="202">
      <formula>C$9&lt;8/24</formula>
    </cfRule>
  </conditionalFormatting>
  <conditionalFormatting sqref="C70:AF70 C48:AF48 C65:AF66">
    <cfRule type="expression" dxfId="194" priority="198">
      <formula>C48&gt;$AG48</formula>
    </cfRule>
  </conditionalFormatting>
  <conditionalFormatting sqref="C82:AF82">
    <cfRule type="expression" dxfId="193" priority="194">
      <formula>C$9&gt;=20/24</formula>
    </cfRule>
    <cfRule type="expression" dxfId="192" priority="195">
      <formula>AND(C$9&gt;=14/24,C$9&lt;20/24)</formula>
    </cfRule>
    <cfRule type="expression" dxfId="191" priority="196">
      <formula>AND(C$9&gt;=8/24,C$9&lt;14/24)</formula>
    </cfRule>
    <cfRule type="expression" dxfId="190" priority="197">
      <formula>C$9&lt;8/24</formula>
    </cfRule>
  </conditionalFormatting>
  <conditionalFormatting sqref="C91:W95">
    <cfRule type="expression" dxfId="189" priority="190">
      <formula>C$9&gt;=20/24</formula>
    </cfRule>
    <cfRule type="expression" dxfId="188" priority="191">
      <formula>AND(C$9&gt;=14/24,C$9&lt;20/24)</formula>
    </cfRule>
    <cfRule type="expression" dxfId="187" priority="192">
      <formula>AND(C$9&gt;=8/24,C$9&lt;14/24)</formula>
    </cfRule>
    <cfRule type="expression" dxfId="186" priority="193">
      <formula>C$9&lt;8/24</formula>
    </cfRule>
  </conditionalFormatting>
  <conditionalFormatting sqref="C52:AF52">
    <cfRule type="expression" dxfId="185" priority="186">
      <formula>C$9&gt;=20/24</formula>
    </cfRule>
    <cfRule type="expression" dxfId="184" priority="187">
      <formula>AND(C$9&gt;=14/24,C$9&lt;20/24)</formula>
    </cfRule>
    <cfRule type="expression" dxfId="183" priority="188">
      <formula>AND(C$9&gt;=8/24,C$9&lt;14/24)</formula>
    </cfRule>
    <cfRule type="expression" dxfId="182" priority="189">
      <formula>C$9&lt;8/24</formula>
    </cfRule>
  </conditionalFormatting>
  <conditionalFormatting sqref="C52:AF52">
    <cfRule type="expression" dxfId="181" priority="185">
      <formula>C52&gt;$AG52</formula>
    </cfRule>
  </conditionalFormatting>
  <conditionalFormatting sqref="B49:D51">
    <cfRule type="expression" dxfId="180" priority="100">
      <formula>B$9&gt;=20/24</formula>
    </cfRule>
    <cfRule type="expression" dxfId="179" priority="101">
      <formula>AND(B$9&gt;=14/24,B$9&lt;20/24)</formula>
    </cfRule>
    <cfRule type="expression" dxfId="178" priority="102">
      <formula>AND(B$9&gt;=8/24,B$9&lt;14/24)</formula>
    </cfRule>
    <cfRule type="expression" dxfId="177" priority="103">
      <formula>B$9&lt;8/24</formula>
    </cfRule>
  </conditionalFormatting>
  <conditionalFormatting sqref="C110">
    <cfRule type="expression" dxfId="176" priority="177">
      <formula>C$9&gt;=20/24</formula>
    </cfRule>
    <cfRule type="expression" dxfId="175" priority="178">
      <formula>AND(C$9&gt;=14/24,C$9&lt;20/24)</formula>
    </cfRule>
    <cfRule type="expression" dxfId="174" priority="179">
      <formula>AND(C$9&gt;=8/24,C$9&lt;14/24)</formula>
    </cfRule>
    <cfRule type="expression" dxfId="173" priority="180">
      <formula>C$9&lt;8/24</formula>
    </cfRule>
  </conditionalFormatting>
  <conditionalFormatting sqref="E59:AF64">
    <cfRule type="expression" dxfId="172" priority="173">
      <formula>E$9&gt;=20/24</formula>
    </cfRule>
    <cfRule type="expression" dxfId="171" priority="174">
      <formula>AND(E$9&gt;=14/24,E$9&lt;20/24)</formula>
    </cfRule>
    <cfRule type="expression" dxfId="170" priority="175">
      <formula>AND(E$9&gt;=8/24,E$9&lt;14/24)</formula>
    </cfRule>
    <cfRule type="expression" dxfId="169" priority="176">
      <formula>E$9&lt;8/24</formula>
    </cfRule>
  </conditionalFormatting>
  <conditionalFormatting sqref="E59:AF64">
    <cfRule type="expression" dxfId="168" priority="172">
      <formula>E59&gt;$AG59</formula>
    </cfRule>
  </conditionalFormatting>
  <conditionalFormatting sqref="P45:AF45 F13:AF15">
    <cfRule type="expression" dxfId="167" priority="171">
      <formula>F13&gt;$AG13</formula>
    </cfRule>
  </conditionalFormatting>
  <conditionalFormatting sqref="E12:AF12">
    <cfRule type="expression" dxfId="166" priority="167">
      <formula>E$9&gt;=20/24</formula>
    </cfRule>
    <cfRule type="expression" dxfId="165" priority="168">
      <formula>AND(E$9&gt;=14/24,E$9&lt;20/24)</formula>
    </cfRule>
    <cfRule type="expression" dxfId="164" priority="169">
      <formula>AND(E$9&gt;=8/24,E$9&lt;14/24)</formula>
    </cfRule>
    <cfRule type="expression" dxfId="163" priority="170">
      <formula>E$9&lt;8/24</formula>
    </cfRule>
  </conditionalFormatting>
  <conditionalFormatting sqref="E12:AF12">
    <cfRule type="expression" dxfId="162" priority="166">
      <formula>E12&gt;$AG12</formula>
    </cfRule>
  </conditionalFormatting>
  <conditionalFormatting sqref="F13:AF15">
    <cfRule type="expression" dxfId="161" priority="162">
      <formula>F$9&gt;=20/24</formula>
    </cfRule>
    <cfRule type="expression" dxfId="160" priority="163">
      <formula>AND(F$9&gt;=14/24,F$9&lt;20/24)</formula>
    </cfRule>
    <cfRule type="expression" dxfId="159" priority="164">
      <formula>AND(F$9&gt;=8/24,F$9&lt;14/24)</formula>
    </cfRule>
    <cfRule type="expression" dxfId="158" priority="165">
      <formula>F$9&lt;8/24</formula>
    </cfRule>
  </conditionalFormatting>
  <conditionalFormatting sqref="P45:AF45">
    <cfRule type="expression" dxfId="157" priority="158">
      <formula>P$9&gt;=20/24</formula>
    </cfRule>
    <cfRule type="expression" dxfId="156" priority="159">
      <formula>AND(P$9&gt;=14/24,P$9&lt;20/24)</formula>
    </cfRule>
    <cfRule type="expression" dxfId="155" priority="160">
      <formula>AND(P$9&gt;=8/24,P$9&lt;14/24)</formula>
    </cfRule>
    <cfRule type="expression" dxfId="154" priority="161">
      <formula>P$9&lt;8/24</formula>
    </cfRule>
  </conditionalFormatting>
  <conditionalFormatting sqref="E77:AF81">
    <cfRule type="expression" dxfId="153" priority="154">
      <formula>E$9&gt;=20/24</formula>
    </cfRule>
    <cfRule type="expression" dxfId="152" priority="155">
      <formula>AND(E$9&gt;=14/24,E$9&lt;20/24)</formula>
    </cfRule>
    <cfRule type="expression" dxfId="151" priority="156">
      <formula>AND(E$9&gt;=8/24,E$9&lt;14/24)</formula>
    </cfRule>
    <cfRule type="expression" dxfId="150" priority="157">
      <formula>E$9&lt;8/24</formula>
    </cfRule>
  </conditionalFormatting>
  <conditionalFormatting sqref="AL78:AN78 AL84:AN84 AN79:AN80">
    <cfRule type="expression" dxfId="149" priority="150">
      <formula>AL$9&gt;=20/24</formula>
    </cfRule>
    <cfRule type="expression" dxfId="148" priority="151">
      <formula>AND(AL$9&gt;=14/24,AL$9&lt;20/24)</formula>
    </cfRule>
    <cfRule type="expression" dxfId="147" priority="152">
      <formula>AND(AL$9&gt;=8/24,AL$9&lt;14/24)</formula>
    </cfRule>
    <cfRule type="expression" dxfId="146" priority="153">
      <formula>AL$9&lt;8/24</formula>
    </cfRule>
  </conditionalFormatting>
  <conditionalFormatting sqref="AN81:AN82">
    <cfRule type="expression" dxfId="145" priority="146">
      <formula>AN$9&gt;=20/24</formula>
    </cfRule>
    <cfRule type="expression" dxfId="144" priority="147">
      <formula>AND(AN$9&gt;=14/24,AN$9&lt;20/24)</formula>
    </cfRule>
    <cfRule type="expression" dxfId="143" priority="148">
      <formula>AND(AN$9&gt;=8/24,AN$9&lt;14/24)</formula>
    </cfRule>
    <cfRule type="expression" dxfId="142" priority="149">
      <formula>AN$9&lt;8/24</formula>
    </cfRule>
  </conditionalFormatting>
  <conditionalFormatting sqref="AL79:AM83">
    <cfRule type="expression" dxfId="141" priority="368">
      <formula>AJ$9&gt;=20/24</formula>
    </cfRule>
    <cfRule type="expression" dxfId="140" priority="369">
      <formula>AND(AJ$9&gt;=14/24,AJ$9&lt;20/24)</formula>
    </cfRule>
    <cfRule type="expression" dxfId="139" priority="370">
      <formula>AND(AJ$9&gt;=8/24,AJ$9&lt;14/24)</formula>
    </cfRule>
    <cfRule type="expression" dxfId="138" priority="371">
      <formula>AJ$9&lt;8/24</formula>
    </cfRule>
  </conditionalFormatting>
  <conditionalFormatting sqref="A117">
    <cfRule type="expression" dxfId="137" priority="145">
      <formula>$AH117=0</formula>
    </cfRule>
  </conditionalFormatting>
  <conditionalFormatting sqref="B109 B111:B116 E13:E15 F19:O32 B12:D15 B17:E32 B34:O43 B45:O45">
    <cfRule type="expression" dxfId="136" priority="141">
      <formula>B$9&gt;=20/24</formula>
    </cfRule>
    <cfRule type="expression" dxfId="135" priority="142">
      <formula>AND(B$9&gt;=14/24,B$9&lt;20/24)</formula>
    </cfRule>
    <cfRule type="expression" dxfId="134" priority="143">
      <formula>AND(B$9&gt;=8/24,B$9&lt;14/24)</formula>
    </cfRule>
    <cfRule type="expression" dxfId="133" priority="144">
      <formula>B$9&lt;8/24</formula>
    </cfRule>
  </conditionalFormatting>
  <conditionalFormatting sqref="E13:E15 F19:O32 B12:D15 B17:E32 B34:O43 B45:O45">
    <cfRule type="expression" dxfId="132" priority="140">
      <formula>B12&gt;$AG12</formula>
    </cfRule>
  </conditionalFormatting>
  <conditionalFormatting sqref="B99">
    <cfRule type="expression" dxfId="131" priority="136">
      <formula>B$9&gt;=20/24</formula>
    </cfRule>
    <cfRule type="expression" dxfId="130" priority="137">
      <formula>AND(B$9&gt;=14/24,B$9&lt;20/24)</formula>
    </cfRule>
    <cfRule type="expression" dxfId="129" priority="138">
      <formula>AND(B$9&gt;=8/24,B$9&lt;14/24)</formula>
    </cfRule>
    <cfRule type="expression" dxfId="128" priority="139">
      <formula>B$9&lt;8/24</formula>
    </cfRule>
  </conditionalFormatting>
  <conditionalFormatting sqref="B53:D53">
    <cfRule type="expression" dxfId="127" priority="128">
      <formula>B$9&gt;=20/24</formula>
    </cfRule>
    <cfRule type="expression" dxfId="126" priority="129">
      <formula>AND(B$9&gt;=14/24,B$9&lt;20/24)</formula>
    </cfRule>
    <cfRule type="expression" dxfId="125" priority="130">
      <formula>AND(B$9&gt;=8/24,B$9&lt;14/24)</formula>
    </cfRule>
    <cfRule type="expression" dxfId="124" priority="131">
      <formula>B$9&lt;8/24</formula>
    </cfRule>
  </conditionalFormatting>
  <conditionalFormatting sqref="B53:D57">
    <cfRule type="expression" dxfId="123" priority="127">
      <formula>B53&gt;$AG53</formula>
    </cfRule>
  </conditionalFormatting>
  <conditionalFormatting sqref="B96 B86 B47 B72:D74 B100:C106 B67:D69">
    <cfRule type="expression" dxfId="122" priority="123">
      <formula>B$9&gt;=20/24</formula>
    </cfRule>
    <cfRule type="expression" dxfId="121" priority="124">
      <formula>AND(B$9&gt;=14/24,B$9&lt;20/24)</formula>
    </cfRule>
    <cfRule type="expression" dxfId="120" priority="125">
      <formula>AND(B$9&gt;=8/24,B$9&lt;14/24)</formula>
    </cfRule>
    <cfRule type="expression" dxfId="119" priority="126">
      <formula>B$9&lt;8/24</formula>
    </cfRule>
  </conditionalFormatting>
  <conditionalFormatting sqref="B47 B67:D69">
    <cfRule type="expression" dxfId="118" priority="122">
      <formula>B47&gt;$AG47</formula>
    </cfRule>
  </conditionalFormatting>
  <conditionalFormatting sqref="B97 B88:C88">
    <cfRule type="expression" dxfId="117" priority="118">
      <formula>B$9&gt;=20/24</formula>
    </cfRule>
    <cfRule type="expression" dxfId="116" priority="119">
      <formula>AND(B$9&gt;=14/24,B$9&lt;20/24)</formula>
    </cfRule>
    <cfRule type="expression" dxfId="115" priority="120">
      <formula>AND(B$9&gt;=8/24,B$9&lt;14/24)</formula>
    </cfRule>
    <cfRule type="expression" dxfId="114" priority="121">
      <formula>B$9&lt;8/24</formula>
    </cfRule>
  </conditionalFormatting>
  <conditionalFormatting sqref="B46:AF46">
    <cfRule type="expression" dxfId="113" priority="114">
      <formula>B$9&gt;=20/24</formula>
    </cfRule>
    <cfRule type="expression" dxfId="112" priority="115">
      <formula>AND(B$9&gt;=14/24,B$9&lt;20/24)</formula>
    </cfRule>
    <cfRule type="expression" dxfId="111" priority="116">
      <formula>AND(B$9&gt;=8/24,B$9&lt;14/24)</formula>
    </cfRule>
    <cfRule type="expression" dxfId="110" priority="117">
      <formula>B$9&lt;8/24</formula>
    </cfRule>
  </conditionalFormatting>
  <conditionalFormatting sqref="B46:AF46">
    <cfRule type="expression" dxfId="109" priority="113">
      <formula>B46&gt;$AG46</formula>
    </cfRule>
  </conditionalFormatting>
  <conditionalFormatting sqref="B58:D58">
    <cfRule type="expression" dxfId="108" priority="109">
      <formula>B$9&gt;=20/24</formula>
    </cfRule>
    <cfRule type="expression" dxfId="107" priority="110">
      <formula>AND(B$9&gt;=14/24,B$9&lt;20/24)</formula>
    </cfRule>
    <cfRule type="expression" dxfId="106" priority="111">
      <formula>AND(B$9&gt;=8/24,B$9&lt;14/24)</formula>
    </cfRule>
    <cfRule type="expression" dxfId="105" priority="112">
      <formula>B$9&lt;8/24</formula>
    </cfRule>
  </conditionalFormatting>
  <conditionalFormatting sqref="B58:D58">
    <cfRule type="expression" dxfId="104" priority="108">
      <formula>B58&gt;$AG58</formula>
    </cfRule>
  </conditionalFormatting>
  <conditionalFormatting sqref="B91:B95">
    <cfRule type="expression" dxfId="103" priority="104">
      <formula>B$9&gt;=20/24</formula>
    </cfRule>
    <cfRule type="expression" dxfId="102" priority="105">
      <formula>AND(B$9&gt;=14/24,B$9&lt;20/24)</formula>
    </cfRule>
    <cfRule type="expression" dxfId="101" priority="106">
      <formula>AND(B$9&gt;=8/24,B$9&lt;14/24)</formula>
    </cfRule>
    <cfRule type="expression" dxfId="100" priority="107">
      <formula>B$9&lt;8/24</formula>
    </cfRule>
  </conditionalFormatting>
  <conditionalFormatting sqref="B49:D51">
    <cfRule type="expression" dxfId="99" priority="99">
      <formula>B49&gt;$AG49</formula>
    </cfRule>
  </conditionalFormatting>
  <conditionalFormatting sqref="B107">
    <cfRule type="expression" dxfId="98" priority="95">
      <formula>B$9&gt;=20/24</formula>
    </cfRule>
    <cfRule type="expression" dxfId="97" priority="96">
      <formula>AND(B$9&gt;=14/24,B$9&lt;20/24)</formula>
    </cfRule>
    <cfRule type="expression" dxfId="96" priority="97">
      <formula>AND(B$9&gt;=8/24,B$9&lt;14/24)</formula>
    </cfRule>
    <cfRule type="expression" dxfId="95" priority="98">
      <formula>B$9&lt;8/24</formula>
    </cfRule>
  </conditionalFormatting>
  <conditionalFormatting sqref="B110">
    <cfRule type="expression" dxfId="94" priority="91">
      <formula>B$9&gt;=20/24</formula>
    </cfRule>
    <cfRule type="expression" dxfId="93" priority="92">
      <formula>AND(B$9&gt;=14/24,B$9&lt;20/24)</formula>
    </cfRule>
    <cfRule type="expression" dxfId="92" priority="93">
      <formula>AND(B$9&gt;=8/24,B$9&lt;14/24)</formula>
    </cfRule>
    <cfRule type="expression" dxfId="91" priority="94">
      <formula>B$9&lt;8/24</formula>
    </cfRule>
  </conditionalFormatting>
  <conditionalFormatting sqref="B83:B85 B75:D76">
    <cfRule type="expression" dxfId="90" priority="87">
      <formula>B$9&gt;=20/24</formula>
    </cfRule>
    <cfRule type="expression" dxfId="89" priority="88">
      <formula>AND(B$9&gt;=14/24,B$9&lt;20/24)</formula>
    </cfRule>
    <cfRule type="expression" dxfId="88" priority="89">
      <formula>AND(B$9&gt;=8/24,B$9&lt;14/24)</formula>
    </cfRule>
    <cfRule type="expression" dxfId="87" priority="90">
      <formula>B$9&lt;8/24</formula>
    </cfRule>
  </conditionalFormatting>
  <conditionalFormatting sqref="B89 B98 B70 B87">
    <cfRule type="expression" dxfId="86" priority="83">
      <formula>B$9&gt;=20/24</formula>
    </cfRule>
    <cfRule type="expression" dxfId="85" priority="84">
      <formula>AND(B$9&gt;=14/24,B$9&lt;20/24)</formula>
    </cfRule>
    <cfRule type="expression" dxfId="84" priority="85">
      <formula>AND(B$9&gt;=8/24,B$9&lt;14/24)</formula>
    </cfRule>
    <cfRule type="expression" dxfId="83" priority="86">
      <formula>B$9&lt;8/24</formula>
    </cfRule>
  </conditionalFormatting>
  <conditionalFormatting sqref="B48 B65:B66 B70">
    <cfRule type="expression" dxfId="82" priority="82">
      <formula>B48&gt;$AG48</formula>
    </cfRule>
  </conditionalFormatting>
  <conditionalFormatting sqref="B82">
    <cfRule type="expression" dxfId="81" priority="78">
      <formula>B$9&gt;=20/24</formula>
    </cfRule>
    <cfRule type="expression" dxfId="80" priority="79">
      <formula>AND(B$9&gt;=14/24,B$9&lt;20/24)</formula>
    </cfRule>
    <cfRule type="expression" dxfId="79" priority="80">
      <formula>AND(B$9&gt;=8/24,B$9&lt;14/24)</formula>
    </cfRule>
    <cfRule type="expression" dxfId="78" priority="81">
      <formula>B$9&lt;8/24</formula>
    </cfRule>
  </conditionalFormatting>
  <conditionalFormatting sqref="B52">
    <cfRule type="expression" dxfId="77" priority="74">
      <formula>B$9&gt;=20/24</formula>
    </cfRule>
    <cfRule type="expression" dxfId="76" priority="75">
      <formula>AND(B$9&gt;=14/24,B$9&lt;20/24)</formula>
    </cfRule>
    <cfRule type="expression" dxfId="75" priority="76">
      <formula>AND(B$9&gt;=8/24,B$9&lt;14/24)</formula>
    </cfRule>
    <cfRule type="expression" dxfId="74" priority="77">
      <formula>B$9&lt;8/24</formula>
    </cfRule>
  </conditionalFormatting>
  <conditionalFormatting sqref="B52">
    <cfRule type="expression" dxfId="73" priority="73">
      <formula>B52&gt;$AG52</formula>
    </cfRule>
  </conditionalFormatting>
  <conditionalFormatting sqref="B59:D64">
    <cfRule type="expression" dxfId="72" priority="65">
      <formula>B$9&gt;=20/24</formula>
    </cfRule>
    <cfRule type="expression" dxfId="71" priority="66">
      <formula>AND(B$9&gt;=14/24,B$9&lt;20/24)</formula>
    </cfRule>
    <cfRule type="expression" dxfId="70" priority="67">
      <formula>AND(B$9&gt;=8/24,B$9&lt;14/24)</formula>
    </cfRule>
    <cfRule type="expression" dxfId="69" priority="68">
      <formula>B$9&lt;8/24</formula>
    </cfRule>
  </conditionalFormatting>
  <conditionalFormatting sqref="B59:D64">
    <cfRule type="expression" dxfId="68" priority="64">
      <formula>B59&gt;$AG59</formula>
    </cfRule>
  </conditionalFormatting>
  <conditionalFormatting sqref="B77:D81">
    <cfRule type="expression" dxfId="67" priority="60">
      <formula>B$9&gt;=20/24</formula>
    </cfRule>
    <cfRule type="expression" dxfId="66" priority="61">
      <formula>AND(B$9&gt;=14/24,B$9&lt;20/24)</formula>
    </cfRule>
    <cfRule type="expression" dxfId="65" priority="62">
      <formula>AND(B$9&gt;=8/24,B$9&lt;14/24)</formula>
    </cfRule>
    <cfRule type="expression" dxfId="64" priority="63">
      <formula>B$9&lt;8/24</formula>
    </cfRule>
  </conditionalFormatting>
  <conditionalFormatting sqref="A11">
    <cfRule type="expression" dxfId="63" priority="59">
      <formula>$AH11=0</formula>
    </cfRule>
  </conditionalFormatting>
  <conditionalFormatting sqref="E11:AF11">
    <cfRule type="expression" dxfId="62" priority="55">
      <formula>E$9&gt;=20/24</formula>
    </cfRule>
    <cfRule type="expression" dxfId="61" priority="56">
      <formula>AND(E$9&gt;=14/24,E$9&lt;20/24)</formula>
    </cfRule>
    <cfRule type="expression" dxfId="60" priority="57">
      <formula>AND(E$9&gt;=8/24,E$9&lt;14/24)</formula>
    </cfRule>
    <cfRule type="expression" dxfId="59" priority="58">
      <formula>E$9&lt;8/24</formula>
    </cfRule>
  </conditionalFormatting>
  <conditionalFormatting sqref="E11:AF11">
    <cfRule type="expression" dxfId="58" priority="54">
      <formula>E11&gt;$AG11</formula>
    </cfRule>
  </conditionalFormatting>
  <conditionalFormatting sqref="B11:D11">
    <cfRule type="expression" dxfId="57" priority="50">
      <formula>B$9&gt;=20/24</formula>
    </cfRule>
    <cfRule type="expression" dxfId="56" priority="51">
      <formula>AND(B$9&gt;=14/24,B$9&lt;20/24)</formula>
    </cfRule>
    <cfRule type="expression" dxfId="55" priority="52">
      <formula>AND(B$9&gt;=8/24,B$9&lt;14/24)</formula>
    </cfRule>
    <cfRule type="expression" dxfId="54" priority="53">
      <formula>B$9&lt;8/24</formula>
    </cfRule>
  </conditionalFormatting>
  <conditionalFormatting sqref="B11:D11">
    <cfRule type="expression" dxfId="53" priority="49">
      <formula>B11&gt;$AG11</formula>
    </cfRule>
  </conditionalFormatting>
  <conditionalFormatting sqref="A16">
    <cfRule type="expression" dxfId="52" priority="47">
      <formula>$AH16=0</formula>
    </cfRule>
  </conditionalFormatting>
  <conditionalFormatting sqref="AL16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F16:AF16">
    <cfRule type="expression" dxfId="51" priority="43">
      <formula>F$9&gt;=20/24</formula>
    </cfRule>
    <cfRule type="expression" dxfId="50" priority="44">
      <formula>AND(F$9&gt;=14/24,F$9&lt;20/24)</formula>
    </cfRule>
    <cfRule type="expression" dxfId="49" priority="45">
      <formula>AND(F$9&gt;=8/24,F$9&lt;14/24)</formula>
    </cfRule>
    <cfRule type="expression" dxfId="48" priority="46">
      <formula>F$9&lt;8/24</formula>
    </cfRule>
  </conditionalFormatting>
  <conditionalFormatting sqref="F16:AF16">
    <cfRule type="expression" dxfId="47" priority="42">
      <formula>F16&gt;$AG16</formula>
    </cfRule>
  </conditionalFormatting>
  <conditionalFormatting sqref="B16:E16">
    <cfRule type="expression" dxfId="46" priority="38">
      <formula>B$9&gt;=20/24</formula>
    </cfRule>
    <cfRule type="expression" dxfId="45" priority="39">
      <formula>AND(B$9&gt;=14/24,B$9&lt;20/24)</formula>
    </cfRule>
    <cfRule type="expression" dxfId="44" priority="40">
      <formula>AND(B$9&gt;=8/24,B$9&lt;14/24)</formula>
    </cfRule>
    <cfRule type="expression" dxfId="43" priority="41">
      <formula>B$9&lt;8/24</formula>
    </cfRule>
  </conditionalFormatting>
  <conditionalFormatting sqref="B16:E16">
    <cfRule type="expression" dxfId="42" priority="37">
      <formula>B16&gt;$AG16</formula>
    </cfRule>
  </conditionalFormatting>
  <conditionalFormatting sqref="A33">
    <cfRule type="expression" dxfId="41" priority="35">
      <formula>$AH33=0</formula>
    </cfRule>
  </conditionalFormatting>
  <conditionalFormatting sqref="AL33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P33:AF33">
    <cfRule type="expression" dxfId="40" priority="31">
      <formula>P$9&gt;=20/24</formula>
    </cfRule>
    <cfRule type="expression" dxfId="39" priority="32">
      <formula>AND(P$9&gt;=14/24,P$9&lt;20/24)</formula>
    </cfRule>
    <cfRule type="expression" dxfId="38" priority="33">
      <formula>AND(P$9&gt;=8/24,P$9&lt;14/24)</formula>
    </cfRule>
    <cfRule type="expression" dxfId="37" priority="34">
      <formula>P$9&lt;8/24</formula>
    </cfRule>
  </conditionalFormatting>
  <conditionalFormatting sqref="P33:AF33">
    <cfRule type="expression" dxfId="36" priority="30">
      <formula>P33&gt;$AG33</formula>
    </cfRule>
  </conditionalFormatting>
  <conditionalFormatting sqref="B33:O33">
    <cfRule type="expression" dxfId="35" priority="26">
      <formula>B$9&gt;=20/24</formula>
    </cfRule>
    <cfRule type="expression" dxfId="34" priority="27">
      <formula>AND(B$9&gt;=14/24,B$9&lt;20/24)</formula>
    </cfRule>
    <cfRule type="expression" dxfId="33" priority="28">
      <formula>AND(B$9&gt;=8/24,B$9&lt;14/24)</formula>
    </cfRule>
    <cfRule type="expression" dxfId="32" priority="29">
      <formula>B$9&lt;8/24</formula>
    </cfRule>
  </conditionalFormatting>
  <conditionalFormatting sqref="B33:O33">
    <cfRule type="expression" dxfId="31" priority="25">
      <formula>B33&gt;$AG33</formula>
    </cfRule>
  </conditionalFormatting>
  <conditionalFormatting sqref="A44">
    <cfRule type="expression" dxfId="30" priority="23">
      <formula>$AH44=0</formula>
    </cfRule>
  </conditionalFormatting>
  <conditionalFormatting sqref="AL44">
    <cfRule type="iconSet" priority="24">
      <iconSet iconSet="3TrafficLights2" reverse="1">
        <cfvo type="percent" val="0"/>
        <cfvo type="num" val="1"/>
        <cfvo type="num" val="1"/>
      </iconSet>
    </cfRule>
  </conditionalFormatting>
  <conditionalFormatting sqref="P44:AF44">
    <cfRule type="expression" dxfId="29" priority="22">
      <formula>P44&gt;$AG44</formula>
    </cfRule>
  </conditionalFormatting>
  <conditionalFormatting sqref="P44:AF44">
    <cfRule type="expression" dxfId="28" priority="18">
      <formula>P$9&gt;=20/24</formula>
    </cfRule>
    <cfRule type="expression" dxfId="27" priority="19">
      <formula>AND(P$9&gt;=14/24,P$9&lt;20/24)</formula>
    </cfRule>
    <cfRule type="expression" dxfId="26" priority="20">
      <formula>AND(P$9&gt;=8/24,P$9&lt;14/24)</formula>
    </cfRule>
    <cfRule type="expression" dxfId="25" priority="21">
      <formula>P$9&lt;8/24</formula>
    </cfRule>
  </conditionalFormatting>
  <conditionalFormatting sqref="B44:O44">
    <cfRule type="expression" dxfId="24" priority="14">
      <formula>B$9&gt;=20/24</formula>
    </cfRule>
    <cfRule type="expression" dxfId="23" priority="15">
      <formula>AND(B$9&gt;=14/24,B$9&lt;20/24)</formula>
    </cfRule>
    <cfRule type="expression" dxfId="22" priority="16">
      <formula>AND(B$9&gt;=8/24,B$9&lt;14/24)</formula>
    </cfRule>
    <cfRule type="expression" dxfId="21" priority="17">
      <formula>B$9&lt;8/24</formula>
    </cfRule>
  </conditionalFormatting>
  <conditionalFormatting sqref="B44:O44">
    <cfRule type="expression" dxfId="20" priority="13">
      <formula>B44&gt;$AG44</formula>
    </cfRule>
  </conditionalFormatting>
  <conditionalFormatting sqref="B117">
    <cfRule type="expression" dxfId="19" priority="1">
      <formula>B$9&gt;=20/24</formula>
    </cfRule>
    <cfRule type="expression" dxfId="18" priority="2">
      <formula>AND(B$9&gt;=14/24,B$9&lt;20/24)</formula>
    </cfRule>
    <cfRule type="expression" dxfId="17" priority="3">
      <formula>AND(B$9&gt;=8/24,B$9&lt;14/24)</formula>
    </cfRule>
    <cfRule type="expression" dxfId="16" priority="4">
      <formula>B$9&lt;8/24</formula>
    </cfRule>
  </conditionalFormatting>
  <conditionalFormatting sqref="D117:AF117">
    <cfRule type="expression" dxfId="15" priority="9">
      <formula>D$9&gt;=20/24</formula>
    </cfRule>
    <cfRule type="expression" dxfId="14" priority="10">
      <formula>AND(D$9&gt;=14/24,D$9&lt;20/24)</formula>
    </cfRule>
    <cfRule type="expression" dxfId="13" priority="11">
      <formula>AND(D$9&gt;=8/24,D$9&lt;14/24)</formula>
    </cfRule>
    <cfRule type="expression" dxfId="12" priority="12">
      <formula>D$9&lt;8/24</formula>
    </cfRule>
  </conditionalFormatting>
  <conditionalFormatting sqref="C117">
    <cfRule type="expression" dxfId="11" priority="5">
      <formula>C$9&gt;=20/24</formula>
    </cfRule>
    <cfRule type="expression" dxfId="10" priority="6">
      <formula>AND(C$9&gt;=14/24,C$9&lt;20/24)</formula>
    </cfRule>
    <cfRule type="expression" dxfId="9" priority="7">
      <formula>AND(C$9&gt;=8/24,C$9&lt;14/24)</formula>
    </cfRule>
    <cfRule type="expression" dxfId="8" priority="8">
      <formula>C$9&lt;8/24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2A8B4B20-B063-49A1-84D0-68ED00BE6D1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CC94A5CF-5644-4333-9232-35F2760B839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33E0EECF-993C-4F21-8949-4F5DFE46AE2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46F97827-B927-4D1F-81E1-1372C67F304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C90:AF90</xm:sqref>
        </x14:conditionalFormatting>
        <x14:conditionalFormatting xmlns:xm="http://schemas.microsoft.com/office/excel/2006/main">
          <x14:cfRule type="expression" priority="69" id="{4D279BDB-3D8A-47E7-8612-3897D3DECF0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0" id="{2C05E49C-3CCD-4C2B-9AE4-9CE2C014F20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1" id="{3C55E0D7-B1E0-4762-BC6E-9CB8D6B72B8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2" id="{9800DE0B-833D-47FB-882E-F0725C8D5C4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B90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7" sqref="R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00</vt:lpstr>
      <vt:lpstr>sample</vt:lpstr>
      <vt:lpstr>Sheet4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Data Server</cp:lastModifiedBy>
  <cp:lastPrinted>2023-04-10T06:41:23Z</cp:lastPrinted>
  <dcterms:created xsi:type="dcterms:W3CDTF">2023-02-13T13:26:45Z</dcterms:created>
  <dcterms:modified xsi:type="dcterms:W3CDTF">2023-04-24T08:23:07Z</dcterms:modified>
</cp:coreProperties>
</file>